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djampoua\Dropbox\tagging 2019\"/>
    </mc:Choice>
  </mc:AlternateContent>
  <xr:revisionPtr revIDLastSave="0" documentId="8_{65250145-975A-4CEC-8887-7C9ED2159716}" xr6:coauthVersionLast="41" xr6:coauthVersionMax="41" xr10:uidLastSave="{00000000-0000-0000-0000-000000000000}"/>
  <bookViews>
    <workbookView xWindow="-110" yWindow="-110" windowWidth="19420" windowHeight="10420" tabRatio="898" xr2:uid="{D601EF95-D6CB-458D-9D2A-AA1708E7CB41}"/>
  </bookViews>
  <sheets>
    <sheet name="Step1-Country data" sheetId="1" r:id="rId1"/>
    <sheet name="Step2-Energy" sheetId="2" r:id="rId2"/>
    <sheet name="5-1 Fuels" sheetId="3" state="hidden" r:id="rId3"/>
    <sheet name="Step3-Metals-RawMat" sheetId="4" r:id="rId4"/>
    <sheet name="5-2 Prim metal" sheetId="5" state="hidden" r:id="rId5"/>
    <sheet name="5-3 Other min + mat" sheetId="6" state="hidden" r:id="rId6"/>
    <sheet name="Step4-Industrial Hg use" sheetId="7" r:id="rId7"/>
    <sheet name="5-4 Int Hg in Industry" sheetId="8" state="hidden" r:id="rId8"/>
    <sheet name="Step5-Waste treatment+recycling" sheetId="9" r:id="rId9"/>
    <sheet name="5-8 Waste incin" sheetId="10" state="hidden" r:id="rId10"/>
    <sheet name="5-9 Waste depo and water treatm" sheetId="11" state="hidden" r:id="rId11"/>
    <sheet name="5-7 Recycl metals" sheetId="12" state="hidden" r:id="rId12"/>
    <sheet name="Step6-Hg products-substances" sheetId="13" r:id="rId13"/>
    <sheet name="5-6 Other int use" sheetId="16" state="hidden" r:id="rId14"/>
    <sheet name="Step7-Crematoria-cemetaries" sheetId="14" r:id="rId15"/>
    <sheet name="5-5 Cons prod" sheetId="15" state="hidden" r:id="rId16"/>
    <sheet name="New5-10 Crem n cem" sheetId="34" state="hidden" r:id="rId17"/>
    <sheet name="Step8-Miscellannous Hg sources" sheetId="17" r:id="rId18"/>
    <sheet name="Insert IL2 results" sheetId="18" r:id="rId19"/>
    <sheet name="Range-thresholds" sheetId="19" state="hidden" r:id="rId20"/>
    <sheet name="Unit conversion" sheetId="33" r:id="rId21"/>
    <sheet name="Level 1-ExecSummary" sheetId="21" r:id="rId22"/>
    <sheet name="Level 1-Charts" sheetId="22" r:id="rId23"/>
    <sheet name="Level 1- Hg sources identified" sheetId="23" r:id="rId24"/>
    <sheet name="Level 1-summary of Hg inputs" sheetId="24" r:id="rId25"/>
    <sheet name="Level 1-summary of releases" sheetId="25" r:id="rId26"/>
    <sheet name="Level 1- total summary" sheetId="26" r:id="rId27"/>
    <sheet name="Level 2-introduction" sheetId="27" state="hidden" r:id="rId28"/>
    <sheet name="Level 2-summary" sheetId="28" state="hidden" r:id="rId29"/>
    <sheet name="Default Controls" sheetId="30" r:id="rId30"/>
    <sheet name="Countrydata" sheetId="29" state="hidden" r:id="rId31"/>
    <sheet name="Translation note" sheetId="31" r:id="rId32"/>
  </sheets>
  <externalReferences>
    <externalReference r:id="rId33"/>
    <externalReference r:id="rId34"/>
  </externalReferences>
  <definedNames>
    <definedName name="_Ref49683512" localSheetId="11">'5-7 Recycl metals'!$C$6</definedName>
    <definedName name="_Ref49683522" localSheetId="11">'5-7 Recycl metals'!$C$8</definedName>
    <definedName name="_Ref49683534" localSheetId="11">'5-7 Recycl metals'!$C$10</definedName>
    <definedName name="_Ref50871338" localSheetId="10">'5-9 Waste depo and water treatm'!$C$11</definedName>
    <definedName name="_Ref50871349" localSheetId="10">'5-9 Waste depo and water treatm'!$C$13</definedName>
    <definedName name="_Ref52957575" localSheetId="13">'5-6 Other int use'!$C$53</definedName>
    <definedName name="_SeF4" localSheetId="29">'[1]Translation note'!$B$16</definedName>
    <definedName name="_SeF4">'Translation note'!$B$16</definedName>
    <definedName name="Country" localSheetId="29">[1]Countrydata!$A$8:$A$206</definedName>
    <definedName name="Country">Countrydata!$A$8:$A$206</definedName>
    <definedName name="joo">'[2]Translation note'!$B$4</definedName>
    <definedName name="no" localSheetId="29">'[1]Translation note'!$B$5</definedName>
    <definedName name="no">'Translation note'!$B$5</definedName>
    <definedName name="noo">'[2]Translation note'!$B$5</definedName>
    <definedName name="pres" localSheetId="29">'[1]Translation note'!$B$3</definedName>
    <definedName name="pres">'Translation note'!$B$3</definedName>
    <definedName name="_xlnm.Print_Area" localSheetId="18">'Insert IL2 results'!$A$9:$B$79</definedName>
    <definedName name="_xlnm.Print_Area" localSheetId="23">'Level 1- Hg sources identified'!$A$2:$B$72</definedName>
    <definedName name="_xlnm.Print_Area" localSheetId="26">'Level 1- total summary'!$A$2:$D$73</definedName>
    <definedName name="_xlnm.Print_Area" localSheetId="22">'Level 1-Charts'!$A$6:$A$25</definedName>
    <definedName name="_xlnm.Print_Area" localSheetId="21">'Level 1-ExecSummary'!$A$1:$J$33</definedName>
    <definedName name="_xlnm.Print_Area" localSheetId="24">'Level 1-summary of Hg inputs'!$A$2:$D$73</definedName>
    <definedName name="_xlnm.Print_Area" localSheetId="25">'Level 1-summary of releases'!$A$1:$G$75</definedName>
    <definedName name="_xlnm.Print_Area" localSheetId="28">'Level 2-summary'!$A$11:$E$71</definedName>
    <definedName name="_xlnm.Print_Area" localSheetId="0">'Step1-Country data'!$A$3:$B$20</definedName>
    <definedName name="_xlnm.Print_Area" localSheetId="1">'Step2-Energy'!$A$1:$M$26</definedName>
    <definedName name="_xlnm.Print_Area" localSheetId="3">'Step3-Metals-RawMat'!$A$1:$M$31</definedName>
    <definedName name="_xlnm.Print_Area" localSheetId="6">'Step4-Industrial Hg use'!$A$1:$L$18</definedName>
    <definedName name="_xlnm.Print_Area" localSheetId="8">'Step5-Waste treatment+recycling'!$A$1:$M$29</definedName>
    <definedName name="_xlnm.Print_Area" localSheetId="12">'Step6-Hg products-substances'!$A$1:$M$49</definedName>
    <definedName name="_xlnm.Print_Area" localSheetId="14">'Step7-Crematoria-cemetaries'!$A$1:$L$6</definedName>
    <definedName name="_xlnm.Print_Area" localSheetId="17">'Step8-Miscellannous Hg sources'!$A$1:$B$29</definedName>
    <definedName name="que" localSheetId="29">'[1]Translation note'!$B$6</definedName>
    <definedName name="que">'Translation note'!$B$6</definedName>
    <definedName name="quest" localSheetId="29">'[1]Translation note'!$B$7</definedName>
    <definedName name="quest">'Translation note'!$B$7</definedName>
    <definedName name="quest2" localSheetId="29">'[1]Translation note'!$B$8</definedName>
    <definedName name="quest2">'Translation note'!$B$8</definedName>
    <definedName name="sdf">'[2]Translation note'!$B$6</definedName>
    <definedName name="trans_warning" localSheetId="29">'[1]Translation note'!$B$15</definedName>
    <definedName name="trans_warning">'Translation note'!$B$15</definedName>
    <definedName name="trans1" localSheetId="29">'[1]Translation note'!$B$10</definedName>
    <definedName name="trans1">'Translation note'!$B$10</definedName>
    <definedName name="trans2" localSheetId="29">'[1]Translation note'!$B$11</definedName>
    <definedName name="trans2">'Translation note'!$B$11</definedName>
    <definedName name="trans3" localSheetId="29">'[1]Translation note'!$B$12</definedName>
    <definedName name="trans3">'Translation note'!$B$12</definedName>
    <definedName name="trans4" localSheetId="29">'[1]Translation note'!$B$13</definedName>
    <definedName name="trans4">'Translation note'!$B$13</definedName>
    <definedName name="trans5" localSheetId="29">'[1]Translation note'!$B$14</definedName>
    <definedName name="trans5">'Translation note'!$B$14</definedName>
    <definedName name="yes" localSheetId="29">'[1]Translation note'!$B$4</definedName>
    <definedName name="yes">'Translation note'!$B$4</definedName>
    <definedName name="yn" localSheetId="29">'[1]Translation note'!$B$4:$B$5</definedName>
    <definedName name="yn">'Translation note'!$B$4:$B$5</definedName>
    <definedName name="yn?" localSheetId="29">'[1]Translation note'!$B$4:$B$6</definedName>
    <definedName name="yn?">'Translation note'!$B$4:$B$6</definedName>
    <definedName name="Z_EB7FE26D_7077_48F2_8515_D783BE87A220_.wvu.Cols" localSheetId="3" hidden="1">'Step3-Metals-RawMat'!$O:$O</definedName>
    <definedName name="Z_EB7FE26D_7077_48F2_8515_D783BE87A220_.wvu.Cols" localSheetId="6" hidden="1">'Step4-Industrial Hg use'!$N:$N</definedName>
    <definedName name="Z_EB7FE26D_7077_48F2_8515_D783BE87A220_.wvu.Cols" localSheetId="8" hidden="1">'Step5-Waste treatment+recycling'!$O:$O</definedName>
    <definedName name="Z_EB7FE26D_7077_48F2_8515_D783BE87A220_.wvu.Cols" localSheetId="12" hidden="1">'Step6-Hg products-substances'!$O:$O</definedName>
    <definedName name="Z_EB7FE26D_7077_48F2_8515_D783BE87A220_.wvu.Cols" localSheetId="14" hidden="1">'Step7-Crematoria-cemetaries'!$N:$N</definedName>
    <definedName name="Z_EB7FE26D_7077_48F2_8515_D783BE87A220_.wvu.PrintArea" localSheetId="18" hidden="1">'Insert IL2 results'!$A$9:$B$79</definedName>
    <definedName name="Z_EB7FE26D_7077_48F2_8515_D783BE87A220_.wvu.PrintArea" localSheetId="23" hidden="1">'Level 1- Hg sources identified'!$A$2:$B$72</definedName>
    <definedName name="Z_EB7FE26D_7077_48F2_8515_D783BE87A220_.wvu.PrintArea" localSheetId="26" hidden="1">'Level 1- total summary'!$A$2:$D$73</definedName>
    <definedName name="Z_EB7FE26D_7077_48F2_8515_D783BE87A220_.wvu.PrintArea" localSheetId="22" hidden="1">'Level 1-Charts'!$A$6:$A$25</definedName>
    <definedName name="Z_EB7FE26D_7077_48F2_8515_D783BE87A220_.wvu.PrintArea" localSheetId="21" hidden="1">'Level 1-ExecSummary'!$A$1:$J$33</definedName>
    <definedName name="Z_EB7FE26D_7077_48F2_8515_D783BE87A220_.wvu.PrintArea" localSheetId="24" hidden="1">'Level 1-summary of Hg inputs'!$A$2:$D$73</definedName>
    <definedName name="Z_EB7FE26D_7077_48F2_8515_D783BE87A220_.wvu.PrintArea" localSheetId="25" hidden="1">'Level 1-summary of releases'!$A$1:$G$75</definedName>
    <definedName name="Z_EB7FE26D_7077_48F2_8515_D783BE87A220_.wvu.PrintArea" localSheetId="28" hidden="1">'Level 2-summary'!$A$11:$E$71</definedName>
    <definedName name="Z_EB7FE26D_7077_48F2_8515_D783BE87A220_.wvu.PrintArea" localSheetId="0" hidden="1">'Step1-Country data'!$A$3:$B$20</definedName>
    <definedName name="Z_EB7FE26D_7077_48F2_8515_D783BE87A220_.wvu.PrintArea" localSheetId="1" hidden="1">'Step2-Energy'!$A$1:$M$26</definedName>
    <definedName name="Z_EB7FE26D_7077_48F2_8515_D783BE87A220_.wvu.PrintArea" localSheetId="3" hidden="1">'Step3-Metals-RawMat'!$A$1:$M$31</definedName>
    <definedName name="Z_EB7FE26D_7077_48F2_8515_D783BE87A220_.wvu.PrintArea" localSheetId="6" hidden="1">'Step4-Industrial Hg use'!$A$1:$L$18</definedName>
    <definedName name="Z_EB7FE26D_7077_48F2_8515_D783BE87A220_.wvu.PrintArea" localSheetId="8" hidden="1">'Step5-Waste treatment+recycling'!$A$1:$M$29</definedName>
    <definedName name="Z_EB7FE26D_7077_48F2_8515_D783BE87A220_.wvu.PrintArea" localSheetId="12" hidden="1">'Step6-Hg products-substances'!$A$1:$M$49</definedName>
    <definedName name="Z_EB7FE26D_7077_48F2_8515_D783BE87A220_.wvu.PrintArea" localSheetId="14" hidden="1">'Step7-Crematoria-cemetaries'!$A$1:$L$6</definedName>
    <definedName name="Z_EB7FE26D_7077_48F2_8515_D783BE87A220_.wvu.PrintArea" localSheetId="17" hidden="1">'Step8-Miscellannous Hg sources'!$A$1:$B$29</definedName>
  </definedNames>
  <calcPr calcId="191029"/>
  <customWorkbookViews>
    <customWorkbookView name="Juha Ronkainen - Personal View" guid="{EB7FE26D-7077-48F2-8515-D783BE87A220}" mergeInterval="0" personalView="1" maximized="1" xWindow="-8" yWindow="-8" windowWidth="1936" windowHeight="1176" tabRatio="870" activeSheetId="30"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 i="14" l="1"/>
  <c r="I5" i="14"/>
  <c r="L40" i="13"/>
  <c r="K40" i="13"/>
  <c r="J40" i="13"/>
  <c r="I40" i="13"/>
  <c r="H40" i="13"/>
  <c r="G40" i="13"/>
  <c r="F40" i="13"/>
  <c r="L38" i="13"/>
  <c r="K38" i="13"/>
  <c r="J38" i="13"/>
  <c r="I38" i="13"/>
  <c r="H38" i="13"/>
  <c r="G38" i="13"/>
  <c r="F38" i="13"/>
  <c r="L27" i="9"/>
  <c r="K27" i="9"/>
  <c r="J27" i="9"/>
  <c r="I27" i="9"/>
  <c r="H27" i="9"/>
  <c r="G27" i="9"/>
  <c r="F27" i="9"/>
  <c r="L26" i="9"/>
  <c r="K26" i="9"/>
  <c r="J26" i="9"/>
  <c r="I26" i="9"/>
  <c r="H26" i="9"/>
  <c r="G26" i="9"/>
  <c r="F26" i="9"/>
  <c r="L22" i="9"/>
  <c r="K22" i="9"/>
  <c r="J22" i="9"/>
  <c r="I22" i="9"/>
  <c r="H22" i="9"/>
  <c r="G22" i="9"/>
  <c r="F22" i="9"/>
  <c r="L10" i="9"/>
  <c r="K10" i="9"/>
  <c r="J10" i="9"/>
  <c r="I10" i="9"/>
  <c r="H10" i="9"/>
  <c r="G10" i="9"/>
  <c r="F10" i="9"/>
  <c r="L9" i="9"/>
  <c r="K9" i="9"/>
  <c r="J9" i="9"/>
  <c r="I9" i="9"/>
  <c r="H9" i="9"/>
  <c r="G9" i="9"/>
  <c r="F9" i="9"/>
  <c r="L18" i="4"/>
  <c r="K18" i="4"/>
  <c r="J18" i="4"/>
  <c r="I18" i="4"/>
  <c r="H18" i="4"/>
  <c r="G18" i="4"/>
  <c r="F18" i="4"/>
  <c r="L17" i="4"/>
  <c r="K17" i="4"/>
  <c r="J17" i="4"/>
  <c r="I17" i="4"/>
  <c r="H17" i="4"/>
  <c r="G17" i="4"/>
  <c r="F17" i="4"/>
  <c r="L6" i="4"/>
  <c r="K6" i="4"/>
  <c r="J6" i="4"/>
  <c r="I6" i="4"/>
  <c r="H6" i="4"/>
  <c r="G6" i="4"/>
  <c r="F6" i="4"/>
  <c r="L25" i="2"/>
  <c r="K25" i="2"/>
  <c r="J25" i="2"/>
  <c r="I25" i="2"/>
  <c r="H25" i="2"/>
  <c r="G25" i="2"/>
  <c r="F25" i="2"/>
  <c r="L24" i="2"/>
  <c r="K24" i="2"/>
  <c r="J24" i="2"/>
  <c r="I24" i="2"/>
  <c r="H24" i="2"/>
  <c r="G24" i="2"/>
  <c r="F24" i="2"/>
  <c r="L21" i="2"/>
  <c r="K21" i="2"/>
  <c r="J21" i="2"/>
  <c r="I21" i="2"/>
  <c r="H21" i="2"/>
  <c r="G21" i="2"/>
  <c r="F21" i="2"/>
  <c r="L20" i="2"/>
  <c r="K20" i="2"/>
  <c r="J20" i="2"/>
  <c r="I20" i="2"/>
  <c r="H20" i="2"/>
  <c r="G20" i="2"/>
  <c r="F20" i="2"/>
  <c r="L19" i="2"/>
  <c r="K19" i="2"/>
  <c r="J19" i="2"/>
  <c r="I19" i="2"/>
  <c r="H19" i="2"/>
  <c r="G19" i="2"/>
  <c r="F19" i="2"/>
  <c r="I8" i="34" l="1"/>
  <c r="I6" i="34"/>
  <c r="D77" i="33" l="1"/>
  <c r="D76" i="33"/>
  <c r="D75" i="33"/>
  <c r="D74" i="33"/>
  <c r="D73" i="33"/>
  <c r="D70" i="33"/>
  <c r="D69" i="33"/>
  <c r="D67" i="33"/>
  <c r="D65" i="33"/>
  <c r="F63" i="33"/>
  <c r="D63" i="33" s="1"/>
  <c r="D62" i="33"/>
  <c r="D61" i="33"/>
  <c r="D60" i="33"/>
  <c r="D59" i="33"/>
  <c r="D57" i="33"/>
  <c r="D56" i="33"/>
  <c r="D55" i="33"/>
  <c r="D54" i="33"/>
  <c r="D52" i="33"/>
  <c r="D51" i="33"/>
  <c r="D50" i="33"/>
  <c r="D17" i="33"/>
  <c r="D46" i="33"/>
  <c r="D45" i="33"/>
  <c r="D44" i="33"/>
  <c r="D43" i="33"/>
  <c r="D42" i="33"/>
  <c r="D41" i="33"/>
  <c r="D40" i="33"/>
  <c r="D39" i="33"/>
  <c r="D38" i="33"/>
  <c r="D37" i="33"/>
  <c r="D36" i="33"/>
  <c r="D35" i="33"/>
  <c r="D34" i="33"/>
  <c r="D33" i="33"/>
  <c r="D32" i="33"/>
  <c r="D31" i="33"/>
  <c r="D30" i="33"/>
  <c r="D29" i="33"/>
  <c r="D26" i="33"/>
  <c r="D25" i="33"/>
  <c r="D24" i="33"/>
  <c r="D23" i="33"/>
  <c r="D22" i="33"/>
  <c r="D21" i="33"/>
  <c r="D20" i="33"/>
  <c r="D15" i="33"/>
  <c r="D14" i="33"/>
  <c r="D13" i="33"/>
  <c r="D12" i="33"/>
  <c r="D11" i="33"/>
  <c r="A25" i="26" l="1"/>
  <c r="I12" i="5" l="1"/>
  <c r="I10" i="5"/>
  <c r="G14" i="2"/>
  <c r="G28" i="2" l="1"/>
  <c r="F71" i="19" l="1"/>
  <c r="F67" i="19"/>
  <c r="F61" i="19"/>
  <c r="F58" i="19"/>
  <c r="F45" i="19"/>
  <c r="F36" i="19"/>
  <c r="F32" i="19"/>
  <c r="F29" i="19"/>
  <c r="F19" i="19"/>
  <c r="F15" i="19"/>
  <c r="K57" i="3"/>
  <c r="D55" i="30" l="1"/>
  <c r="C55" i="30"/>
  <c r="A55" i="30"/>
  <c r="F52" i="30"/>
  <c r="E52" i="30"/>
  <c r="D52" i="30"/>
  <c r="C52" i="30"/>
  <c r="A52" i="30"/>
  <c r="F49" i="30"/>
  <c r="E49" i="30"/>
  <c r="D49" i="30"/>
  <c r="C49" i="30"/>
  <c r="A49" i="30"/>
  <c r="F46" i="30"/>
  <c r="E46" i="30"/>
  <c r="D46" i="30"/>
  <c r="C46" i="30"/>
  <c r="A46" i="30"/>
  <c r="F43" i="30"/>
  <c r="E43" i="30"/>
  <c r="D43" i="30"/>
  <c r="C43" i="30"/>
  <c r="A43" i="30"/>
  <c r="D40" i="30"/>
  <c r="C40" i="30"/>
  <c r="A40" i="30"/>
  <c r="G37" i="30"/>
  <c r="F37" i="30"/>
  <c r="E37" i="30"/>
  <c r="D37" i="30"/>
  <c r="C37" i="30"/>
  <c r="B37" i="30"/>
  <c r="G35" i="30"/>
  <c r="F35" i="30"/>
  <c r="E35" i="30"/>
  <c r="D35" i="30"/>
  <c r="C35" i="30"/>
  <c r="B35" i="30"/>
  <c r="A35" i="30"/>
  <c r="D32" i="30"/>
  <c r="C32" i="30"/>
  <c r="A32" i="30"/>
  <c r="D29" i="30"/>
  <c r="C29" i="30"/>
  <c r="A29" i="30"/>
  <c r="F26" i="30"/>
  <c r="E26" i="30"/>
  <c r="D26" i="30"/>
  <c r="C26" i="30"/>
  <c r="A26" i="30"/>
  <c r="F23" i="30"/>
  <c r="E23" i="30"/>
  <c r="D23" i="30"/>
  <c r="C23" i="30"/>
  <c r="A23" i="30"/>
  <c r="F20" i="30"/>
  <c r="E20" i="30"/>
  <c r="D20" i="30"/>
  <c r="C20" i="30"/>
  <c r="A20" i="30"/>
  <c r="D17" i="30"/>
  <c r="C17" i="30"/>
  <c r="E14" i="30"/>
  <c r="D14" i="30"/>
  <c r="C14" i="30"/>
  <c r="E11" i="30"/>
  <c r="D11" i="30"/>
  <c r="C11" i="30"/>
  <c r="H8" i="30"/>
  <c r="G8" i="30"/>
  <c r="F8" i="30"/>
  <c r="E8" i="30"/>
  <c r="D8" i="30"/>
  <c r="C8" i="30"/>
  <c r="H5" i="30"/>
  <c r="G5" i="30"/>
  <c r="F5" i="30"/>
  <c r="E5" i="30"/>
  <c r="D5" i="30"/>
  <c r="C5" i="30"/>
  <c r="A17" i="30"/>
  <c r="A14" i="30"/>
  <c r="A11" i="30"/>
  <c r="D72" i="24" l="1"/>
  <c r="B72" i="24"/>
  <c r="D71" i="24"/>
  <c r="B71" i="24"/>
  <c r="D69" i="24"/>
  <c r="B69" i="24"/>
  <c r="D68" i="24"/>
  <c r="B68" i="24"/>
  <c r="D67" i="24"/>
  <c r="B67" i="24"/>
  <c r="D65" i="24"/>
  <c r="B65" i="24"/>
  <c r="D64" i="24"/>
  <c r="B64" i="24"/>
  <c r="D63" i="24"/>
  <c r="B63" i="24"/>
  <c r="D62" i="24"/>
  <c r="B62" i="24"/>
  <c r="D61" i="24"/>
  <c r="B61" i="24"/>
  <c r="D59" i="24"/>
  <c r="B59" i="24"/>
  <c r="D58" i="24"/>
  <c r="B58" i="24"/>
  <c r="D56" i="24"/>
  <c r="B56" i="24"/>
  <c r="D55" i="24"/>
  <c r="B55" i="24"/>
  <c r="D54" i="24"/>
  <c r="B54" i="24"/>
  <c r="D53" i="24"/>
  <c r="B53" i="24"/>
  <c r="D52" i="24"/>
  <c r="B52" i="24"/>
  <c r="D51" i="24"/>
  <c r="B51" i="24"/>
  <c r="D50" i="24"/>
  <c r="B50" i="24"/>
  <c r="D49" i="24"/>
  <c r="D48" i="24"/>
  <c r="D47" i="24"/>
  <c r="B47" i="24"/>
  <c r="D46" i="24"/>
  <c r="D45" i="24"/>
  <c r="B45" i="24"/>
  <c r="D43" i="24"/>
  <c r="B43" i="24"/>
  <c r="D42" i="24"/>
  <c r="B42" i="24"/>
  <c r="D41" i="24"/>
  <c r="B41" i="24"/>
  <c r="D40" i="24"/>
  <c r="B40" i="24"/>
  <c r="D39" i="24"/>
  <c r="B39" i="24"/>
  <c r="D38" i="24"/>
  <c r="B38" i="24"/>
  <c r="D37" i="24"/>
  <c r="B37" i="24"/>
  <c r="D36" i="24"/>
  <c r="B36" i="24"/>
  <c r="D34" i="24"/>
  <c r="B34" i="24"/>
  <c r="D33" i="24"/>
  <c r="B33" i="24"/>
  <c r="D32" i="24"/>
  <c r="B32" i="24"/>
  <c r="D30" i="24"/>
  <c r="B30" i="24"/>
  <c r="D29" i="24"/>
  <c r="B29" i="24"/>
  <c r="D27" i="24"/>
  <c r="B27" i="24"/>
  <c r="D26" i="24"/>
  <c r="B26" i="24"/>
  <c r="D25" i="24"/>
  <c r="B25" i="24"/>
  <c r="D24" i="24"/>
  <c r="B24" i="24"/>
  <c r="D23" i="24"/>
  <c r="B23" i="24"/>
  <c r="D22" i="24"/>
  <c r="B22" i="24"/>
  <c r="D21" i="24"/>
  <c r="B21" i="24"/>
  <c r="D20" i="24"/>
  <c r="B20" i="24"/>
  <c r="D19" i="24"/>
  <c r="B19" i="24"/>
  <c r="D17" i="24"/>
  <c r="B17" i="24"/>
  <c r="D16" i="24"/>
  <c r="B16" i="24"/>
  <c r="D15" i="24"/>
  <c r="B15" i="24"/>
  <c r="D13" i="24"/>
  <c r="B13" i="24"/>
  <c r="D12" i="24"/>
  <c r="B12" i="24"/>
  <c r="D11" i="24"/>
  <c r="B11" i="24"/>
  <c r="D10" i="24"/>
  <c r="B10" i="24"/>
  <c r="D9" i="24"/>
  <c r="B9" i="24"/>
  <c r="D8" i="24"/>
  <c r="B8" i="24"/>
  <c r="D7" i="24"/>
  <c r="B7" i="24"/>
  <c r="D6" i="24"/>
  <c r="B6" i="24"/>
  <c r="D5" i="24"/>
  <c r="B5" i="24"/>
  <c r="G10" i="2" l="1"/>
  <c r="G13" i="13" l="1"/>
  <c r="G21" i="4" l="1"/>
  <c r="I9" i="5" s="1"/>
  <c r="G6" i="13" l="1"/>
  <c r="G5" i="13"/>
  <c r="G33" i="4" l="1"/>
  <c r="A8" i="2" l="1"/>
  <c r="A8" i="30" s="1"/>
  <c r="A5" i="2"/>
  <c r="A6" i="30" s="1"/>
  <c r="N27" i="16" l="1"/>
  <c r="N25" i="16"/>
  <c r="N18" i="16"/>
  <c r="N16" i="16"/>
  <c r="N45" i="15"/>
  <c r="N43" i="15"/>
  <c r="N30" i="15"/>
  <c r="N28" i="15"/>
  <c r="N23" i="15"/>
  <c r="N21" i="15"/>
  <c r="N15" i="15"/>
  <c r="N13" i="15"/>
  <c r="G24" i="4" l="1"/>
  <c r="I11" i="5" s="1"/>
  <c r="G30" i="4" l="1"/>
  <c r="I19" i="6" l="1"/>
  <c r="I7" i="6"/>
  <c r="G31" i="9" l="1"/>
  <c r="G21" i="9"/>
  <c r="G18" i="9"/>
  <c r="G15" i="9" l="1"/>
  <c r="K10" i="5"/>
  <c r="N10" i="5" s="1"/>
  <c r="K11" i="5"/>
  <c r="K9" i="5"/>
  <c r="N9" i="5" l="1"/>
  <c r="F19" i="4"/>
  <c r="N11" i="5"/>
  <c r="Z10" i="5"/>
  <c r="G15" i="4"/>
  <c r="V22" i="5"/>
  <c r="G12" i="4"/>
  <c r="W10" i="5" l="1"/>
  <c r="AA10" i="5"/>
  <c r="V10" i="5"/>
  <c r="Y10" i="5"/>
  <c r="X10" i="5"/>
  <c r="V9" i="5"/>
  <c r="G19" i="4" s="1"/>
  <c r="Z9" i="5"/>
  <c r="K19" i="4" s="1"/>
  <c r="V15" i="5"/>
  <c r="G9" i="4"/>
  <c r="G17" i="2" l="1"/>
  <c r="I39" i="3" l="1"/>
  <c r="G7" i="2" l="1"/>
  <c r="B6" i="23" l="1"/>
  <c r="B6" i="26"/>
  <c r="C6" i="26"/>
  <c r="C6" i="24" s="1"/>
  <c r="D6" i="26"/>
  <c r="I18" i="3"/>
  <c r="I28" i="3"/>
  <c r="G28" i="3"/>
  <c r="G18" i="3"/>
  <c r="M11" i="2" l="1"/>
  <c r="M8" i="2"/>
  <c r="L6" i="26" s="1"/>
  <c r="A6" i="23" l="1"/>
  <c r="A6" i="26"/>
  <c r="A13" i="18"/>
  <c r="A7" i="19"/>
  <c r="A6" i="24" s="1"/>
  <c r="A6" i="25"/>
  <c r="AA25" i="6" l="1"/>
  <c r="Z25" i="6"/>
  <c r="Y25" i="6"/>
  <c r="X25" i="6"/>
  <c r="W25" i="6"/>
  <c r="V25" i="6"/>
  <c r="AA24" i="6"/>
  <c r="Z24" i="6"/>
  <c r="Y24" i="6"/>
  <c r="X24" i="6"/>
  <c r="W24" i="6"/>
  <c r="V24" i="6"/>
  <c r="AA23" i="6"/>
  <c r="Z23" i="6"/>
  <c r="Y23" i="6"/>
  <c r="X23" i="6"/>
  <c r="W23" i="6"/>
  <c r="V23" i="6"/>
  <c r="AA22" i="6"/>
  <c r="Z22" i="6"/>
  <c r="Y22" i="6"/>
  <c r="X22" i="6"/>
  <c r="W22" i="6"/>
  <c r="V22" i="6"/>
  <c r="AA21" i="6"/>
  <c r="Z21" i="6"/>
  <c r="Y21" i="6"/>
  <c r="X21" i="6"/>
  <c r="W21" i="6"/>
  <c r="V21" i="6"/>
  <c r="AA20" i="6"/>
  <c r="Z20" i="6"/>
  <c r="Y20" i="6"/>
  <c r="X20" i="6"/>
  <c r="W20" i="6"/>
  <c r="V20" i="6"/>
  <c r="AA13" i="6"/>
  <c r="Z13" i="6"/>
  <c r="Y13" i="6"/>
  <c r="X13" i="6"/>
  <c r="W13" i="6"/>
  <c r="V13" i="6"/>
  <c r="AA12" i="6"/>
  <c r="Z12" i="6"/>
  <c r="Y12" i="6"/>
  <c r="X12" i="6"/>
  <c r="W12" i="6"/>
  <c r="V12" i="6"/>
  <c r="AA11" i="6"/>
  <c r="Z11" i="6"/>
  <c r="Y11" i="6"/>
  <c r="X11" i="6"/>
  <c r="W11" i="6"/>
  <c r="V11" i="6"/>
  <c r="AA10" i="6"/>
  <c r="Z10" i="6"/>
  <c r="Y10" i="6"/>
  <c r="X10" i="6"/>
  <c r="W10" i="6"/>
  <c r="V10" i="6"/>
  <c r="AA9" i="6"/>
  <c r="Z9" i="6"/>
  <c r="Y9" i="6"/>
  <c r="X9" i="6"/>
  <c r="W9" i="6"/>
  <c r="V9" i="6"/>
  <c r="P23" i="3" l="1"/>
  <c r="U23" i="3" s="1"/>
  <c r="P22" i="3"/>
  <c r="U22" i="3" s="1"/>
  <c r="P21" i="3"/>
  <c r="P20" i="3"/>
  <c r="U20" i="3" s="1"/>
  <c r="P24" i="3"/>
  <c r="U24" i="3" s="1"/>
  <c r="U21" i="3"/>
  <c r="AA32" i="3"/>
  <c r="Z32" i="3"/>
  <c r="Y32" i="3"/>
  <c r="X32" i="3"/>
  <c r="W32" i="3"/>
  <c r="V32" i="3"/>
  <c r="AA31" i="3"/>
  <c r="Z31" i="3"/>
  <c r="Y31" i="3"/>
  <c r="X31" i="3"/>
  <c r="W31" i="3"/>
  <c r="V31" i="3"/>
  <c r="AA30" i="3"/>
  <c r="Z30" i="3"/>
  <c r="Y30" i="3"/>
  <c r="X30" i="3"/>
  <c r="W30" i="3"/>
  <c r="V30" i="3"/>
  <c r="AA28" i="3"/>
  <c r="Z28" i="3"/>
  <c r="Y28" i="3"/>
  <c r="X28" i="3"/>
  <c r="W28" i="3"/>
  <c r="V28" i="3"/>
  <c r="K28" i="3"/>
  <c r="AA27" i="3"/>
  <c r="Z27" i="3"/>
  <c r="Y27" i="3"/>
  <c r="X27" i="3"/>
  <c r="W27" i="3"/>
  <c r="V27" i="3"/>
  <c r="K27" i="3"/>
  <c r="P14" i="3"/>
  <c r="U14" i="3" s="1"/>
  <c r="P13" i="3"/>
  <c r="U13" i="3" s="1"/>
  <c r="P12" i="3"/>
  <c r="U12" i="3" s="1"/>
  <c r="P11" i="3"/>
  <c r="U11" i="3" s="1"/>
  <c r="P10" i="3"/>
  <c r="U10" i="3" s="1"/>
  <c r="N29" i="3" l="1"/>
  <c r="Z29" i="3" s="1"/>
  <c r="Z26" i="3" s="1"/>
  <c r="K11" i="2" s="1"/>
  <c r="K26" i="3"/>
  <c r="F11" i="2" s="1"/>
  <c r="K11" i="18"/>
  <c r="K25" i="18"/>
  <c r="K38" i="18"/>
  <c r="K51" i="18"/>
  <c r="K64" i="18"/>
  <c r="A77" i="18"/>
  <c r="K77" i="18"/>
  <c r="Y29" i="3" l="1"/>
  <c r="Y26" i="3" s="1"/>
  <c r="J11" i="2" s="1"/>
  <c r="V29" i="3"/>
  <c r="V26" i="3" s="1"/>
  <c r="G11" i="2" s="1"/>
  <c r="W29" i="3"/>
  <c r="W26" i="3" s="1"/>
  <c r="H11" i="2" s="1"/>
  <c r="X29" i="3"/>
  <c r="X26" i="3" s="1"/>
  <c r="I11" i="2" s="1"/>
  <c r="AA29" i="3"/>
  <c r="AA26" i="3" s="1"/>
  <c r="L11" i="2" s="1"/>
  <c r="R6" i="5"/>
  <c r="Q6" i="5"/>
  <c r="P6" i="5"/>
  <c r="I50" i="3"/>
  <c r="K50" i="3" s="1"/>
  <c r="G71" i="19"/>
  <c r="G67" i="19"/>
  <c r="G61" i="19"/>
  <c r="G58" i="19"/>
  <c r="G45" i="19"/>
  <c r="G36" i="19"/>
  <c r="G32" i="19"/>
  <c r="G29" i="19"/>
  <c r="G19" i="19"/>
  <c r="G15" i="19"/>
  <c r="A73" i="19"/>
  <c r="A72" i="24" s="1"/>
  <c r="A72" i="19"/>
  <c r="A71" i="24" s="1"/>
  <c r="A71" i="19"/>
  <c r="A70" i="24" s="1"/>
  <c r="A70" i="19"/>
  <c r="A69" i="24" s="1"/>
  <c r="A69" i="19"/>
  <c r="A68" i="24" s="1"/>
  <c r="A68" i="19"/>
  <c r="A67" i="24" s="1"/>
  <c r="A67" i="19"/>
  <c r="A66" i="24" s="1"/>
  <c r="A66" i="19"/>
  <c r="A65" i="24" s="1"/>
  <c r="A65" i="19"/>
  <c r="A64" i="24" s="1"/>
  <c r="A64" i="19"/>
  <c r="A63" i="24" s="1"/>
  <c r="A63" i="19"/>
  <c r="A62" i="24" s="1"/>
  <c r="A62" i="19"/>
  <c r="A61" i="24" s="1"/>
  <c r="A61" i="19"/>
  <c r="A60" i="24" s="1"/>
  <c r="A60" i="19"/>
  <c r="A59" i="24" s="1"/>
  <c r="A59" i="19"/>
  <c r="A58" i="24" s="1"/>
  <c r="A58" i="19"/>
  <c r="A57" i="24" s="1"/>
  <c r="A57" i="19"/>
  <c r="A56" i="24" s="1"/>
  <c r="A56" i="19"/>
  <c r="A55" i="24" s="1"/>
  <c r="A55" i="19"/>
  <c r="A54" i="24" s="1"/>
  <c r="A54" i="19"/>
  <c r="A53" i="24" s="1"/>
  <c r="A53" i="19"/>
  <c r="A52" i="24" s="1"/>
  <c r="A52" i="19"/>
  <c r="A51" i="24" s="1"/>
  <c r="A51" i="19"/>
  <c r="A50" i="24" s="1"/>
  <c r="A50" i="19"/>
  <c r="A49" i="24" s="1"/>
  <c r="A49" i="19"/>
  <c r="A48" i="24" s="1"/>
  <c r="A48" i="19"/>
  <c r="A47" i="24" s="1"/>
  <c r="A47" i="19"/>
  <c r="A46" i="24" s="1"/>
  <c r="A46" i="19"/>
  <c r="A45" i="24" s="1"/>
  <c r="A45" i="19"/>
  <c r="A44" i="24" s="1"/>
  <c r="A44" i="19"/>
  <c r="A43" i="24" s="1"/>
  <c r="A43" i="19"/>
  <c r="A42" i="24" s="1"/>
  <c r="A42" i="19"/>
  <c r="A41" i="24" s="1"/>
  <c r="A41" i="19"/>
  <c r="A40" i="24" s="1"/>
  <c r="A40" i="19"/>
  <c r="A39" i="24" s="1"/>
  <c r="A39" i="19"/>
  <c r="A38" i="24" s="1"/>
  <c r="A38" i="19"/>
  <c r="A37" i="24" s="1"/>
  <c r="A37" i="19"/>
  <c r="A36" i="24" s="1"/>
  <c r="A36" i="19"/>
  <c r="A35" i="24" s="1"/>
  <c r="A35" i="19"/>
  <c r="A34" i="24" s="1"/>
  <c r="A34" i="19"/>
  <c r="A33" i="24" s="1"/>
  <c r="A33" i="19"/>
  <c r="A32" i="24" s="1"/>
  <c r="A32" i="19"/>
  <c r="A31" i="24" s="1"/>
  <c r="A31" i="19"/>
  <c r="A30" i="24" s="1"/>
  <c r="A30" i="19"/>
  <c r="A29" i="19"/>
  <c r="A28" i="24" s="1"/>
  <c r="A28" i="19"/>
  <c r="A27" i="24" s="1"/>
  <c r="A27" i="19"/>
  <c r="A26" i="24" s="1"/>
  <c r="A26" i="19"/>
  <c r="A25" i="24" s="1"/>
  <c r="A25" i="19"/>
  <c r="A24" i="24" s="1"/>
  <c r="A24" i="19"/>
  <c r="A23" i="24" s="1"/>
  <c r="A23" i="19"/>
  <c r="A22" i="24" s="1"/>
  <c r="A22" i="19"/>
  <c r="A21" i="24" s="1"/>
  <c r="A21" i="19"/>
  <c r="A20" i="24" s="1"/>
  <c r="A20" i="19"/>
  <c r="A19" i="24" s="1"/>
  <c r="A19" i="19"/>
  <c r="A18" i="24" s="1"/>
  <c r="A5" i="19"/>
  <c r="A4" i="24" s="1"/>
  <c r="A18" i="19"/>
  <c r="A17" i="24" s="1"/>
  <c r="A17" i="19"/>
  <c r="A16" i="24" s="1"/>
  <c r="A16" i="19"/>
  <c r="A15" i="24" s="1"/>
  <c r="A15" i="19"/>
  <c r="A14" i="24" s="1"/>
  <c r="A14" i="19"/>
  <c r="A13" i="24" s="1"/>
  <c r="A12" i="19"/>
  <c r="A11" i="24" s="1"/>
  <c r="A11" i="19"/>
  <c r="A10" i="24" s="1"/>
  <c r="A10" i="19"/>
  <c r="A9" i="24" s="1"/>
  <c r="A9" i="19"/>
  <c r="A8" i="24" s="1"/>
  <c r="A8" i="19"/>
  <c r="A7" i="24" s="1"/>
  <c r="D57" i="19"/>
  <c r="E57" i="19"/>
  <c r="D56" i="19"/>
  <c r="E56" i="19" s="1"/>
  <c r="D55" i="19"/>
  <c r="E55" i="19" s="1"/>
  <c r="D51" i="19"/>
  <c r="E51" i="19" s="1"/>
  <c r="D48" i="19"/>
  <c r="E48" i="19" s="1"/>
  <c r="D46" i="19"/>
  <c r="E46" i="19" s="1"/>
  <c r="D39" i="19"/>
  <c r="D36" i="19"/>
  <c r="E36" i="19" s="1"/>
  <c r="D34" i="19"/>
  <c r="D28" i="19"/>
  <c r="D23" i="19"/>
  <c r="D21" i="19"/>
  <c r="D17" i="19"/>
  <c r="D12" i="19"/>
  <c r="D8" i="19"/>
  <c r="D35" i="19"/>
  <c r="E35" i="19" s="1"/>
  <c r="B42" i="19"/>
  <c r="B41" i="19"/>
  <c r="B38" i="19"/>
  <c r="B37" i="19"/>
  <c r="C24" i="19"/>
  <c r="D24" i="19" s="1"/>
  <c r="C9" i="19"/>
  <c r="D9" i="19" s="1"/>
  <c r="C10" i="19"/>
  <c r="D10" i="19"/>
  <c r="C11" i="19"/>
  <c r="D11" i="19" s="1"/>
  <c r="C13" i="19"/>
  <c r="D13" i="19" s="1"/>
  <c r="C14" i="19"/>
  <c r="D14" i="19" s="1"/>
  <c r="C15" i="19"/>
  <c r="D15" i="19" s="1"/>
  <c r="C16" i="19"/>
  <c r="D16" i="19" s="1"/>
  <c r="C18" i="19"/>
  <c r="D18" i="19" s="1"/>
  <c r="C19" i="19"/>
  <c r="D19" i="19" s="1"/>
  <c r="C20" i="19"/>
  <c r="D20" i="19" s="1"/>
  <c r="C22" i="19"/>
  <c r="D22" i="19" s="1"/>
  <c r="C25" i="19"/>
  <c r="D25" i="19" s="1"/>
  <c r="C26" i="19"/>
  <c r="D26" i="19" s="1"/>
  <c r="C27" i="19"/>
  <c r="D27" i="19" s="1"/>
  <c r="C29" i="19"/>
  <c r="D29" i="19" s="1"/>
  <c r="C30" i="19"/>
  <c r="D30" i="19" s="1"/>
  <c r="C31" i="19"/>
  <c r="D31" i="19" s="1"/>
  <c r="C32" i="19"/>
  <c r="D32" i="19" s="1"/>
  <c r="C33" i="19"/>
  <c r="D33" i="19" s="1"/>
  <c r="C35" i="19"/>
  <c r="C36" i="19"/>
  <c r="C37" i="19"/>
  <c r="D37" i="19" s="1"/>
  <c r="C38" i="19"/>
  <c r="C40" i="19"/>
  <c r="D40" i="19" s="1"/>
  <c r="C41" i="19"/>
  <c r="C42" i="19"/>
  <c r="C43" i="19"/>
  <c r="D43" i="19" s="1"/>
  <c r="D44" i="19"/>
  <c r="C45" i="19"/>
  <c r="D45" i="19" s="1"/>
  <c r="C46" i="19"/>
  <c r="C47" i="19"/>
  <c r="D47" i="19" s="1"/>
  <c r="C48" i="19"/>
  <c r="C49" i="19"/>
  <c r="D49" i="19"/>
  <c r="C50" i="19"/>
  <c r="D50" i="19" s="1"/>
  <c r="C51" i="19"/>
  <c r="D52" i="19"/>
  <c r="D53" i="19"/>
  <c r="C54" i="19"/>
  <c r="D54" i="19" s="1"/>
  <c r="C55" i="19"/>
  <c r="C56" i="19"/>
  <c r="C57" i="19"/>
  <c r="C58" i="19"/>
  <c r="D58" i="19" s="1"/>
  <c r="C59" i="19"/>
  <c r="D59" i="19" s="1"/>
  <c r="C60" i="19"/>
  <c r="D60" i="19" s="1"/>
  <c r="C61" i="19"/>
  <c r="D61" i="19" s="1"/>
  <c r="C62" i="19"/>
  <c r="D62" i="19" s="1"/>
  <c r="C63" i="19"/>
  <c r="D63" i="19" s="1"/>
  <c r="C64" i="19"/>
  <c r="D64" i="19" s="1"/>
  <c r="D65" i="19"/>
  <c r="C66" i="19"/>
  <c r="D66" i="19" s="1"/>
  <c r="C67" i="19"/>
  <c r="D67" i="19" s="1"/>
  <c r="C68" i="19"/>
  <c r="D68" i="19"/>
  <c r="C69" i="19"/>
  <c r="D69" i="19" s="1"/>
  <c r="C70" i="19"/>
  <c r="D70" i="19" s="1"/>
  <c r="C71" i="19"/>
  <c r="D71" i="19" s="1"/>
  <c r="D72" i="19"/>
  <c r="C73" i="19"/>
  <c r="D73" i="19" s="1"/>
  <c r="C6" i="19"/>
  <c r="D6" i="19" s="1"/>
  <c r="J88" i="3"/>
  <c r="K18" i="3"/>
  <c r="I8" i="3"/>
  <c r="K8" i="3" s="1"/>
  <c r="B39" i="26"/>
  <c r="B79" i="18"/>
  <c r="A79" i="18"/>
  <c r="B78" i="18"/>
  <c r="A78" i="18"/>
  <c r="B76" i="18"/>
  <c r="B75" i="18"/>
  <c r="B74" i="18"/>
  <c r="A73" i="18"/>
  <c r="B72" i="18"/>
  <c r="B71" i="18"/>
  <c r="B70" i="18"/>
  <c r="B69" i="18"/>
  <c r="B68" i="18"/>
  <c r="A67" i="18"/>
  <c r="B66" i="18"/>
  <c r="A66" i="18"/>
  <c r="B65" i="18"/>
  <c r="A65" i="18"/>
  <c r="A64" i="18"/>
  <c r="B63" i="18"/>
  <c r="A63" i="18"/>
  <c r="B62" i="18"/>
  <c r="A62" i="18"/>
  <c r="B61" i="18"/>
  <c r="A61" i="18"/>
  <c r="B60" i="18"/>
  <c r="A60" i="18"/>
  <c r="B59" i="18"/>
  <c r="A59" i="18"/>
  <c r="B58" i="18"/>
  <c r="A58" i="18"/>
  <c r="B57" i="18"/>
  <c r="A57" i="18"/>
  <c r="B56" i="18"/>
  <c r="A56" i="18"/>
  <c r="B55" i="18"/>
  <c r="A55" i="18"/>
  <c r="B54" i="18"/>
  <c r="A54" i="18"/>
  <c r="B53" i="18"/>
  <c r="A53" i="18"/>
  <c r="B52" i="18"/>
  <c r="A52" i="18"/>
  <c r="A51" i="18"/>
  <c r="B50" i="18"/>
  <c r="A50" i="18"/>
  <c r="B49" i="18"/>
  <c r="A49" i="18"/>
  <c r="B48" i="18"/>
  <c r="A48" i="18"/>
  <c r="B47" i="18"/>
  <c r="A47" i="18"/>
  <c r="B46" i="18"/>
  <c r="A46" i="18"/>
  <c r="B45" i="18"/>
  <c r="A45" i="18"/>
  <c r="B44" i="18"/>
  <c r="A44" i="18"/>
  <c r="B43" i="18"/>
  <c r="A43" i="18"/>
  <c r="A42" i="18"/>
  <c r="B41" i="18"/>
  <c r="A41" i="18"/>
  <c r="B40" i="18"/>
  <c r="A40" i="18"/>
  <c r="B39" i="18"/>
  <c r="A39" i="18"/>
  <c r="A38" i="18"/>
  <c r="B37" i="18"/>
  <c r="A37" i="18"/>
  <c r="B36" i="18"/>
  <c r="A36" i="18"/>
  <c r="A35" i="18"/>
  <c r="B34" i="18"/>
  <c r="A34" i="18"/>
  <c r="B33" i="18"/>
  <c r="A33" i="18"/>
  <c r="B32" i="18"/>
  <c r="A32" i="18"/>
  <c r="B31" i="18"/>
  <c r="A31" i="18"/>
  <c r="B30" i="18"/>
  <c r="A30" i="18"/>
  <c r="B29" i="18"/>
  <c r="A29" i="18"/>
  <c r="B28" i="18"/>
  <c r="A28" i="18"/>
  <c r="B27" i="18"/>
  <c r="A27" i="18"/>
  <c r="B26" i="18"/>
  <c r="A26" i="18"/>
  <c r="A25" i="18"/>
  <c r="A24" i="18"/>
  <c r="A23" i="18"/>
  <c r="A22" i="18"/>
  <c r="A21" i="18"/>
  <c r="A20" i="18"/>
  <c r="A18" i="18"/>
  <c r="A17" i="18"/>
  <c r="A16" i="18"/>
  <c r="A15" i="18"/>
  <c r="A14" i="18"/>
  <c r="A11" i="18"/>
  <c r="D23" i="1"/>
  <c r="C46" i="13" s="1"/>
  <c r="B23" i="1"/>
  <c r="B6" i="1" s="1"/>
  <c r="C206" i="29"/>
  <c r="E111" i="29"/>
  <c r="D111" i="29" s="1"/>
  <c r="E179" i="29"/>
  <c r="D179" i="29" s="1"/>
  <c r="E128" i="29"/>
  <c r="D128" i="29" s="1"/>
  <c r="E199" i="29"/>
  <c r="D199" i="29" s="1"/>
  <c r="E68" i="29"/>
  <c r="D68" i="29" s="1"/>
  <c r="E45" i="29"/>
  <c r="D45" i="29" s="1"/>
  <c r="D9" i="29"/>
  <c r="E201" i="29"/>
  <c r="D201" i="29" s="1"/>
  <c r="D66" i="29"/>
  <c r="C99" i="29"/>
  <c r="C64" i="29"/>
  <c r="D205" i="29"/>
  <c r="D206" i="29"/>
  <c r="D10" i="29"/>
  <c r="D11" i="29"/>
  <c r="D12" i="29"/>
  <c r="D13" i="29"/>
  <c r="D14" i="29"/>
  <c r="D15" i="29"/>
  <c r="C23" i="1" s="1"/>
  <c r="C11" i="13" s="1"/>
  <c r="D16" i="29"/>
  <c r="D19" i="29"/>
  <c r="D20" i="29"/>
  <c r="D21" i="29"/>
  <c r="D22" i="29"/>
  <c r="D23" i="29"/>
  <c r="D24" i="29"/>
  <c r="D26" i="29"/>
  <c r="D27" i="29"/>
  <c r="D28" i="29"/>
  <c r="D29" i="29"/>
  <c r="D30" i="29"/>
  <c r="D31" i="29"/>
  <c r="D32" i="29"/>
  <c r="D33" i="29"/>
  <c r="D34" i="29"/>
  <c r="D35" i="29"/>
  <c r="D36" i="29"/>
  <c r="D37" i="29"/>
  <c r="D38" i="29"/>
  <c r="D40" i="29"/>
  <c r="D41" i="29"/>
  <c r="D42" i="29"/>
  <c r="D44" i="29"/>
  <c r="D46" i="29"/>
  <c r="D47" i="29"/>
  <c r="D150" i="29"/>
  <c r="D48" i="29"/>
  <c r="D49" i="29"/>
  <c r="D50" i="29"/>
  <c r="D51" i="29"/>
  <c r="D52" i="29"/>
  <c r="D53" i="29"/>
  <c r="D55" i="29"/>
  <c r="D56" i="29"/>
  <c r="D58" i="29"/>
  <c r="D59" i="29"/>
  <c r="D60" i="29"/>
  <c r="D61" i="29"/>
  <c r="D62" i="29"/>
  <c r="D63" i="29"/>
  <c r="D64" i="29"/>
  <c r="D65" i="29"/>
  <c r="D182" i="29"/>
  <c r="D69" i="29"/>
  <c r="D72" i="29"/>
  <c r="D73" i="29"/>
  <c r="D74" i="29"/>
  <c r="D76" i="29"/>
  <c r="D78" i="29"/>
  <c r="D79" i="29"/>
  <c r="D80" i="29"/>
  <c r="D81" i="29"/>
  <c r="D82" i="29"/>
  <c r="D83" i="29"/>
  <c r="D84" i="29"/>
  <c r="D87" i="29"/>
  <c r="D88" i="29"/>
  <c r="D89" i="29"/>
  <c r="D90" i="29"/>
  <c r="D94" i="29"/>
  <c r="D96" i="29"/>
  <c r="D97" i="29"/>
  <c r="D98" i="29"/>
  <c r="D99" i="29"/>
  <c r="D100" i="29"/>
  <c r="D101" i="29"/>
  <c r="D102" i="29"/>
  <c r="D103" i="29"/>
  <c r="D104" i="29"/>
  <c r="D105" i="29"/>
  <c r="D106" i="29"/>
  <c r="D107" i="29"/>
  <c r="D108" i="29"/>
  <c r="D110" i="29"/>
  <c r="D112" i="29"/>
  <c r="D113" i="29"/>
  <c r="D114" i="29"/>
  <c r="D115" i="29"/>
  <c r="D116" i="29"/>
  <c r="D117" i="29"/>
  <c r="D118" i="29"/>
  <c r="D120" i="29"/>
  <c r="D121" i="29"/>
  <c r="D122" i="29"/>
  <c r="D123" i="29"/>
  <c r="D124" i="29"/>
  <c r="D125" i="29"/>
  <c r="D126" i="29"/>
  <c r="D127" i="29"/>
  <c r="D129" i="29"/>
  <c r="D132" i="29"/>
  <c r="D133" i="29"/>
  <c r="D134" i="29"/>
  <c r="D135" i="29"/>
  <c r="D137" i="29"/>
  <c r="D138" i="29"/>
  <c r="D139" i="29"/>
  <c r="D140" i="29"/>
  <c r="D141" i="29"/>
  <c r="D142" i="29"/>
  <c r="D143" i="29"/>
  <c r="D144" i="29"/>
  <c r="D147" i="29"/>
  <c r="D149" i="29"/>
  <c r="D151" i="29"/>
  <c r="D152" i="29"/>
  <c r="D153" i="29"/>
  <c r="D154" i="29"/>
  <c r="D155" i="29"/>
  <c r="D156" i="29"/>
  <c r="D157" i="29"/>
  <c r="D158" i="29"/>
  <c r="D159" i="29"/>
  <c r="D160" i="29"/>
  <c r="D161" i="29"/>
  <c r="D162" i="29"/>
  <c r="D163" i="29"/>
  <c r="D164" i="29"/>
  <c r="D165" i="29"/>
  <c r="D168" i="29"/>
  <c r="D169" i="29"/>
  <c r="D170" i="29"/>
  <c r="D172" i="29"/>
  <c r="D173" i="29"/>
  <c r="D174" i="29"/>
  <c r="D67" i="29"/>
  <c r="D177" i="29"/>
  <c r="D178" i="29"/>
  <c r="D180" i="29"/>
  <c r="D181" i="29"/>
  <c r="D183" i="29"/>
  <c r="D184" i="29"/>
  <c r="D185" i="29"/>
  <c r="D186" i="29"/>
  <c r="D187" i="29"/>
  <c r="D189" i="29"/>
  <c r="D190" i="29"/>
  <c r="D191" i="29"/>
  <c r="D192" i="29"/>
  <c r="D193" i="29"/>
  <c r="D195" i="29"/>
  <c r="D197" i="29"/>
  <c r="D198" i="29"/>
  <c r="D200" i="29"/>
  <c r="D202" i="29"/>
  <c r="D203" i="29"/>
  <c r="D204" i="29"/>
  <c r="D17" i="29"/>
  <c r="B7" i="31"/>
  <c r="I47" i="15"/>
  <c r="K47" i="15" s="1"/>
  <c r="F31" i="13" s="1"/>
  <c r="I43" i="15"/>
  <c r="K43" i="15" s="1"/>
  <c r="F29" i="13" s="1"/>
  <c r="I33" i="15"/>
  <c r="K33" i="15" s="1"/>
  <c r="I32" i="15"/>
  <c r="K32" i="15" s="1"/>
  <c r="I31" i="15"/>
  <c r="K31" i="15" s="1"/>
  <c r="I30" i="15"/>
  <c r="K30" i="15" s="1"/>
  <c r="I29" i="15"/>
  <c r="K29" i="15" s="1"/>
  <c r="F25" i="13" s="1"/>
  <c r="I16" i="15"/>
  <c r="K16" i="15" s="1"/>
  <c r="I15" i="15"/>
  <c r="K15" i="15" s="1"/>
  <c r="F18" i="13" s="1"/>
  <c r="I14" i="15"/>
  <c r="K14" i="15" s="1"/>
  <c r="F17" i="13" s="1"/>
  <c r="I13" i="15"/>
  <c r="K13" i="15" s="1"/>
  <c r="F16" i="13" s="1"/>
  <c r="B15" i="13"/>
  <c r="B32" i="26"/>
  <c r="B72" i="26"/>
  <c r="B71" i="26"/>
  <c r="B69" i="26"/>
  <c r="B68" i="26"/>
  <c r="B67" i="26"/>
  <c r="B65" i="26"/>
  <c r="B64" i="26"/>
  <c r="B63" i="26"/>
  <c r="B62" i="26"/>
  <c r="B61" i="26"/>
  <c r="B59" i="26"/>
  <c r="B58" i="26"/>
  <c r="B56" i="26"/>
  <c r="B55" i="26"/>
  <c r="B54" i="26"/>
  <c r="B53" i="26"/>
  <c r="B52" i="26"/>
  <c r="B51" i="26"/>
  <c r="B50" i="26"/>
  <c r="B47" i="26"/>
  <c r="B45" i="26"/>
  <c r="B43" i="26"/>
  <c r="B42" i="26"/>
  <c r="B41" i="26"/>
  <c r="B40" i="26"/>
  <c r="B38" i="26"/>
  <c r="B37" i="26"/>
  <c r="B36" i="26"/>
  <c r="B34" i="26"/>
  <c r="B33" i="26"/>
  <c r="B30" i="26"/>
  <c r="B29" i="26"/>
  <c r="B27" i="26"/>
  <c r="B26" i="26"/>
  <c r="B25" i="26"/>
  <c r="B24" i="26"/>
  <c r="B23" i="26"/>
  <c r="B22" i="26"/>
  <c r="B21" i="26"/>
  <c r="B20" i="26"/>
  <c r="B19" i="26"/>
  <c r="B17" i="26"/>
  <c r="B16" i="26"/>
  <c r="B15" i="26"/>
  <c r="B13" i="26"/>
  <c r="B12" i="26"/>
  <c r="B11" i="26"/>
  <c r="B10" i="26"/>
  <c r="B9" i="26"/>
  <c r="B8" i="26"/>
  <c r="B7" i="26"/>
  <c r="B5" i="26"/>
  <c r="B8" i="31"/>
  <c r="E3" i="9" s="1"/>
  <c r="I72" i="26"/>
  <c r="E72" i="25" s="1"/>
  <c r="I71" i="26"/>
  <c r="K68" i="26"/>
  <c r="H18" i="21" s="1"/>
  <c r="J68" i="26"/>
  <c r="G18" i="21" s="1"/>
  <c r="I68" i="26"/>
  <c r="I58" i="26"/>
  <c r="E58" i="25" s="1"/>
  <c r="B72" i="23"/>
  <c r="B71" i="23"/>
  <c r="B69" i="23"/>
  <c r="B68" i="23"/>
  <c r="B67" i="23"/>
  <c r="B65" i="23"/>
  <c r="B64" i="23"/>
  <c r="B63" i="23"/>
  <c r="B62" i="23"/>
  <c r="B61" i="23"/>
  <c r="B59" i="23"/>
  <c r="B58" i="23"/>
  <c r="B56" i="23"/>
  <c r="B55" i="23"/>
  <c r="B54" i="23"/>
  <c r="B53" i="23"/>
  <c r="B52" i="23"/>
  <c r="B51" i="23"/>
  <c r="B50" i="23"/>
  <c r="B47" i="23"/>
  <c r="B45" i="23"/>
  <c r="B43" i="23"/>
  <c r="B42" i="23"/>
  <c r="B41" i="23"/>
  <c r="B40" i="23"/>
  <c r="B39" i="23"/>
  <c r="B38" i="23"/>
  <c r="B37" i="23"/>
  <c r="B36" i="23"/>
  <c r="B34" i="23"/>
  <c r="B33" i="23"/>
  <c r="B32" i="23"/>
  <c r="B30" i="23"/>
  <c r="B29" i="23"/>
  <c r="B27" i="23"/>
  <c r="B26" i="23"/>
  <c r="B25" i="23"/>
  <c r="B24" i="23"/>
  <c r="B23" i="23"/>
  <c r="B22" i="23"/>
  <c r="B21" i="23"/>
  <c r="B20" i="23"/>
  <c r="B19" i="23"/>
  <c r="B17" i="23"/>
  <c r="B16" i="23"/>
  <c r="B15" i="23"/>
  <c r="B13" i="23"/>
  <c r="B12" i="23"/>
  <c r="B11" i="23"/>
  <c r="B10" i="23"/>
  <c r="B9" i="23"/>
  <c r="B8" i="23"/>
  <c r="B7" i="23"/>
  <c r="B5" i="23"/>
  <c r="B28" i="13"/>
  <c r="B23" i="13"/>
  <c r="I45" i="15"/>
  <c r="K45" i="15" s="1"/>
  <c r="I28" i="15"/>
  <c r="K28" i="15" s="1"/>
  <c r="F24" i="13" s="1"/>
  <c r="M18" i="2"/>
  <c r="M19" i="2" s="1"/>
  <c r="A11" i="23"/>
  <c r="A10" i="23"/>
  <c r="A11" i="25"/>
  <c r="A10" i="25"/>
  <c r="C11" i="26"/>
  <c r="C11" i="24" s="1"/>
  <c r="A11" i="26"/>
  <c r="C10" i="26"/>
  <c r="C10" i="24" s="1"/>
  <c r="A10" i="26"/>
  <c r="I53" i="3"/>
  <c r="K53" i="3" s="1"/>
  <c r="I52" i="3"/>
  <c r="K52" i="3" s="1"/>
  <c r="F18" i="2" s="1"/>
  <c r="D11" i="26"/>
  <c r="I6" i="5"/>
  <c r="K6" i="5" s="1"/>
  <c r="N6" i="5" s="1"/>
  <c r="AA18" i="16"/>
  <c r="Z18" i="16"/>
  <c r="Y18" i="16"/>
  <c r="X18" i="16"/>
  <c r="W18" i="16"/>
  <c r="V18" i="16"/>
  <c r="A72" i="23"/>
  <c r="A71" i="23"/>
  <c r="A70" i="23"/>
  <c r="A69" i="23"/>
  <c r="A68" i="23"/>
  <c r="A67" i="23"/>
  <c r="A66" i="23"/>
  <c r="A65" i="23"/>
  <c r="A64" i="23"/>
  <c r="A63" i="23"/>
  <c r="A62" i="23"/>
  <c r="A61" i="23"/>
  <c r="A60" i="23"/>
  <c r="A59" i="23"/>
  <c r="A58" i="23"/>
  <c r="A57" i="23"/>
  <c r="A56" i="23"/>
  <c r="A55" i="23"/>
  <c r="A54" i="23"/>
  <c r="A53" i="23"/>
  <c r="A52" i="23"/>
  <c r="A51" i="23"/>
  <c r="A50" i="23"/>
  <c r="A49" i="23"/>
  <c r="A48" i="23"/>
  <c r="A47" i="23"/>
  <c r="A46" i="23"/>
  <c r="A45" i="23"/>
  <c r="A44" i="23"/>
  <c r="A43" i="23"/>
  <c r="A42" i="23"/>
  <c r="A41" i="23"/>
  <c r="A40" i="23"/>
  <c r="A39" i="23"/>
  <c r="A38" i="23"/>
  <c r="A37" i="23"/>
  <c r="A36" i="23"/>
  <c r="A35" i="23"/>
  <c r="A34" i="23"/>
  <c r="A33" i="23"/>
  <c r="A32" i="23"/>
  <c r="A31" i="23"/>
  <c r="A30" i="23"/>
  <c r="A29" i="23"/>
  <c r="A28" i="23"/>
  <c r="A27" i="23"/>
  <c r="A26" i="23"/>
  <c r="A25" i="23"/>
  <c r="A24" i="23"/>
  <c r="A23" i="23"/>
  <c r="A22" i="23"/>
  <c r="A21" i="23"/>
  <c r="A20" i="23"/>
  <c r="A19" i="23"/>
  <c r="A18" i="23"/>
  <c r="A17" i="23"/>
  <c r="A16" i="23"/>
  <c r="A15" i="23"/>
  <c r="A14" i="23"/>
  <c r="A13" i="23"/>
  <c r="A9" i="23"/>
  <c r="A8" i="23"/>
  <c r="A7" i="23"/>
  <c r="A4" i="23"/>
  <c r="A72" i="25"/>
  <c r="A71" i="25"/>
  <c r="A70" i="25"/>
  <c r="A67" i="25"/>
  <c r="A66" i="25"/>
  <c r="A65" i="25"/>
  <c r="A64" i="25"/>
  <c r="A63" i="25"/>
  <c r="A62" i="25"/>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8" i="25"/>
  <c r="A27" i="25"/>
  <c r="A26" i="25"/>
  <c r="A25" i="25"/>
  <c r="A24" i="25"/>
  <c r="A23" i="25"/>
  <c r="A22" i="25"/>
  <c r="A21" i="25"/>
  <c r="A20" i="25"/>
  <c r="A19" i="25"/>
  <c r="A18" i="25"/>
  <c r="A17" i="25"/>
  <c r="A16" i="25"/>
  <c r="A15" i="25"/>
  <c r="A14" i="25"/>
  <c r="A13" i="25"/>
  <c r="A9" i="25"/>
  <c r="A8" i="25"/>
  <c r="A7" i="25"/>
  <c r="A4" i="25"/>
  <c r="L72" i="26"/>
  <c r="D72" i="26"/>
  <c r="C72" i="26"/>
  <c r="C72" i="24" s="1"/>
  <c r="A72" i="26"/>
  <c r="L71" i="26"/>
  <c r="D71" i="26"/>
  <c r="C71" i="26"/>
  <c r="C71" i="24" s="1"/>
  <c r="A71" i="26"/>
  <c r="A70" i="26"/>
  <c r="L69" i="26"/>
  <c r="D69" i="26"/>
  <c r="C69" i="26"/>
  <c r="C69" i="24" s="1"/>
  <c r="L68" i="26"/>
  <c r="D68" i="26"/>
  <c r="C68" i="26"/>
  <c r="C68" i="24" s="1"/>
  <c r="L67" i="26"/>
  <c r="D67" i="26"/>
  <c r="C67" i="26"/>
  <c r="C67" i="24" s="1"/>
  <c r="A66" i="26"/>
  <c r="L65" i="26"/>
  <c r="D65" i="26"/>
  <c r="C65" i="26"/>
  <c r="C65" i="24" s="1"/>
  <c r="L64" i="26"/>
  <c r="D64" i="26"/>
  <c r="C64" i="26"/>
  <c r="C64" i="24" s="1"/>
  <c r="L63" i="26"/>
  <c r="D63" i="26"/>
  <c r="C63" i="26"/>
  <c r="C63" i="24" s="1"/>
  <c r="L62" i="26"/>
  <c r="D62" i="26"/>
  <c r="C62" i="26"/>
  <c r="C62" i="24" s="1"/>
  <c r="L61" i="26"/>
  <c r="D61" i="26"/>
  <c r="C61" i="26"/>
  <c r="C61" i="24" s="1"/>
  <c r="A60" i="26"/>
  <c r="L59" i="26"/>
  <c r="D59" i="26"/>
  <c r="C59" i="26"/>
  <c r="C59" i="24" s="1"/>
  <c r="A59" i="26"/>
  <c r="L58" i="26"/>
  <c r="D58" i="26"/>
  <c r="C58" i="26"/>
  <c r="C58" i="24" s="1"/>
  <c r="A58" i="26"/>
  <c r="A57" i="26"/>
  <c r="L56" i="26"/>
  <c r="D56" i="26"/>
  <c r="A56" i="26"/>
  <c r="L55" i="26"/>
  <c r="D55" i="26"/>
  <c r="A55" i="26"/>
  <c r="L54" i="26"/>
  <c r="D54" i="26"/>
  <c r="A54" i="26"/>
  <c r="L53" i="26"/>
  <c r="D53" i="26"/>
  <c r="C53" i="26"/>
  <c r="C53" i="24" s="1"/>
  <c r="A53" i="26"/>
  <c r="L52" i="26"/>
  <c r="D52" i="26"/>
  <c r="C52" i="26"/>
  <c r="C52" i="24" s="1"/>
  <c r="A52" i="26"/>
  <c r="L51" i="26"/>
  <c r="D51" i="26"/>
  <c r="C51" i="26"/>
  <c r="C51" i="24" s="1"/>
  <c r="A51" i="26"/>
  <c r="L50" i="26"/>
  <c r="D50" i="26"/>
  <c r="A50" i="26"/>
  <c r="L49" i="26"/>
  <c r="D49" i="26"/>
  <c r="A49" i="26"/>
  <c r="L48" i="26"/>
  <c r="D48" i="26"/>
  <c r="A48" i="26"/>
  <c r="L47" i="26"/>
  <c r="D47" i="26"/>
  <c r="A47" i="26"/>
  <c r="L46" i="26"/>
  <c r="D46" i="26"/>
  <c r="A46" i="26"/>
  <c r="L45" i="26"/>
  <c r="D45" i="26"/>
  <c r="A45" i="26"/>
  <c r="A44" i="26"/>
  <c r="L43" i="26"/>
  <c r="D43" i="26"/>
  <c r="C43" i="26"/>
  <c r="C43" i="24" s="1"/>
  <c r="A43" i="26"/>
  <c r="L42" i="26"/>
  <c r="D42" i="26"/>
  <c r="C42" i="26"/>
  <c r="C42" i="24" s="1"/>
  <c r="A42" i="26"/>
  <c r="L41" i="26"/>
  <c r="D41" i="26"/>
  <c r="C41" i="26"/>
  <c r="C41" i="24" s="1"/>
  <c r="A41" i="26"/>
  <c r="L40" i="26"/>
  <c r="D40" i="26"/>
  <c r="C40" i="26"/>
  <c r="C40" i="24" s="1"/>
  <c r="A40" i="26"/>
  <c r="L39" i="26"/>
  <c r="D39" i="26"/>
  <c r="C39" i="26"/>
  <c r="C39" i="24" s="1"/>
  <c r="A39" i="26"/>
  <c r="L38" i="26"/>
  <c r="D38" i="26"/>
  <c r="C38" i="26"/>
  <c r="C38" i="24" s="1"/>
  <c r="A38" i="26"/>
  <c r="L37" i="26"/>
  <c r="D37" i="26"/>
  <c r="C37" i="26"/>
  <c r="C37" i="24" s="1"/>
  <c r="A37" i="26"/>
  <c r="L36" i="26"/>
  <c r="D36" i="26"/>
  <c r="C36" i="26"/>
  <c r="C36" i="24" s="1"/>
  <c r="A36" i="26"/>
  <c r="L34" i="26"/>
  <c r="D34" i="26"/>
  <c r="C34" i="26"/>
  <c r="C34" i="24" s="1"/>
  <c r="A34" i="26"/>
  <c r="L33" i="26"/>
  <c r="D33" i="26"/>
  <c r="C33" i="26"/>
  <c r="C33" i="24" s="1"/>
  <c r="A33" i="26"/>
  <c r="L32" i="26"/>
  <c r="D32" i="26"/>
  <c r="C32" i="26"/>
  <c r="C32" i="24" s="1"/>
  <c r="A32" i="26"/>
  <c r="A31" i="26"/>
  <c r="L30" i="26"/>
  <c r="D30" i="26"/>
  <c r="C30" i="26"/>
  <c r="C30" i="24" s="1"/>
  <c r="A30" i="26"/>
  <c r="L29" i="26"/>
  <c r="D29" i="26"/>
  <c r="C29" i="26"/>
  <c r="C29" i="24" s="1"/>
  <c r="A28" i="26"/>
  <c r="L27" i="26"/>
  <c r="D27" i="26"/>
  <c r="C27" i="26"/>
  <c r="C27" i="24" s="1"/>
  <c r="A27" i="26"/>
  <c r="L26" i="26"/>
  <c r="D26" i="26"/>
  <c r="C26" i="26"/>
  <c r="C26" i="24" s="1"/>
  <c r="A26" i="26"/>
  <c r="L25" i="26"/>
  <c r="D25" i="26"/>
  <c r="C25" i="26"/>
  <c r="C25" i="24" s="1"/>
  <c r="L24" i="26"/>
  <c r="D24" i="26"/>
  <c r="C24" i="26"/>
  <c r="C24" i="24" s="1"/>
  <c r="A24" i="26"/>
  <c r="L23" i="26"/>
  <c r="D23" i="26"/>
  <c r="C23" i="26"/>
  <c r="C23" i="24" s="1"/>
  <c r="A23" i="26"/>
  <c r="L22" i="26"/>
  <c r="D22" i="26"/>
  <c r="C22" i="26"/>
  <c r="C22" i="24" s="1"/>
  <c r="A22" i="26"/>
  <c r="L21" i="26"/>
  <c r="D21" i="26"/>
  <c r="C21" i="26"/>
  <c r="C21" i="24" s="1"/>
  <c r="A21" i="26"/>
  <c r="L20" i="26"/>
  <c r="D20" i="26"/>
  <c r="C20" i="26"/>
  <c r="C20" i="24" s="1"/>
  <c r="A20" i="26"/>
  <c r="L19" i="26"/>
  <c r="D19" i="26"/>
  <c r="C19" i="26"/>
  <c r="C19" i="24" s="1"/>
  <c r="A19" i="26"/>
  <c r="A18" i="26"/>
  <c r="A17" i="26"/>
  <c r="D16" i="26"/>
  <c r="C16" i="26"/>
  <c r="C16" i="24" s="1"/>
  <c r="A16" i="26"/>
  <c r="D15" i="26"/>
  <c r="C15" i="26"/>
  <c r="C15" i="24" s="1"/>
  <c r="A15" i="26"/>
  <c r="A14" i="26"/>
  <c r="D13" i="26"/>
  <c r="C13" i="26"/>
  <c r="C13" i="24" s="1"/>
  <c r="A13" i="26"/>
  <c r="D12" i="26"/>
  <c r="C12" i="26"/>
  <c r="C12" i="24" s="1"/>
  <c r="D9" i="26"/>
  <c r="C9" i="26"/>
  <c r="C9" i="24" s="1"/>
  <c r="A9" i="26"/>
  <c r="D8" i="26"/>
  <c r="C8" i="26"/>
  <c r="C8" i="24" s="1"/>
  <c r="A8" i="26"/>
  <c r="D7" i="26"/>
  <c r="C7" i="26"/>
  <c r="C7" i="24" s="1"/>
  <c r="A7" i="26"/>
  <c r="D5" i="26"/>
  <c r="C5" i="26"/>
  <c r="C5" i="24" s="1"/>
  <c r="A4" i="26"/>
  <c r="M21" i="2"/>
  <c r="B20" i="18" s="1"/>
  <c r="M20" i="2"/>
  <c r="L12" i="26" s="1"/>
  <c r="I43" i="3"/>
  <c r="K43" i="3" s="1"/>
  <c r="K38" i="3"/>
  <c r="C28" i="13"/>
  <c r="C49" i="26" s="1"/>
  <c r="C49" i="24" s="1"/>
  <c r="C23" i="13"/>
  <c r="C48" i="26" s="1"/>
  <c r="C48" i="24" s="1"/>
  <c r="C15" i="13"/>
  <c r="C46" i="26" s="1"/>
  <c r="C46" i="24" s="1"/>
  <c r="I7" i="15"/>
  <c r="K7" i="15" s="1"/>
  <c r="H91" i="16"/>
  <c r="Y70" i="16"/>
  <c r="Y69" i="16"/>
  <c r="Y68" i="16"/>
  <c r="Y67" i="16"/>
  <c r="Y66" i="16"/>
  <c r="Y65" i="16"/>
  <c r="Y64" i="16"/>
  <c r="Y63" i="16"/>
  <c r="Y62" i="16"/>
  <c r="Y61" i="16"/>
  <c r="Y60" i="16"/>
  <c r="Y59" i="16"/>
  <c r="Y58" i="16"/>
  <c r="Y57" i="16"/>
  <c r="Y56" i="16"/>
  <c r="Y55" i="16"/>
  <c r="Y54" i="16"/>
  <c r="Y49" i="16"/>
  <c r="Y48" i="16"/>
  <c r="Y47" i="16"/>
  <c r="Y46" i="16"/>
  <c r="Y45" i="16"/>
  <c r="Y44" i="16"/>
  <c r="Y43" i="16"/>
  <c r="Y42" i="16"/>
  <c r="Y41" i="16"/>
  <c r="Y40" i="16"/>
  <c r="Y39" i="16"/>
  <c r="Y32" i="16"/>
  <c r="Y31" i="16"/>
  <c r="Y30" i="16"/>
  <c r="Y29" i="16"/>
  <c r="Y28" i="16"/>
  <c r="Y27" i="16"/>
  <c r="I15" i="16"/>
  <c r="K15" i="16" s="1"/>
  <c r="V16" i="16"/>
  <c r="I65" i="15"/>
  <c r="K65" i="15" s="1"/>
  <c r="N65" i="15" s="1"/>
  <c r="I61" i="15"/>
  <c r="K61" i="15" s="1"/>
  <c r="Y57" i="15"/>
  <c r="Y45" i="15"/>
  <c r="Y30" i="15"/>
  <c r="Y23" i="15"/>
  <c r="Y15" i="15"/>
  <c r="I16" i="11"/>
  <c r="K16" i="11" s="1"/>
  <c r="I13" i="11"/>
  <c r="K13" i="11" s="1"/>
  <c r="N13" i="11" s="1"/>
  <c r="V13" i="11" s="1"/>
  <c r="E66" i="28" s="1"/>
  <c r="I6" i="11"/>
  <c r="K6" i="11" s="1"/>
  <c r="N6" i="11" s="1"/>
  <c r="V6" i="11" s="1"/>
  <c r="E63" i="28" s="1"/>
  <c r="I26" i="10"/>
  <c r="K26" i="10" s="1"/>
  <c r="I24" i="10"/>
  <c r="K24" i="10" s="1"/>
  <c r="N24" i="10" s="1"/>
  <c r="I19" i="10"/>
  <c r="K19" i="10" s="1"/>
  <c r="I13" i="10"/>
  <c r="K13" i="10" s="1"/>
  <c r="I7" i="10"/>
  <c r="K7" i="10" s="1"/>
  <c r="K10" i="12"/>
  <c r="N10" i="12" s="1"/>
  <c r="I8" i="12"/>
  <c r="K8" i="12" s="1"/>
  <c r="N8" i="12" s="1"/>
  <c r="I6" i="12"/>
  <c r="K6" i="12" s="1"/>
  <c r="I64" i="15"/>
  <c r="K64" i="15" s="1"/>
  <c r="I60" i="15"/>
  <c r="K60" i="15" s="1"/>
  <c r="I56" i="15"/>
  <c r="K56" i="15" s="1"/>
  <c r="N56" i="15" s="1"/>
  <c r="I14" i="16"/>
  <c r="K14" i="16" s="1"/>
  <c r="N14" i="16" s="1"/>
  <c r="I36" i="15"/>
  <c r="K36" i="15" s="1"/>
  <c r="I26" i="15"/>
  <c r="K26" i="15" s="1"/>
  <c r="I19" i="15"/>
  <c r="K19" i="15" s="1"/>
  <c r="I12" i="8"/>
  <c r="K12" i="8" s="1"/>
  <c r="E7" i="7" s="1"/>
  <c r="E34" i="26" s="1"/>
  <c r="E34" i="24" s="1"/>
  <c r="F35" i="19" s="1"/>
  <c r="I10" i="8"/>
  <c r="K10" i="8" s="1"/>
  <c r="I7" i="8"/>
  <c r="K7" i="8" s="1"/>
  <c r="N8" i="8" s="1"/>
  <c r="I35" i="3"/>
  <c r="K35" i="3" s="1"/>
  <c r="I36" i="3"/>
  <c r="K36" i="3" s="1"/>
  <c r="N36" i="3" s="1"/>
  <c r="I31" i="6"/>
  <c r="K31" i="6" s="1"/>
  <c r="I35" i="5"/>
  <c r="K35" i="5" s="1"/>
  <c r="I43" i="5"/>
  <c r="K43" i="5" s="1"/>
  <c r="I38" i="5"/>
  <c r="K38" i="5" s="1"/>
  <c r="N38" i="5" s="1"/>
  <c r="I30" i="5"/>
  <c r="K30" i="5" s="1"/>
  <c r="I23" i="5"/>
  <c r="K23" i="5" s="1"/>
  <c r="I16" i="5"/>
  <c r="K16" i="5" s="1"/>
  <c r="K12" i="5"/>
  <c r="F22" i="4" s="1"/>
  <c r="I63" i="3"/>
  <c r="K63" i="3" s="1"/>
  <c r="I62" i="3"/>
  <c r="K62" i="3" s="1"/>
  <c r="A6" i="19"/>
  <c r="A5" i="24" s="1"/>
  <c r="A20" i="2"/>
  <c r="A12" i="26" s="1"/>
  <c r="M26" i="2"/>
  <c r="L17" i="26" s="1"/>
  <c r="M12" i="2"/>
  <c r="B15" i="18" s="1"/>
  <c r="L7" i="26"/>
  <c r="M5" i="2"/>
  <c r="B12" i="18" s="1"/>
  <c r="AA38" i="6"/>
  <c r="Z38" i="6"/>
  <c r="Y38" i="6"/>
  <c r="X38" i="6"/>
  <c r="W38" i="6"/>
  <c r="V38" i="6"/>
  <c r="W17" i="3"/>
  <c r="W18" i="3"/>
  <c r="X17" i="3"/>
  <c r="X18" i="3"/>
  <c r="Y17" i="3"/>
  <c r="Y18" i="3"/>
  <c r="Z17" i="3"/>
  <c r="Z18" i="3"/>
  <c r="AA17" i="3"/>
  <c r="AA18" i="3"/>
  <c r="V17" i="3"/>
  <c r="V18" i="3"/>
  <c r="C47" i="28"/>
  <c r="D57" i="28"/>
  <c r="K64" i="28"/>
  <c r="X7" i="3"/>
  <c r="W39" i="16"/>
  <c r="X39" i="16"/>
  <c r="Z39" i="16"/>
  <c r="AA39" i="16"/>
  <c r="V39" i="16"/>
  <c r="K17" i="3"/>
  <c r="K7" i="3"/>
  <c r="D12" i="28"/>
  <c r="C63" i="28"/>
  <c r="B69" i="28"/>
  <c r="C69" i="28"/>
  <c r="D69" i="28"/>
  <c r="H69" i="28"/>
  <c r="B70" i="28"/>
  <c r="C70" i="28"/>
  <c r="D70" i="28"/>
  <c r="H70" i="28"/>
  <c r="C68" i="28"/>
  <c r="A68" i="28"/>
  <c r="B63" i="28"/>
  <c r="D63" i="28"/>
  <c r="B64" i="28"/>
  <c r="C64" i="28"/>
  <c r="D64" i="28"/>
  <c r="E64" i="28"/>
  <c r="F64" i="28"/>
  <c r="G64" i="28"/>
  <c r="H64" i="28"/>
  <c r="I64" i="28"/>
  <c r="J64" i="28"/>
  <c r="B65" i="28"/>
  <c r="C65" i="28"/>
  <c r="D65" i="28"/>
  <c r="V11" i="11"/>
  <c r="E65" i="28" s="1"/>
  <c r="W11" i="11"/>
  <c r="F65" i="28" s="1"/>
  <c r="X11" i="11"/>
  <c r="G65" i="28"/>
  <c r="H65" i="28"/>
  <c r="I65" i="28"/>
  <c r="J65" i="28"/>
  <c r="B66" i="28"/>
  <c r="C66" i="28"/>
  <c r="D66" i="28"/>
  <c r="H66" i="28"/>
  <c r="I66" i="28"/>
  <c r="J66" i="28"/>
  <c r="B67" i="28"/>
  <c r="C67" i="28"/>
  <c r="D67" i="28"/>
  <c r="C62" i="28"/>
  <c r="A62" i="28"/>
  <c r="B57" i="28"/>
  <c r="C57" i="28"/>
  <c r="B58" i="28"/>
  <c r="C58" i="28"/>
  <c r="D58" i="28"/>
  <c r="B59" i="28"/>
  <c r="C59" i="28"/>
  <c r="D59" i="28"/>
  <c r="B60" i="28"/>
  <c r="C60" i="28"/>
  <c r="D60" i="28"/>
  <c r="B61" i="28"/>
  <c r="C61" i="28"/>
  <c r="D61" i="28"/>
  <c r="C56" i="28"/>
  <c r="A56" i="28"/>
  <c r="B53" i="28"/>
  <c r="C53" i="28"/>
  <c r="D53" i="28"/>
  <c r="H53" i="28"/>
  <c r="B54" i="28"/>
  <c r="C54" i="28"/>
  <c r="D54" i="28"/>
  <c r="B55" i="28"/>
  <c r="C55" i="28"/>
  <c r="D55" i="28"/>
  <c r="C52" i="28"/>
  <c r="A52" i="28"/>
  <c r="B47" i="28"/>
  <c r="D47" i="28"/>
  <c r="B48" i="28"/>
  <c r="C48" i="28"/>
  <c r="D48" i="28"/>
  <c r="B49" i="28"/>
  <c r="C49" i="28"/>
  <c r="D49" i="28"/>
  <c r="K39" i="16"/>
  <c r="B50" i="28"/>
  <c r="C50" i="28"/>
  <c r="D50" i="28"/>
  <c r="V51" i="16"/>
  <c r="E50" i="28"/>
  <c r="W51" i="16"/>
  <c r="F50" i="28" s="1"/>
  <c r="X51" i="16"/>
  <c r="G50" i="28" s="1"/>
  <c r="Y51" i="16"/>
  <c r="H50" i="28" s="1"/>
  <c r="Z51" i="16"/>
  <c r="I50" i="28"/>
  <c r="AA51" i="16"/>
  <c r="J50" i="28" s="1"/>
  <c r="B51" i="28"/>
  <c r="C51" i="28"/>
  <c r="D51" i="28"/>
  <c r="V54" i="16"/>
  <c r="W54" i="16"/>
  <c r="X54" i="16"/>
  <c r="Z54" i="16"/>
  <c r="AA54" i="16"/>
  <c r="C46" i="28"/>
  <c r="A46" i="28"/>
  <c r="K37" i="15"/>
  <c r="K38" i="15"/>
  <c r="K39" i="15"/>
  <c r="K40" i="15"/>
  <c r="K41" i="15"/>
  <c r="W45" i="15"/>
  <c r="AA45" i="15"/>
  <c r="V45" i="15"/>
  <c r="W15" i="15"/>
  <c r="X15" i="15"/>
  <c r="Z15" i="15"/>
  <c r="AA15" i="15"/>
  <c r="K8" i="15"/>
  <c r="K9" i="15"/>
  <c r="K10" i="15"/>
  <c r="K11" i="15"/>
  <c r="V15" i="15"/>
  <c r="B44" i="28"/>
  <c r="C44" i="28"/>
  <c r="D44" i="28"/>
  <c r="B45" i="28"/>
  <c r="C45" i="28"/>
  <c r="D45" i="28"/>
  <c r="B39" i="28"/>
  <c r="C39" i="28"/>
  <c r="D39" i="28"/>
  <c r="B40" i="28"/>
  <c r="C40" i="28"/>
  <c r="D40" i="28"/>
  <c r="B41" i="28"/>
  <c r="C41" i="28"/>
  <c r="D41" i="28"/>
  <c r="B42" i="28"/>
  <c r="C42" i="28"/>
  <c r="D42" i="28"/>
  <c r="B43" i="28"/>
  <c r="C43" i="28"/>
  <c r="D43" i="28"/>
  <c r="C38" i="28"/>
  <c r="A38" i="28"/>
  <c r="B34" i="28"/>
  <c r="C34" i="28"/>
  <c r="D34" i="28"/>
  <c r="B35" i="28"/>
  <c r="C35" i="28"/>
  <c r="D35" i="28"/>
  <c r="B36" i="28"/>
  <c r="C36" i="28"/>
  <c r="D36" i="28"/>
  <c r="B37" i="28"/>
  <c r="C37" i="28"/>
  <c r="D37" i="28"/>
  <c r="V14" i="8"/>
  <c r="E37" i="28" s="1"/>
  <c r="W14" i="8"/>
  <c r="F37" i="28" s="1"/>
  <c r="X14" i="8"/>
  <c r="G37" i="28" s="1"/>
  <c r="Y14" i="8"/>
  <c r="H37" i="28" s="1"/>
  <c r="Z14" i="8"/>
  <c r="I37" i="28" s="1"/>
  <c r="AA14" i="8"/>
  <c r="J37" i="28" s="1"/>
  <c r="C33" i="28"/>
  <c r="A33" i="28"/>
  <c r="B31" i="28"/>
  <c r="C31" i="28"/>
  <c r="D31" i="28"/>
  <c r="B32" i="28"/>
  <c r="C32" i="28"/>
  <c r="D32" i="28"/>
  <c r="V35" i="6"/>
  <c r="W35" i="6"/>
  <c r="X35" i="6"/>
  <c r="Y35" i="6"/>
  <c r="Z35" i="6"/>
  <c r="AA35" i="6"/>
  <c r="B30" i="28"/>
  <c r="C30" i="28"/>
  <c r="D30" i="28"/>
  <c r="C29" i="28"/>
  <c r="A29" i="28"/>
  <c r="W65" i="3"/>
  <c r="F18" i="28" s="1"/>
  <c r="X65" i="3"/>
  <c r="G18" i="28" s="1"/>
  <c r="Y65" i="3"/>
  <c r="H18" i="28" s="1"/>
  <c r="Z65" i="3"/>
  <c r="I18" i="28" s="1"/>
  <c r="AA65" i="3"/>
  <c r="J18" i="28" s="1"/>
  <c r="V65" i="3"/>
  <c r="E18" i="28"/>
  <c r="B21" i="28"/>
  <c r="C21" i="28"/>
  <c r="D21" i="28"/>
  <c r="B22" i="28"/>
  <c r="C22" i="28"/>
  <c r="D22" i="28"/>
  <c r="W15" i="5"/>
  <c r="X15" i="5"/>
  <c r="Y15" i="5"/>
  <c r="Z15" i="5"/>
  <c r="AA15" i="5"/>
  <c r="B23" i="28"/>
  <c r="C23" i="28"/>
  <c r="D23" i="28"/>
  <c r="W22" i="5"/>
  <c r="X22" i="5"/>
  <c r="Y22" i="5"/>
  <c r="Z22" i="5"/>
  <c r="AA22" i="5"/>
  <c r="B24" i="28"/>
  <c r="C24" i="28"/>
  <c r="D24" i="28"/>
  <c r="V29" i="5"/>
  <c r="W29" i="5"/>
  <c r="X29" i="5"/>
  <c r="Y29" i="5"/>
  <c r="Z29" i="5"/>
  <c r="AA29" i="5"/>
  <c r="B25" i="28"/>
  <c r="C25" i="28"/>
  <c r="D25" i="28"/>
  <c r="B26" i="28"/>
  <c r="C26" i="28"/>
  <c r="D26" i="28"/>
  <c r="V39" i="5"/>
  <c r="W39" i="5"/>
  <c r="X39" i="5"/>
  <c r="Y39" i="5"/>
  <c r="Z39" i="5"/>
  <c r="AA39" i="5"/>
  <c r="B27" i="28"/>
  <c r="C27" i="28"/>
  <c r="D27" i="28"/>
  <c r="V41" i="5"/>
  <c r="E27" i="28" s="1"/>
  <c r="W41" i="5"/>
  <c r="F27" i="28" s="1"/>
  <c r="X41" i="5"/>
  <c r="G27" i="28" s="1"/>
  <c r="Y41" i="5"/>
  <c r="H27" i="28"/>
  <c r="Z41" i="5"/>
  <c r="I27" i="28" s="1"/>
  <c r="AA41" i="5"/>
  <c r="J27" i="28" s="1"/>
  <c r="B28" i="28"/>
  <c r="C28" i="28"/>
  <c r="D28" i="28"/>
  <c r="K39" i="3"/>
  <c r="K44" i="3"/>
  <c r="K45" i="3"/>
  <c r="B20" i="28"/>
  <c r="C20" i="28"/>
  <c r="D20" i="28"/>
  <c r="C19" i="28"/>
  <c r="A19" i="28"/>
  <c r="B17" i="28"/>
  <c r="C17" i="28"/>
  <c r="D17" i="28"/>
  <c r="B18" i="28"/>
  <c r="C18" i="28"/>
  <c r="D18" i="28"/>
  <c r="B15" i="28"/>
  <c r="C15" i="28"/>
  <c r="D15" i="28"/>
  <c r="B16" i="28"/>
  <c r="C16" i="28"/>
  <c r="D16" i="28"/>
  <c r="V57" i="3"/>
  <c r="V58" i="3"/>
  <c r="W57" i="3"/>
  <c r="W58" i="3"/>
  <c r="X57" i="3"/>
  <c r="X58" i="3"/>
  <c r="Y57" i="3"/>
  <c r="Y58" i="3"/>
  <c r="Z57" i="3"/>
  <c r="Z58" i="3"/>
  <c r="AA57" i="3"/>
  <c r="AA58" i="3"/>
  <c r="B14" i="28"/>
  <c r="C14" i="28"/>
  <c r="D14" i="28"/>
  <c r="B13" i="28"/>
  <c r="C13" i="28"/>
  <c r="D13" i="28"/>
  <c r="V7" i="3"/>
  <c r="W7" i="3"/>
  <c r="Y7" i="3"/>
  <c r="Z7" i="3"/>
  <c r="AA7" i="3"/>
  <c r="B12" i="28"/>
  <c r="C12" i="28"/>
  <c r="C11" i="28"/>
  <c r="A11" i="28"/>
  <c r="K48" i="16"/>
  <c r="K49" i="16"/>
  <c r="K47" i="16"/>
  <c r="K46" i="16"/>
  <c r="K45" i="16"/>
  <c r="K44" i="16"/>
  <c r="K43" i="16"/>
  <c r="K42" i="16"/>
  <c r="K41" i="16"/>
  <c r="K40" i="16"/>
  <c r="K25" i="16"/>
  <c r="K26" i="16"/>
  <c r="K27" i="16"/>
  <c r="K28" i="16"/>
  <c r="K29" i="16"/>
  <c r="K30" i="16"/>
  <c r="K31" i="16"/>
  <c r="K32" i="16"/>
  <c r="AA49" i="16"/>
  <c r="Z49" i="16"/>
  <c r="X49" i="16"/>
  <c r="W49" i="16"/>
  <c r="V49" i="16"/>
  <c r="AA48" i="16"/>
  <c r="Z48" i="16"/>
  <c r="X48" i="16"/>
  <c r="W48" i="16"/>
  <c r="V48" i="16"/>
  <c r="AA47" i="16"/>
  <c r="Z47" i="16"/>
  <c r="X47" i="16"/>
  <c r="W47" i="16"/>
  <c r="V47" i="16"/>
  <c r="AA46" i="16"/>
  <c r="Z46" i="16"/>
  <c r="X46" i="16"/>
  <c r="W46" i="16"/>
  <c r="V46" i="16"/>
  <c r="AA45" i="16"/>
  <c r="Z45" i="16"/>
  <c r="X45" i="16"/>
  <c r="W45" i="16"/>
  <c r="V45" i="16"/>
  <c r="AA44" i="16"/>
  <c r="Z44" i="16"/>
  <c r="X44" i="16"/>
  <c r="W44" i="16"/>
  <c r="V44" i="16"/>
  <c r="AA43" i="16"/>
  <c r="Z43" i="16"/>
  <c r="X43" i="16"/>
  <c r="W43" i="16"/>
  <c r="V43" i="16"/>
  <c r="AA42" i="16"/>
  <c r="Z42" i="16"/>
  <c r="X42" i="16"/>
  <c r="W42" i="16"/>
  <c r="V42" i="16"/>
  <c r="AA41" i="16"/>
  <c r="Z41" i="16"/>
  <c r="X41" i="16"/>
  <c r="W41" i="16"/>
  <c r="V41" i="16"/>
  <c r="AA40" i="16"/>
  <c r="Z40" i="16"/>
  <c r="X40" i="16"/>
  <c r="W40" i="16"/>
  <c r="V40" i="16"/>
  <c r="AA32" i="16"/>
  <c r="Z32" i="16"/>
  <c r="X32" i="16"/>
  <c r="W32" i="16"/>
  <c r="V32" i="16"/>
  <c r="AA31" i="16"/>
  <c r="Z31" i="16"/>
  <c r="X31" i="16"/>
  <c r="W31" i="16"/>
  <c r="V31" i="16"/>
  <c r="AA30" i="16"/>
  <c r="Z30" i="16"/>
  <c r="X30" i="16"/>
  <c r="W30" i="16"/>
  <c r="V30" i="16"/>
  <c r="AA29" i="16"/>
  <c r="Z29" i="16"/>
  <c r="X29" i="16"/>
  <c r="W29" i="16"/>
  <c r="V29" i="16"/>
  <c r="AA28" i="16"/>
  <c r="Z28" i="16"/>
  <c r="X28" i="16"/>
  <c r="W28" i="16"/>
  <c r="V28" i="16"/>
  <c r="AA27" i="16"/>
  <c r="Z27" i="16"/>
  <c r="X27" i="16"/>
  <c r="W27" i="16"/>
  <c r="V27" i="16"/>
  <c r="AA70" i="16"/>
  <c r="Z70" i="16"/>
  <c r="X70" i="16"/>
  <c r="W70" i="16"/>
  <c r="V70" i="16"/>
  <c r="V55" i="16"/>
  <c r="W55" i="16"/>
  <c r="X55" i="16"/>
  <c r="Z55" i="16"/>
  <c r="AA55" i="16"/>
  <c r="V56" i="16"/>
  <c r="W56" i="16"/>
  <c r="X56" i="16"/>
  <c r="Z56" i="16"/>
  <c r="AA56" i="16"/>
  <c r="V57" i="16"/>
  <c r="W57" i="16"/>
  <c r="X57" i="16"/>
  <c r="Z57" i="16"/>
  <c r="AA57" i="16"/>
  <c r="V58" i="16"/>
  <c r="W58" i="16"/>
  <c r="X58" i="16"/>
  <c r="Z58" i="16"/>
  <c r="AA58" i="16"/>
  <c r="V59" i="16"/>
  <c r="W59" i="16"/>
  <c r="X59" i="16"/>
  <c r="Z59" i="16"/>
  <c r="AA59" i="16"/>
  <c r="V60" i="16"/>
  <c r="W60" i="16"/>
  <c r="X60" i="16"/>
  <c r="Z60" i="16"/>
  <c r="AA60" i="16"/>
  <c r="V61" i="16"/>
  <c r="W61" i="16"/>
  <c r="X61" i="16"/>
  <c r="Z61" i="16"/>
  <c r="AA61" i="16"/>
  <c r="V62" i="16"/>
  <c r="W62" i="16"/>
  <c r="X62" i="16"/>
  <c r="Z62" i="16"/>
  <c r="AA62" i="16"/>
  <c r="V63" i="16"/>
  <c r="W63" i="16"/>
  <c r="X63" i="16"/>
  <c r="Z63" i="16"/>
  <c r="AA63" i="16"/>
  <c r="V64" i="16"/>
  <c r="W64" i="16"/>
  <c r="X64" i="16"/>
  <c r="Z64" i="16"/>
  <c r="AA64" i="16"/>
  <c r="V65" i="16"/>
  <c r="W65" i="16"/>
  <c r="X65" i="16"/>
  <c r="Z65" i="16"/>
  <c r="AA65" i="16"/>
  <c r="V66" i="16"/>
  <c r="W66" i="16"/>
  <c r="X66" i="16"/>
  <c r="Z66" i="16"/>
  <c r="AA66" i="16"/>
  <c r="V67" i="16"/>
  <c r="W67" i="16"/>
  <c r="X67" i="16"/>
  <c r="Z67" i="16"/>
  <c r="AA67" i="16"/>
  <c r="V68" i="16"/>
  <c r="W68" i="16"/>
  <c r="X68" i="16"/>
  <c r="Z68" i="16"/>
  <c r="AA68" i="16"/>
  <c r="V69" i="16"/>
  <c r="W69" i="16"/>
  <c r="X69" i="16"/>
  <c r="Z69" i="16"/>
  <c r="AA69" i="16"/>
  <c r="AA36" i="6"/>
  <c r="Z36" i="6"/>
  <c r="Y36" i="6"/>
  <c r="X36" i="6"/>
  <c r="W36" i="6"/>
  <c r="V36" i="6"/>
  <c r="V44" i="3"/>
  <c r="W44" i="3"/>
  <c r="X44" i="3"/>
  <c r="Y44" i="3"/>
  <c r="Z44" i="3"/>
  <c r="AA44" i="3"/>
  <c r="AA57" i="15"/>
  <c r="Z57" i="15"/>
  <c r="X57" i="15"/>
  <c r="W57" i="15"/>
  <c r="V57" i="15"/>
  <c r="Z45" i="15"/>
  <c r="X45" i="15"/>
  <c r="AA30" i="15"/>
  <c r="Z30" i="15"/>
  <c r="X30" i="15"/>
  <c r="W30" i="15"/>
  <c r="V30" i="15"/>
  <c r="AA23" i="15"/>
  <c r="Z23" i="15"/>
  <c r="X23" i="15"/>
  <c r="W23" i="15"/>
  <c r="V23" i="15"/>
  <c r="W8" i="3"/>
  <c r="X8" i="3"/>
  <c r="Y8" i="3"/>
  <c r="Z8" i="3"/>
  <c r="AA8" i="3"/>
  <c r="V8" i="3"/>
  <c r="I67" i="26"/>
  <c r="E67" i="25" s="1"/>
  <c r="K67" i="26"/>
  <c r="G67" i="25" s="1"/>
  <c r="D10" i="26"/>
  <c r="H63" i="28"/>
  <c r="J63" i="28"/>
  <c r="I44" i="15"/>
  <c r="K44" i="15" s="1"/>
  <c r="I46" i="15"/>
  <c r="K46" i="15" s="1"/>
  <c r="J67" i="26"/>
  <c r="G17" i="21" s="1"/>
  <c r="I63" i="28"/>
  <c r="D38" i="19"/>
  <c r="D17" i="26"/>
  <c r="E24" i="26"/>
  <c r="K24" i="26"/>
  <c r="G24" i="25" s="1"/>
  <c r="G24" i="26"/>
  <c r="C24" i="25" s="1"/>
  <c r="F24" i="26"/>
  <c r="B24" i="25" s="1"/>
  <c r="I24" i="26"/>
  <c r="E24" i="25" s="1"/>
  <c r="J24" i="26"/>
  <c r="F24" i="25" s="1"/>
  <c r="H24" i="26"/>
  <c r="D24" i="25" s="1"/>
  <c r="Z25" i="16"/>
  <c r="N52" i="15"/>
  <c r="V52" i="15" s="1"/>
  <c r="N26" i="10" l="1"/>
  <c r="AA26" i="10" s="1"/>
  <c r="L23" i="9" s="1"/>
  <c r="F23" i="9"/>
  <c r="N35" i="5"/>
  <c r="Y35" i="5" s="1"/>
  <c r="F16" i="4"/>
  <c r="E23" i="26" s="1"/>
  <c r="E23" i="24" s="1"/>
  <c r="F24" i="19" s="1"/>
  <c r="G24" i="19" s="1"/>
  <c r="O16" i="4" s="1"/>
  <c r="F36" i="13"/>
  <c r="E51" i="26" s="1"/>
  <c r="E51" i="24" s="1"/>
  <c r="F52" i="19" s="1"/>
  <c r="F30" i="13"/>
  <c r="F26" i="13"/>
  <c r="F19" i="9"/>
  <c r="E63" i="26" s="1"/>
  <c r="N21" i="10"/>
  <c r="N22" i="10"/>
  <c r="N20" i="10"/>
  <c r="V20" i="10" s="1"/>
  <c r="N19" i="10"/>
  <c r="F31" i="4"/>
  <c r="E30" i="26" s="1"/>
  <c r="E30" i="24" s="1"/>
  <c r="F31" i="19" s="1"/>
  <c r="N33" i="6"/>
  <c r="W33" i="6" s="1"/>
  <c r="N32" i="6"/>
  <c r="F16" i="9"/>
  <c r="E62" i="26" s="1"/>
  <c r="N14" i="10"/>
  <c r="N16" i="10"/>
  <c r="N15" i="10"/>
  <c r="N13" i="10"/>
  <c r="D42" i="19"/>
  <c r="F10" i="4"/>
  <c r="E21" i="26" s="1"/>
  <c r="N24" i="5"/>
  <c r="N26" i="5"/>
  <c r="N25" i="5"/>
  <c r="N23" i="5"/>
  <c r="F29" i="9"/>
  <c r="N19" i="11"/>
  <c r="N18" i="11"/>
  <c r="N17" i="11"/>
  <c r="Y17" i="11" s="1"/>
  <c r="N16" i="11"/>
  <c r="W53" i="16"/>
  <c r="F51" i="28" s="1"/>
  <c r="C8" i="14"/>
  <c r="K6" i="34"/>
  <c r="K8" i="34"/>
  <c r="F13" i="4"/>
  <c r="E22" i="26" s="1"/>
  <c r="N31" i="5"/>
  <c r="N33" i="5"/>
  <c r="N32" i="5"/>
  <c r="N30" i="5"/>
  <c r="F7" i="4"/>
  <c r="E20" i="26" s="1"/>
  <c r="N19" i="5"/>
  <c r="N18" i="5"/>
  <c r="N17" i="5"/>
  <c r="N16" i="5"/>
  <c r="F13" i="9"/>
  <c r="E61" i="26" s="1"/>
  <c r="N8" i="10"/>
  <c r="N10" i="10"/>
  <c r="N9" i="10"/>
  <c r="N7" i="10"/>
  <c r="F12" i="2"/>
  <c r="E8" i="26" s="1"/>
  <c r="N40" i="3"/>
  <c r="N41" i="3"/>
  <c r="N39" i="3"/>
  <c r="F15" i="2"/>
  <c r="E9" i="26" s="1"/>
  <c r="N47" i="3"/>
  <c r="N46" i="3"/>
  <c r="N45" i="3"/>
  <c r="F26" i="2"/>
  <c r="E17" i="26" s="1"/>
  <c r="N51" i="3"/>
  <c r="N50" i="3"/>
  <c r="V50" i="3" s="1"/>
  <c r="N21" i="3"/>
  <c r="N24" i="3"/>
  <c r="N20" i="3"/>
  <c r="N22" i="3"/>
  <c r="N23" i="3"/>
  <c r="N19" i="3"/>
  <c r="AA19" i="3" s="1"/>
  <c r="N12" i="3"/>
  <c r="N14" i="3"/>
  <c r="N11" i="3"/>
  <c r="N10" i="3"/>
  <c r="N13" i="3"/>
  <c r="N9" i="3"/>
  <c r="Y35" i="16"/>
  <c r="H49" i="28" s="1"/>
  <c r="AA53" i="16"/>
  <c r="J51" i="28" s="1"/>
  <c r="Y10" i="12"/>
  <c r="H55" i="28" s="1"/>
  <c r="V10" i="12"/>
  <c r="E55" i="28" s="1"/>
  <c r="Z10" i="12"/>
  <c r="I55" i="28" s="1"/>
  <c r="X10" i="12"/>
  <c r="G55" i="28" s="1"/>
  <c r="J70" i="28"/>
  <c r="I70" i="28"/>
  <c r="AA35" i="16"/>
  <c r="J49" i="28" s="1"/>
  <c r="V53" i="16"/>
  <c r="E51" i="28" s="1"/>
  <c r="V35" i="16"/>
  <c r="E49" i="28" s="1"/>
  <c r="X35" i="16"/>
  <c r="G49" i="28" s="1"/>
  <c r="Z53" i="16"/>
  <c r="I51" i="28" s="1"/>
  <c r="Z35" i="16"/>
  <c r="I49" i="28" s="1"/>
  <c r="D41" i="19"/>
  <c r="X53" i="16"/>
  <c r="G51" i="28" s="1"/>
  <c r="Z56" i="3"/>
  <c r="I16" i="28" s="1"/>
  <c r="X56" i="3"/>
  <c r="G16" i="28" s="1"/>
  <c r="V56" i="3"/>
  <c r="E16" i="28" s="1"/>
  <c r="E42" i="19"/>
  <c r="W35" i="16"/>
  <c r="F49" i="28" s="1"/>
  <c r="Y53" i="16"/>
  <c r="H51" i="28" s="1"/>
  <c r="B49" i="24"/>
  <c r="B46" i="23"/>
  <c r="B46" i="24"/>
  <c r="B4" i="7"/>
  <c r="B3" i="24"/>
  <c r="E24" i="24"/>
  <c r="F25" i="19" s="1"/>
  <c r="G25" i="19" s="1"/>
  <c r="O17" i="4" s="1"/>
  <c r="B48" i="24"/>
  <c r="B4" i="13"/>
  <c r="E62" i="19"/>
  <c r="B4" i="4"/>
  <c r="B3" i="17"/>
  <c r="B4" i="2"/>
  <c r="E69" i="28"/>
  <c r="I69" i="28"/>
  <c r="F69" i="28"/>
  <c r="J69" i="28"/>
  <c r="G69" i="28"/>
  <c r="F70" i="28"/>
  <c r="V34" i="6"/>
  <c r="E32" i="28" s="1"/>
  <c r="AA10" i="12"/>
  <c r="J55" i="28" s="1"/>
  <c r="W10" i="12"/>
  <c r="F55" i="28" s="1"/>
  <c r="G70" i="28"/>
  <c r="E70" i="28"/>
  <c r="Y34" i="6"/>
  <c r="H32" i="28" s="1"/>
  <c r="Z34" i="6"/>
  <c r="I32" i="28" s="1"/>
  <c r="C17" i="26"/>
  <c r="C17" i="24" s="1"/>
  <c r="E52" i="26"/>
  <c r="B48" i="23"/>
  <c r="N61" i="15"/>
  <c r="B46" i="26"/>
  <c r="B48" i="26"/>
  <c r="E28" i="19"/>
  <c r="E72" i="19"/>
  <c r="E68" i="19"/>
  <c r="E27" i="19"/>
  <c r="E64" i="19"/>
  <c r="E54" i="19"/>
  <c r="E26" i="19"/>
  <c r="E53" i="19"/>
  <c r="E22" i="19"/>
  <c r="E23" i="19"/>
  <c r="E11" i="19"/>
  <c r="E14" i="19"/>
  <c r="E15" i="19"/>
  <c r="C10" i="13"/>
  <c r="E37" i="19"/>
  <c r="E20" i="19"/>
  <c r="E41" i="19"/>
  <c r="E38" i="19"/>
  <c r="E25" i="19"/>
  <c r="E16" i="19"/>
  <c r="E9" i="19"/>
  <c r="E49" i="19"/>
  <c r="E33" i="19"/>
  <c r="E13" i="19"/>
  <c r="E24" i="19"/>
  <c r="C33" i="13"/>
  <c r="E66" i="19"/>
  <c r="E8" i="19"/>
  <c r="I20" i="15"/>
  <c r="E58" i="19"/>
  <c r="C45" i="13"/>
  <c r="C55" i="26" s="1"/>
  <c r="E31" i="19"/>
  <c r="E67" i="19"/>
  <c r="C34" i="13"/>
  <c r="E32" i="19"/>
  <c r="C48" i="13"/>
  <c r="C56" i="26" s="1"/>
  <c r="E17" i="19"/>
  <c r="E43" i="19"/>
  <c r="E44" i="19"/>
  <c r="E30" i="19"/>
  <c r="E52" i="19"/>
  <c r="E10" i="19"/>
  <c r="E69" i="19"/>
  <c r="E47" i="19"/>
  <c r="E45" i="19"/>
  <c r="E34" i="19"/>
  <c r="E40" i="19"/>
  <c r="E70" i="19"/>
  <c r="C42" i="13"/>
  <c r="I37" i="16" s="1"/>
  <c r="K37" i="16" s="1"/>
  <c r="C21" i="13"/>
  <c r="C9" i="13"/>
  <c r="E65" i="19"/>
  <c r="C20" i="13"/>
  <c r="C47" i="26" s="1"/>
  <c r="E61" i="19"/>
  <c r="E59" i="19"/>
  <c r="E39" i="19"/>
  <c r="E6" i="19"/>
  <c r="E29" i="19"/>
  <c r="E50" i="19"/>
  <c r="E73" i="19"/>
  <c r="E12" i="19"/>
  <c r="E71" i="19"/>
  <c r="E63" i="19"/>
  <c r="C8" i="13"/>
  <c r="C45" i="26" s="1"/>
  <c r="E19" i="19"/>
  <c r="E18" i="19"/>
  <c r="E60" i="19"/>
  <c r="I7" i="16"/>
  <c r="K7" i="16" s="1"/>
  <c r="C43" i="13"/>
  <c r="C49" i="13"/>
  <c r="E21" i="19"/>
  <c r="K6" i="3"/>
  <c r="F5" i="2" s="1"/>
  <c r="B4" i="14"/>
  <c r="B8" i="9"/>
  <c r="B3" i="23"/>
  <c r="B3" i="26"/>
  <c r="B3" i="9"/>
  <c r="Z21" i="15"/>
  <c r="X34" i="6"/>
  <c r="G32" i="28" s="1"/>
  <c r="AA34" i="6"/>
  <c r="J32" i="28" s="1"/>
  <c r="W34" i="6"/>
  <c r="F32" i="28" s="1"/>
  <c r="N17" i="16"/>
  <c r="Z17" i="16" s="1"/>
  <c r="E53" i="26"/>
  <c r="B49" i="26"/>
  <c r="B49" i="23"/>
  <c r="K27" i="15"/>
  <c r="F23" i="13" s="1"/>
  <c r="E13" i="7"/>
  <c r="E39" i="26" s="1"/>
  <c r="N36" i="15"/>
  <c r="AA36" i="15" s="1"/>
  <c r="K13" i="7" s="1"/>
  <c r="K39" i="26" s="1"/>
  <c r="G39" i="25" s="1"/>
  <c r="X8" i="8"/>
  <c r="N12" i="5"/>
  <c r="Y12" i="5" s="1"/>
  <c r="E27" i="26"/>
  <c r="V8" i="10"/>
  <c r="W14" i="10"/>
  <c r="Z16" i="16"/>
  <c r="Y14" i="16"/>
  <c r="I14" i="7" s="1"/>
  <c r="I40" i="26" s="1"/>
  <c r="E40" i="25" s="1"/>
  <c r="AA14" i="16"/>
  <c r="K14" i="7" s="1"/>
  <c r="K40" i="26" s="1"/>
  <c r="G40" i="25" s="1"/>
  <c r="N12" i="8"/>
  <c r="X12" i="8" s="1"/>
  <c r="G36" i="28" s="1"/>
  <c r="E6" i="7"/>
  <c r="E33" i="26" s="1"/>
  <c r="B11" i="21" s="1"/>
  <c r="N10" i="8"/>
  <c r="V10" i="8" s="1"/>
  <c r="X14" i="16"/>
  <c r="H14" i="7" s="1"/>
  <c r="H40" i="26" s="1"/>
  <c r="D40" i="25" s="1"/>
  <c r="W14" i="16"/>
  <c r="G14" i="7" s="1"/>
  <c r="G40" i="26" s="1"/>
  <c r="C40" i="25" s="1"/>
  <c r="V14" i="16"/>
  <c r="F14" i="7" s="1"/>
  <c r="F40" i="26" s="1"/>
  <c r="B40" i="25" s="1"/>
  <c r="E11" i="7"/>
  <c r="E37" i="26" s="1"/>
  <c r="N19" i="15"/>
  <c r="AA8" i="8"/>
  <c r="E5" i="7"/>
  <c r="E32" i="26" s="1"/>
  <c r="B10" i="21" s="1"/>
  <c r="H7" i="7"/>
  <c r="H34" i="26" s="1"/>
  <c r="D34" i="25" s="1"/>
  <c r="E14" i="7"/>
  <c r="E40" i="26" s="1"/>
  <c r="Z14" i="16"/>
  <c r="J14" i="7" s="1"/>
  <c r="J40" i="26" s="1"/>
  <c r="F40" i="25" s="1"/>
  <c r="X9" i="5"/>
  <c r="I19" i="4" s="1"/>
  <c r="I10" i="6"/>
  <c r="I9" i="6"/>
  <c r="AE9" i="6" s="1"/>
  <c r="I12" i="6"/>
  <c r="I13" i="6"/>
  <c r="I11" i="6"/>
  <c r="I25" i="6"/>
  <c r="I22" i="6"/>
  <c r="I24" i="6"/>
  <c r="I21" i="6"/>
  <c r="AE21" i="6" s="1"/>
  <c r="I23" i="6"/>
  <c r="E7" i="26"/>
  <c r="K16" i="3"/>
  <c r="F8" i="2" s="1"/>
  <c r="E16" i="7"/>
  <c r="E42" i="26" s="1"/>
  <c r="N60" i="15"/>
  <c r="K12" i="15"/>
  <c r="E17" i="7"/>
  <c r="E43" i="26" s="1"/>
  <c r="N64" i="15"/>
  <c r="AA56" i="15"/>
  <c r="V56" i="15"/>
  <c r="Z56" i="15"/>
  <c r="W56" i="15"/>
  <c r="X56" i="15"/>
  <c r="Y56" i="15"/>
  <c r="E10" i="7"/>
  <c r="E36" i="26" s="1"/>
  <c r="N7" i="15"/>
  <c r="Z7" i="15" s="1"/>
  <c r="K42" i="15"/>
  <c r="F28" i="13" s="1"/>
  <c r="N26" i="15"/>
  <c r="E12" i="7"/>
  <c r="E38" i="26" s="1"/>
  <c r="W65" i="15"/>
  <c r="G52" i="26" s="1"/>
  <c r="C52" i="25" s="1"/>
  <c r="V65" i="15"/>
  <c r="F52" i="26" s="1"/>
  <c r="B52" i="25" s="1"/>
  <c r="AA65" i="15"/>
  <c r="K52" i="26" s="1"/>
  <c r="G52" i="25" s="1"/>
  <c r="Z65" i="15"/>
  <c r="J52" i="26" s="1"/>
  <c r="F52" i="25" s="1"/>
  <c r="X65" i="15"/>
  <c r="H52" i="26" s="1"/>
  <c r="D52" i="25" s="1"/>
  <c r="Y65" i="15"/>
  <c r="I52" i="26" s="1"/>
  <c r="E52" i="25" s="1"/>
  <c r="Y28" i="15"/>
  <c r="W28" i="15"/>
  <c r="E15" i="7"/>
  <c r="E41" i="26" s="1"/>
  <c r="Z52" i="15"/>
  <c r="W52" i="15"/>
  <c r="AA19" i="15"/>
  <c r="K11" i="7" s="1"/>
  <c r="K37" i="26" s="1"/>
  <c r="G37" i="25" s="1"/>
  <c r="V8" i="8"/>
  <c r="K6" i="8"/>
  <c r="W35" i="5"/>
  <c r="E26" i="26"/>
  <c r="B8" i="21" s="1"/>
  <c r="W9" i="5"/>
  <c r="H19" i="4" s="1"/>
  <c r="Y38" i="5"/>
  <c r="Y37" i="5" s="1"/>
  <c r="H26" i="28" s="1"/>
  <c r="AA38" i="5"/>
  <c r="AA37" i="5" s="1"/>
  <c r="J26" i="28" s="1"/>
  <c r="W38" i="5"/>
  <c r="W37" i="5" s="1"/>
  <c r="F26" i="28" s="1"/>
  <c r="Z38" i="5"/>
  <c r="Z37" i="5" s="1"/>
  <c r="I26" i="28" s="1"/>
  <c r="V38" i="5"/>
  <c r="V37" i="5" s="1"/>
  <c r="E26" i="28" s="1"/>
  <c r="X38" i="5"/>
  <c r="X37" i="5" s="1"/>
  <c r="G26" i="28" s="1"/>
  <c r="V35" i="5"/>
  <c r="Z35" i="5"/>
  <c r="AA35" i="5"/>
  <c r="X35" i="5"/>
  <c r="L5" i="26"/>
  <c r="AA56" i="3"/>
  <c r="J16" i="28" s="1"/>
  <c r="Y56" i="3"/>
  <c r="H16" i="28" s="1"/>
  <c r="W56" i="3"/>
  <c r="F16" i="28" s="1"/>
  <c r="N63" i="3"/>
  <c r="V63" i="3" s="1"/>
  <c r="F13" i="26" s="1"/>
  <c r="B13" i="25" s="1"/>
  <c r="E13" i="26"/>
  <c r="L13" i="26"/>
  <c r="A12" i="23"/>
  <c r="A5" i="23"/>
  <c r="B14" i="18"/>
  <c r="B18" i="18"/>
  <c r="L11" i="26"/>
  <c r="A5" i="26"/>
  <c r="B17" i="18"/>
  <c r="B24" i="18"/>
  <c r="A5" i="25"/>
  <c r="L10" i="26"/>
  <c r="E11" i="26"/>
  <c r="N53" i="3"/>
  <c r="Z53" i="3" s="1"/>
  <c r="J11" i="26" s="1"/>
  <c r="F11" i="25" s="1"/>
  <c r="A12" i="18"/>
  <c r="L8" i="26"/>
  <c r="M24" i="2"/>
  <c r="A13" i="19"/>
  <c r="A12" i="24" s="1"/>
  <c r="A12" i="25"/>
  <c r="A19" i="18"/>
  <c r="B19" i="18"/>
  <c r="N62" i="3"/>
  <c r="E12" i="26"/>
  <c r="N35" i="3"/>
  <c r="E15" i="26"/>
  <c r="Z38" i="3"/>
  <c r="N52" i="3"/>
  <c r="E10" i="26"/>
  <c r="W36" i="3"/>
  <c r="G16" i="26" s="1"/>
  <c r="C16" i="25" s="1"/>
  <c r="V36" i="3"/>
  <c r="F16" i="26" s="1"/>
  <c r="B16" i="25" s="1"/>
  <c r="Z36" i="3"/>
  <c r="J16" i="26" s="1"/>
  <c r="F16" i="25" s="1"/>
  <c r="X36" i="3"/>
  <c r="H16" i="26" s="1"/>
  <c r="D16" i="25" s="1"/>
  <c r="Y36" i="3"/>
  <c r="I16" i="26" s="1"/>
  <c r="E16" i="25" s="1"/>
  <c r="AA36" i="3"/>
  <c r="K16" i="26" s="1"/>
  <c r="G16" i="25" s="1"/>
  <c r="E16" i="26"/>
  <c r="AA52" i="15"/>
  <c r="X28" i="15"/>
  <c r="X52" i="15"/>
  <c r="AA28" i="15"/>
  <c r="Z28" i="15"/>
  <c r="E64" i="26"/>
  <c r="N6" i="12"/>
  <c r="X6" i="12" s="1"/>
  <c r="E58" i="26"/>
  <c r="K65" i="26"/>
  <c r="G65" i="25" s="1"/>
  <c r="J61" i="28"/>
  <c r="AA21" i="15"/>
  <c r="V21" i="15"/>
  <c r="AA16" i="16"/>
  <c r="W16" i="16"/>
  <c r="Y52" i="15"/>
  <c r="Y21" i="15"/>
  <c r="W21" i="15"/>
  <c r="Y16" i="16"/>
  <c r="X16" i="16"/>
  <c r="E65" i="26"/>
  <c r="E67" i="26"/>
  <c r="B17" i="21" s="1"/>
  <c r="X21" i="15"/>
  <c r="F67" i="26"/>
  <c r="B67" i="25" s="1"/>
  <c r="F68" i="26"/>
  <c r="C18" i="21" s="1"/>
  <c r="C22" i="22" s="1"/>
  <c r="E59" i="26"/>
  <c r="E69" i="26"/>
  <c r="B19" i="21" s="1"/>
  <c r="G22" i="22"/>
  <c r="AA24" i="10"/>
  <c r="Y24" i="10"/>
  <c r="Z24" i="10"/>
  <c r="AA25" i="16"/>
  <c r="X13" i="11"/>
  <c r="H22" i="22"/>
  <c r="X8" i="12"/>
  <c r="V8" i="12"/>
  <c r="W8" i="12"/>
  <c r="Z8" i="12"/>
  <c r="Y8" i="12"/>
  <c r="AA8" i="12"/>
  <c r="V25" i="16"/>
  <c r="X25" i="16"/>
  <c r="W25" i="16"/>
  <c r="Y25" i="16"/>
  <c r="Z26" i="10"/>
  <c r="K23" i="9" s="1"/>
  <c r="W26" i="10"/>
  <c r="H23" i="9" s="1"/>
  <c r="W13" i="11"/>
  <c r="V28" i="15"/>
  <c r="F22" i="22"/>
  <c r="V24" i="10"/>
  <c r="X24" i="10"/>
  <c r="W24" i="10"/>
  <c r="X6" i="11"/>
  <c r="V26" i="10"/>
  <c r="G23" i="9" s="1"/>
  <c r="X26" i="10"/>
  <c r="I23" i="9" s="1"/>
  <c r="Y26" i="10"/>
  <c r="J23" i="9" s="1"/>
  <c r="W6" i="11"/>
  <c r="F17" i="21"/>
  <c r="G68" i="25"/>
  <c r="F68" i="25"/>
  <c r="F21" i="22"/>
  <c r="E19" i="26"/>
  <c r="X6" i="5"/>
  <c r="H19" i="26" s="1"/>
  <c r="D19" i="25" s="1"/>
  <c r="V6" i="5"/>
  <c r="Y6" i="5"/>
  <c r="Z6" i="5"/>
  <c r="E25" i="26"/>
  <c r="N43" i="5"/>
  <c r="W43" i="3"/>
  <c r="Z43" i="3"/>
  <c r="V43" i="3"/>
  <c r="AA43" i="3"/>
  <c r="X43" i="3"/>
  <c r="Y43" i="3"/>
  <c r="W6" i="5"/>
  <c r="AA6" i="5"/>
  <c r="E68" i="25"/>
  <c r="F18" i="21"/>
  <c r="F20" i="21"/>
  <c r="F24" i="22" s="1"/>
  <c r="E71" i="25"/>
  <c r="H21" i="22"/>
  <c r="H17" i="21"/>
  <c r="G35" i="19"/>
  <c r="F67" i="25"/>
  <c r="G21" i="22"/>
  <c r="B15" i="21" l="1"/>
  <c r="B16" i="21"/>
  <c r="B12" i="21"/>
  <c r="F25" i="28"/>
  <c r="H16" i="4"/>
  <c r="G23" i="26" s="1"/>
  <c r="C23" i="25" s="1"/>
  <c r="I25" i="28"/>
  <c r="K16" i="4"/>
  <c r="J23" i="26" s="1"/>
  <c r="F23" i="25" s="1"/>
  <c r="G25" i="28"/>
  <c r="I16" i="4"/>
  <c r="H23" i="26" s="1"/>
  <c r="D23" i="25" s="1"/>
  <c r="J25" i="28"/>
  <c r="L16" i="4"/>
  <c r="K23" i="26" s="1"/>
  <c r="G23" i="25" s="1"/>
  <c r="E25" i="28"/>
  <c r="G16" i="4"/>
  <c r="F23" i="26" s="1"/>
  <c r="B23" i="25" s="1"/>
  <c r="H25" i="28"/>
  <c r="J16" i="4"/>
  <c r="I23" i="26" s="1"/>
  <c r="E23" i="25" s="1"/>
  <c r="B7" i="21"/>
  <c r="B6" i="21"/>
  <c r="B10" i="22" s="1"/>
  <c r="B5" i="21"/>
  <c r="N37" i="16"/>
  <c r="F45" i="13"/>
  <c r="E55" i="26" s="1"/>
  <c r="N14" i="15"/>
  <c r="AA14" i="15" s="1"/>
  <c r="F15" i="13"/>
  <c r="N6" i="34"/>
  <c r="E5" i="14"/>
  <c r="E71" i="26" s="1"/>
  <c r="N8" i="34"/>
  <c r="E6" i="14"/>
  <c r="E72" i="26" s="1"/>
  <c r="E72" i="24" s="1"/>
  <c r="F73" i="19" s="1"/>
  <c r="G73" i="19" s="1"/>
  <c r="N6" i="14" s="1"/>
  <c r="N10" i="16"/>
  <c r="F7" i="13"/>
  <c r="N11" i="16"/>
  <c r="E6" i="26"/>
  <c r="E6" i="24" s="1"/>
  <c r="E5" i="26"/>
  <c r="G52" i="19"/>
  <c r="O36" i="13" s="1"/>
  <c r="E61" i="24"/>
  <c r="F62" i="19" s="1"/>
  <c r="G62" i="19" s="1"/>
  <c r="O13" i="9" s="1"/>
  <c r="X17" i="11"/>
  <c r="E16" i="24"/>
  <c r="F17" i="19" s="1"/>
  <c r="G17" i="19" s="1"/>
  <c r="O25" i="2" s="1"/>
  <c r="E10" i="24"/>
  <c r="F11" i="19" s="1"/>
  <c r="G11" i="19" s="1"/>
  <c r="O18" i="2" s="1"/>
  <c r="E15" i="24"/>
  <c r="F16" i="19" s="1"/>
  <c r="E22" i="24"/>
  <c r="F23" i="19" s="1"/>
  <c r="G23" i="19" s="1"/>
  <c r="O13" i="4" s="1"/>
  <c r="E38" i="24"/>
  <c r="F39" i="19" s="1"/>
  <c r="G39" i="19" s="1"/>
  <c r="N12" i="7" s="1"/>
  <c r="E36" i="24"/>
  <c r="F37" i="19" s="1"/>
  <c r="G37" i="19" s="1"/>
  <c r="N10" i="7" s="1"/>
  <c r="E43" i="24"/>
  <c r="F44" i="19" s="1"/>
  <c r="G44" i="19" s="1"/>
  <c r="N17" i="7" s="1"/>
  <c r="E42" i="24"/>
  <c r="F43" i="19" s="1"/>
  <c r="G43" i="19" s="1"/>
  <c r="N16" i="7" s="1"/>
  <c r="E40" i="24"/>
  <c r="F41" i="19" s="1"/>
  <c r="C55" i="24"/>
  <c r="E52" i="24"/>
  <c r="F53" i="19" s="1"/>
  <c r="G53" i="19" s="1"/>
  <c r="O38" i="13" s="1"/>
  <c r="E25" i="24"/>
  <c r="F26" i="19" s="1"/>
  <c r="G26" i="19" s="1"/>
  <c r="O18" i="4" s="1"/>
  <c r="E59" i="24"/>
  <c r="F60" i="19" s="1"/>
  <c r="G60" i="19" s="1"/>
  <c r="O10" i="9" s="1"/>
  <c r="E63" i="24"/>
  <c r="F64" i="19" s="1"/>
  <c r="G64" i="19" s="1"/>
  <c r="E64" i="24"/>
  <c r="F65" i="19" s="1"/>
  <c r="G65" i="19" s="1"/>
  <c r="E17" i="24"/>
  <c r="F18" i="19" s="1"/>
  <c r="G18" i="19" s="1"/>
  <c r="O26" i="2" s="1"/>
  <c r="E9" i="24"/>
  <c r="F10" i="19" s="1"/>
  <c r="G10" i="19" s="1"/>
  <c r="O15" i="2" s="1"/>
  <c r="E11" i="24"/>
  <c r="F12" i="19" s="1"/>
  <c r="E13" i="24"/>
  <c r="F14" i="19" s="1"/>
  <c r="G14" i="19" s="1"/>
  <c r="O21" i="2" s="1"/>
  <c r="E37" i="24"/>
  <c r="F38" i="19" s="1"/>
  <c r="G38" i="19" s="1"/>
  <c r="N11" i="7" s="1"/>
  <c r="E62" i="24"/>
  <c r="F63" i="19" s="1"/>
  <c r="G63" i="19" s="1"/>
  <c r="E27" i="24"/>
  <c r="F28" i="19" s="1"/>
  <c r="G28" i="19" s="1"/>
  <c r="O22" i="4" s="1"/>
  <c r="E39" i="24"/>
  <c r="F40" i="19" s="1"/>
  <c r="G40" i="19" s="1"/>
  <c r="N13" i="7" s="1"/>
  <c r="E53" i="24"/>
  <c r="F54" i="19" s="1"/>
  <c r="G54" i="19" s="1"/>
  <c r="O40" i="13" s="1"/>
  <c r="C41" i="9"/>
  <c r="E69" i="24"/>
  <c r="F70" i="19" s="1"/>
  <c r="E19" i="24"/>
  <c r="F20" i="19" s="1"/>
  <c r="G20" i="19" s="1"/>
  <c r="E67" i="24"/>
  <c r="F68" i="19" s="1"/>
  <c r="G68" i="19" s="1"/>
  <c r="E8" i="24"/>
  <c r="F9" i="19" s="1"/>
  <c r="G9" i="19" s="1"/>
  <c r="O12" i="2" s="1"/>
  <c r="E12" i="24"/>
  <c r="F13" i="19" s="1"/>
  <c r="G13" i="19" s="1"/>
  <c r="O20" i="2" s="1"/>
  <c r="E26" i="24"/>
  <c r="F27" i="19" s="1"/>
  <c r="G27" i="19" s="1"/>
  <c r="O19" i="4" s="1"/>
  <c r="E7" i="24"/>
  <c r="F8" i="19" s="1"/>
  <c r="G8" i="19" s="1"/>
  <c r="O11" i="2" s="1"/>
  <c r="E21" i="24"/>
  <c r="F22" i="19" s="1"/>
  <c r="G22" i="19" s="1"/>
  <c r="O10" i="4" s="1"/>
  <c r="B14" i="22"/>
  <c r="E32" i="24"/>
  <c r="F33" i="19" s="1"/>
  <c r="G33" i="19" s="1"/>
  <c r="N5" i="7" s="1"/>
  <c r="E33" i="24"/>
  <c r="F34" i="19" s="1"/>
  <c r="G34" i="19" s="1"/>
  <c r="N6" i="7" s="1"/>
  <c r="C47" i="24"/>
  <c r="E65" i="24"/>
  <c r="F66" i="19" s="1"/>
  <c r="G66" i="19" s="1"/>
  <c r="E58" i="24"/>
  <c r="F59" i="19" s="1"/>
  <c r="G59" i="19" s="1"/>
  <c r="O9" i="9" s="1"/>
  <c r="E20" i="24"/>
  <c r="F21" i="19" s="1"/>
  <c r="G21" i="19" s="1"/>
  <c r="O7" i="4" s="1"/>
  <c r="E41" i="24"/>
  <c r="F42" i="19" s="1"/>
  <c r="G42" i="19" s="1"/>
  <c r="N15" i="7" s="1"/>
  <c r="C45" i="24"/>
  <c r="C56" i="24"/>
  <c r="Z12" i="8"/>
  <c r="I36" i="28" s="1"/>
  <c r="W12" i="8"/>
  <c r="Y12" i="8"/>
  <c r="B22" i="22"/>
  <c r="E68" i="26"/>
  <c r="Z36" i="15"/>
  <c r="J13" i="7" s="1"/>
  <c r="J39" i="26" s="1"/>
  <c r="F39" i="25" s="1"/>
  <c r="G31" i="19"/>
  <c r="O31" i="4" s="1"/>
  <c r="Y18" i="11"/>
  <c r="X18" i="11"/>
  <c r="W18" i="11"/>
  <c r="AA18" i="11"/>
  <c r="V18" i="11"/>
  <c r="Z18" i="11"/>
  <c r="AA17" i="11"/>
  <c r="W17" i="11"/>
  <c r="V19" i="11"/>
  <c r="Z19" i="11"/>
  <c r="Y19" i="11"/>
  <c r="X19" i="11"/>
  <c r="W19" i="11"/>
  <c r="AA19" i="11"/>
  <c r="V17" i="11"/>
  <c r="Z17" i="11"/>
  <c r="X16" i="11"/>
  <c r="W16" i="11"/>
  <c r="AA16" i="11"/>
  <c r="V16" i="11"/>
  <c r="Z16" i="11"/>
  <c r="Y16" i="11"/>
  <c r="X36" i="15"/>
  <c r="H13" i="7" s="1"/>
  <c r="H39" i="26" s="1"/>
  <c r="D39" i="25" s="1"/>
  <c r="N8" i="16"/>
  <c r="V36" i="15"/>
  <c r="F13" i="7" s="1"/>
  <c r="F39" i="26" s="1"/>
  <c r="B39" i="25" s="1"/>
  <c r="Y36" i="15"/>
  <c r="I13" i="7" s="1"/>
  <c r="I39" i="26" s="1"/>
  <c r="E39" i="25" s="1"/>
  <c r="W36" i="15"/>
  <c r="G13" i="7" s="1"/>
  <c r="G39" i="26" s="1"/>
  <c r="C39" i="25" s="1"/>
  <c r="Y61" i="15"/>
  <c r="AA61" i="15"/>
  <c r="W61" i="15"/>
  <c r="X61" i="15"/>
  <c r="Z61" i="15"/>
  <c r="V61" i="15"/>
  <c r="G41" i="19"/>
  <c r="N14" i="7" s="1"/>
  <c r="I38" i="16"/>
  <c r="K38" i="16" s="1"/>
  <c r="C54" i="26"/>
  <c r="K20" i="15"/>
  <c r="G16" i="19"/>
  <c r="O24" i="2" s="1"/>
  <c r="I24" i="16"/>
  <c r="K24" i="16" s="1"/>
  <c r="F42" i="13" s="1"/>
  <c r="N7" i="16"/>
  <c r="I51" i="15"/>
  <c r="K51" i="15" s="1"/>
  <c r="F33" i="13" s="1"/>
  <c r="C50" i="26"/>
  <c r="G12" i="19"/>
  <c r="O19" i="2" s="1"/>
  <c r="Z20" i="10"/>
  <c r="Y22" i="3"/>
  <c r="V22" i="3"/>
  <c r="Z22" i="3"/>
  <c r="W22" i="3"/>
  <c r="AA22" i="3"/>
  <c r="X22" i="3"/>
  <c r="W21" i="3"/>
  <c r="X21" i="3"/>
  <c r="Y21" i="3"/>
  <c r="Z21" i="3"/>
  <c r="AA21" i="3"/>
  <c r="V21" i="3"/>
  <c r="W10" i="3"/>
  <c r="X10" i="3"/>
  <c r="Y10" i="3"/>
  <c r="Z10" i="3"/>
  <c r="AA10" i="3"/>
  <c r="V10" i="3"/>
  <c r="Y13" i="3"/>
  <c r="V13" i="3"/>
  <c r="Z13" i="3"/>
  <c r="W13" i="3"/>
  <c r="AA13" i="3"/>
  <c r="X13" i="3"/>
  <c r="Y63" i="3"/>
  <c r="I13" i="26" s="1"/>
  <c r="E13" i="25" s="1"/>
  <c r="W23" i="3"/>
  <c r="AA23" i="3"/>
  <c r="X23" i="3"/>
  <c r="Y23" i="3"/>
  <c r="V23" i="3"/>
  <c r="Z23" i="3"/>
  <c r="W14" i="3"/>
  <c r="AA14" i="3"/>
  <c r="X14" i="3"/>
  <c r="Y14" i="3"/>
  <c r="V14" i="3"/>
  <c r="Z14" i="3"/>
  <c r="Y45" i="3"/>
  <c r="V45" i="3"/>
  <c r="Z45" i="3"/>
  <c r="W45" i="3"/>
  <c r="AA45" i="3"/>
  <c r="X45" i="3"/>
  <c r="W20" i="3"/>
  <c r="X20" i="3"/>
  <c r="Y20" i="3"/>
  <c r="Z20" i="3"/>
  <c r="AA20" i="3"/>
  <c r="V20" i="3"/>
  <c r="W11" i="3"/>
  <c r="X11" i="3"/>
  <c r="Y11" i="3"/>
  <c r="Z11" i="3"/>
  <c r="AA11" i="3"/>
  <c r="V11" i="3"/>
  <c r="W46" i="3"/>
  <c r="AA46" i="3"/>
  <c r="X46" i="3"/>
  <c r="Y46" i="3"/>
  <c r="V46" i="3"/>
  <c r="Z46" i="3"/>
  <c r="W24" i="3"/>
  <c r="X24" i="3"/>
  <c r="Y24" i="3"/>
  <c r="Z24" i="3"/>
  <c r="AA24" i="3"/>
  <c r="V24" i="3"/>
  <c r="W12" i="3"/>
  <c r="X12" i="3"/>
  <c r="Y12" i="3"/>
  <c r="Z12" i="3"/>
  <c r="AA12" i="3"/>
  <c r="V12" i="3"/>
  <c r="W47" i="3"/>
  <c r="AA47" i="3"/>
  <c r="X47" i="3"/>
  <c r="Y47" i="3"/>
  <c r="V47" i="3"/>
  <c r="Z47" i="3"/>
  <c r="K23" i="6"/>
  <c r="AG23" i="6" s="1"/>
  <c r="AE23" i="6"/>
  <c r="K25" i="6"/>
  <c r="AG25" i="6" s="1"/>
  <c r="AE25" i="6"/>
  <c r="K11" i="6"/>
  <c r="AG11" i="6" s="1"/>
  <c r="AE11" i="6"/>
  <c r="K10" i="6"/>
  <c r="AG10" i="6" s="1"/>
  <c r="AE10" i="6"/>
  <c r="K24" i="6"/>
  <c r="AG24" i="6" s="1"/>
  <c r="AE24" i="6"/>
  <c r="K13" i="6"/>
  <c r="AG13" i="6" s="1"/>
  <c r="AE13" i="6"/>
  <c r="K22" i="6"/>
  <c r="AG22" i="6" s="1"/>
  <c r="AE22" i="6"/>
  <c r="K12" i="6"/>
  <c r="AG12" i="6" s="1"/>
  <c r="AE12" i="6"/>
  <c r="V14" i="15"/>
  <c r="Z15" i="16"/>
  <c r="J53" i="26" s="1"/>
  <c r="F53" i="25" s="1"/>
  <c r="X14" i="15"/>
  <c r="Y14" i="15"/>
  <c r="W14" i="15"/>
  <c r="X37" i="16"/>
  <c r="V37" i="16"/>
  <c r="AA37" i="16"/>
  <c r="W37" i="16"/>
  <c r="Y37" i="16"/>
  <c r="Z37" i="16"/>
  <c r="Z14" i="15"/>
  <c r="AA12" i="5"/>
  <c r="AA33" i="6"/>
  <c r="X32" i="6"/>
  <c r="AA32" i="6"/>
  <c r="W32" i="6"/>
  <c r="W31" i="6" s="1"/>
  <c r="H31" i="4" s="1"/>
  <c r="Z32" i="6"/>
  <c r="V32" i="6"/>
  <c r="Y32" i="6"/>
  <c r="X33" i="6"/>
  <c r="Z33" i="6"/>
  <c r="Z31" i="6" s="1"/>
  <c r="K31" i="4" s="1"/>
  <c r="Y33" i="6"/>
  <c r="V33" i="6"/>
  <c r="X12" i="5"/>
  <c r="X8" i="10"/>
  <c r="Y17" i="16"/>
  <c r="Y15" i="16" s="1"/>
  <c r="V17" i="16"/>
  <c r="V15" i="16" s="1"/>
  <c r="F53" i="26" s="1"/>
  <c r="B53" i="25" s="1"/>
  <c r="W17" i="16"/>
  <c r="W15" i="16" s="1"/>
  <c r="G53" i="26" s="1"/>
  <c r="C53" i="25" s="1"/>
  <c r="AA17" i="16"/>
  <c r="AA15" i="16" s="1"/>
  <c r="X17" i="16"/>
  <c r="X15" i="16" s="1"/>
  <c r="H53" i="26" s="1"/>
  <c r="D53" i="25" s="1"/>
  <c r="E49" i="26"/>
  <c r="AA43" i="15"/>
  <c r="N44" i="15"/>
  <c r="N29" i="15"/>
  <c r="AA8" i="10"/>
  <c r="Y8" i="10"/>
  <c r="Z8" i="10"/>
  <c r="W8" i="10"/>
  <c r="V12" i="8"/>
  <c r="E36" i="28" s="1"/>
  <c r="Y7" i="8"/>
  <c r="V7" i="8"/>
  <c r="V6" i="8" s="1"/>
  <c r="E34" i="28" s="1"/>
  <c r="Z7" i="8"/>
  <c r="W7" i="8"/>
  <c r="AA7" i="8"/>
  <c r="AA6" i="8" s="1"/>
  <c r="J34" i="28" s="1"/>
  <c r="X7" i="8"/>
  <c r="X6" i="8" s="1"/>
  <c r="G34" i="28" s="1"/>
  <c r="AA12" i="8"/>
  <c r="J36" i="28" s="1"/>
  <c r="V12" i="5"/>
  <c r="Z12" i="5"/>
  <c r="W12" i="5"/>
  <c r="Z31" i="5"/>
  <c r="V31" i="5"/>
  <c r="Y31" i="5"/>
  <c r="X31" i="5"/>
  <c r="AA31" i="5"/>
  <c r="W31" i="5"/>
  <c r="X32" i="5"/>
  <c r="AA32" i="5"/>
  <c r="W32" i="5"/>
  <c r="Z32" i="5"/>
  <c r="V32" i="5"/>
  <c r="Y32" i="5"/>
  <c r="Z33" i="5"/>
  <c r="V33" i="5"/>
  <c r="Y33" i="5"/>
  <c r="X33" i="5"/>
  <c r="AA33" i="5"/>
  <c r="W33" i="5"/>
  <c r="X30" i="5"/>
  <c r="AA30" i="5"/>
  <c r="W30" i="5"/>
  <c r="Z30" i="5"/>
  <c r="V30" i="5"/>
  <c r="Y30" i="5"/>
  <c r="Z14" i="10"/>
  <c r="X20" i="10"/>
  <c r="Y14" i="10"/>
  <c r="Y9" i="10"/>
  <c r="X9" i="10"/>
  <c r="W9" i="10"/>
  <c r="AA9" i="10"/>
  <c r="V9" i="10"/>
  <c r="Z9" i="10"/>
  <c r="V14" i="10"/>
  <c r="X14" i="10"/>
  <c r="Y20" i="10"/>
  <c r="W20" i="10"/>
  <c r="W21" i="10"/>
  <c r="AA21" i="10"/>
  <c r="V21" i="10"/>
  <c r="Z21" i="10"/>
  <c r="Y21" i="10"/>
  <c r="X21" i="10"/>
  <c r="V15" i="10"/>
  <c r="Z15" i="10"/>
  <c r="Y15" i="10"/>
  <c r="X15" i="10"/>
  <c r="W15" i="10"/>
  <c r="AA15" i="10"/>
  <c r="V10" i="10"/>
  <c r="Z10" i="10"/>
  <c r="Y10" i="10"/>
  <c r="X10" i="10"/>
  <c r="W10" i="10"/>
  <c r="AA10" i="10"/>
  <c r="AA14" i="10"/>
  <c r="AA20" i="10"/>
  <c r="X22" i="10"/>
  <c r="W22" i="10"/>
  <c r="AA22" i="10"/>
  <c r="V22" i="10"/>
  <c r="Z22" i="10"/>
  <c r="Y22" i="10"/>
  <c r="W16" i="10"/>
  <c r="AA16" i="10"/>
  <c r="V16" i="10"/>
  <c r="Z16" i="10"/>
  <c r="Y16" i="10"/>
  <c r="X16" i="10"/>
  <c r="V19" i="10"/>
  <c r="Z19" i="10"/>
  <c r="Y19" i="10"/>
  <c r="X19" i="10"/>
  <c r="I19" i="9" s="1"/>
  <c r="W19" i="10"/>
  <c r="AA19" i="10"/>
  <c r="Y13" i="10"/>
  <c r="X13" i="10"/>
  <c r="W13" i="10"/>
  <c r="H16" i="9" s="1"/>
  <c r="AA13" i="10"/>
  <c r="V13" i="10"/>
  <c r="G16" i="9" s="1"/>
  <c r="Z13" i="10"/>
  <c r="V7" i="10"/>
  <c r="X7" i="10"/>
  <c r="W7" i="10"/>
  <c r="AA7" i="10"/>
  <c r="Z7" i="10"/>
  <c r="Y7" i="10"/>
  <c r="X43" i="15"/>
  <c r="Y43" i="15"/>
  <c r="W43" i="15"/>
  <c r="V43" i="15"/>
  <c r="Z43" i="15"/>
  <c r="Z8" i="8"/>
  <c r="Y8" i="8"/>
  <c r="W8" i="8"/>
  <c r="B16" i="22"/>
  <c r="B15" i="22"/>
  <c r="Y10" i="8"/>
  <c r="W10" i="8"/>
  <c r="X10" i="8"/>
  <c r="Z10" i="8"/>
  <c r="AA10" i="8"/>
  <c r="F6" i="7"/>
  <c r="F33" i="26" s="1"/>
  <c r="E35" i="28"/>
  <c r="W19" i="15"/>
  <c r="G11" i="7" s="1"/>
  <c r="G37" i="26" s="1"/>
  <c r="C37" i="25" s="1"/>
  <c r="X19" i="15"/>
  <c r="H11" i="7" s="1"/>
  <c r="H37" i="26" s="1"/>
  <c r="D37" i="25" s="1"/>
  <c r="Z19" i="15"/>
  <c r="J11" i="7" s="1"/>
  <c r="J37" i="26" s="1"/>
  <c r="F37" i="25" s="1"/>
  <c r="K7" i="7"/>
  <c r="K34" i="26" s="1"/>
  <c r="I7" i="7"/>
  <c r="I34" i="26" s="1"/>
  <c r="H36" i="28"/>
  <c r="Y19" i="15"/>
  <c r="I11" i="7" s="1"/>
  <c r="I37" i="26" s="1"/>
  <c r="E37" i="25" s="1"/>
  <c r="G7" i="7"/>
  <c r="G34" i="26" s="1"/>
  <c r="C34" i="25" s="1"/>
  <c r="F36" i="28"/>
  <c r="V19" i="15"/>
  <c r="F11" i="7" s="1"/>
  <c r="F37" i="26" s="1"/>
  <c r="B37" i="25" s="1"/>
  <c r="J7" i="7"/>
  <c r="J34" i="26" s="1"/>
  <c r="F34" i="25" s="1"/>
  <c r="Y9" i="5"/>
  <c r="J19" i="4" s="1"/>
  <c r="AA9" i="5"/>
  <c r="L19" i="4" s="1"/>
  <c r="Y24" i="5"/>
  <c r="X24" i="5"/>
  <c r="AA24" i="5"/>
  <c r="V24" i="5"/>
  <c r="W24" i="5"/>
  <c r="Z24" i="5"/>
  <c r="AA23" i="5"/>
  <c r="W23" i="5"/>
  <c r="V23" i="5"/>
  <c r="Y23" i="5"/>
  <c r="Z23" i="5"/>
  <c r="X23" i="5"/>
  <c r="Y26" i="5"/>
  <c r="AA26" i="5"/>
  <c r="V26" i="5"/>
  <c r="X26" i="5"/>
  <c r="W26" i="5"/>
  <c r="Z26" i="5"/>
  <c r="AA25" i="5"/>
  <c r="W25" i="5"/>
  <c r="Y25" i="5"/>
  <c r="X25" i="5"/>
  <c r="Z25" i="5"/>
  <c r="V25" i="5"/>
  <c r="Y19" i="5"/>
  <c r="X19" i="5"/>
  <c r="AA19" i="5"/>
  <c r="W19" i="5"/>
  <c r="Z19" i="5"/>
  <c r="V19" i="5"/>
  <c r="AA18" i="5"/>
  <c r="W18" i="5"/>
  <c r="Z18" i="5"/>
  <c r="V18" i="5"/>
  <c r="Y18" i="5"/>
  <c r="X18" i="5"/>
  <c r="Z40" i="3"/>
  <c r="V40" i="3"/>
  <c r="AA40" i="3"/>
  <c r="W40" i="3"/>
  <c r="X40" i="3"/>
  <c r="Y40" i="3"/>
  <c r="V39" i="3"/>
  <c r="AA39" i="3"/>
  <c r="W39" i="3"/>
  <c r="H12" i="2" s="1"/>
  <c r="X39" i="3"/>
  <c r="Y39" i="3"/>
  <c r="Z39" i="3"/>
  <c r="V41" i="3"/>
  <c r="W41" i="3"/>
  <c r="Y41" i="3"/>
  <c r="X41" i="3"/>
  <c r="AA41" i="3"/>
  <c r="Z41" i="3"/>
  <c r="B68" i="25"/>
  <c r="X55" i="15"/>
  <c r="G43" i="28" s="1"/>
  <c r="H15" i="7"/>
  <c r="H41" i="26" s="1"/>
  <c r="D41" i="25" s="1"/>
  <c r="K15" i="7"/>
  <c r="K41" i="26" s="1"/>
  <c r="G41" i="25" s="1"/>
  <c r="AA55" i="15"/>
  <c r="J43" i="28" s="1"/>
  <c r="Z26" i="15"/>
  <c r="J12" i="7" s="1"/>
  <c r="J38" i="26" s="1"/>
  <c r="F38" i="25" s="1"/>
  <c r="Y26" i="15"/>
  <c r="V26" i="15"/>
  <c r="F12" i="7" s="1"/>
  <c r="F38" i="26" s="1"/>
  <c r="B38" i="25" s="1"/>
  <c r="AA26" i="15"/>
  <c r="K12" i="7" s="1"/>
  <c r="K38" i="26" s="1"/>
  <c r="G38" i="25" s="1"/>
  <c r="X26" i="15"/>
  <c r="H12" i="7" s="1"/>
  <c r="H38" i="26" s="1"/>
  <c r="D38" i="25" s="1"/>
  <c r="W26" i="15"/>
  <c r="Y55" i="15"/>
  <c r="I15" i="7"/>
  <c r="I41" i="26" s="1"/>
  <c r="E41" i="25" s="1"/>
  <c r="F15" i="7"/>
  <c r="F41" i="26" s="1"/>
  <c r="B41" i="25" s="1"/>
  <c r="V55" i="15"/>
  <c r="E43" i="28" s="1"/>
  <c r="W7" i="15"/>
  <c r="AA7" i="15"/>
  <c r="K10" i="7" s="1"/>
  <c r="K36" i="26" s="1"/>
  <c r="X7" i="15"/>
  <c r="H10" i="7" s="1"/>
  <c r="H36" i="26" s="1"/>
  <c r="V7" i="15"/>
  <c r="F10" i="7" s="1"/>
  <c r="F36" i="26" s="1"/>
  <c r="J10" i="7"/>
  <c r="J36" i="26" s="1"/>
  <c r="Y7" i="15"/>
  <c r="I10" i="7" s="1"/>
  <c r="I36" i="26" s="1"/>
  <c r="G15" i="7"/>
  <c r="G41" i="26" s="1"/>
  <c r="C41" i="25" s="1"/>
  <c r="W55" i="15"/>
  <c r="F43" i="28" s="1"/>
  <c r="W64" i="15"/>
  <c r="X64" i="15"/>
  <c r="V64" i="15"/>
  <c r="Z64" i="15"/>
  <c r="AA64" i="15"/>
  <c r="Y64" i="15"/>
  <c r="X60" i="15"/>
  <c r="Z60" i="15"/>
  <c r="AA60" i="15"/>
  <c r="V60" i="15"/>
  <c r="W60" i="15"/>
  <c r="Y60" i="15"/>
  <c r="J15" i="7"/>
  <c r="J41" i="26" s="1"/>
  <c r="F41" i="25" s="1"/>
  <c r="Z55" i="15"/>
  <c r="I43" i="28" s="1"/>
  <c r="I26" i="6"/>
  <c r="K21" i="6"/>
  <c r="I14" i="6"/>
  <c r="K9" i="6"/>
  <c r="AA17" i="5"/>
  <c r="Y17" i="5"/>
  <c r="W17" i="5"/>
  <c r="V17" i="5"/>
  <c r="X17" i="5"/>
  <c r="Z17" i="5"/>
  <c r="Z16" i="5"/>
  <c r="X16" i="5"/>
  <c r="W16" i="5"/>
  <c r="Y16" i="5"/>
  <c r="AA16" i="5"/>
  <c r="V16" i="5"/>
  <c r="G7" i="4" s="1"/>
  <c r="B12" i="22"/>
  <c r="Z11" i="5"/>
  <c r="V11" i="5"/>
  <c r="Y11" i="5"/>
  <c r="J22" i="4" s="1"/>
  <c r="W11" i="5"/>
  <c r="H22" i="4" s="1"/>
  <c r="AA11" i="5"/>
  <c r="X11" i="5"/>
  <c r="W38" i="3"/>
  <c r="X63" i="3"/>
  <c r="H13" i="26" s="1"/>
  <c r="D13" i="25" s="1"/>
  <c r="Z63" i="3"/>
  <c r="J13" i="26" s="1"/>
  <c r="F13" i="25" s="1"/>
  <c r="W63" i="3"/>
  <c r="G13" i="26" s="1"/>
  <c r="C13" i="25" s="1"/>
  <c r="AA63" i="3"/>
  <c r="K13" i="26" s="1"/>
  <c r="G13" i="25" s="1"/>
  <c r="AA53" i="3"/>
  <c r="K11" i="26" s="1"/>
  <c r="G11" i="25" s="1"/>
  <c r="X38" i="3"/>
  <c r="N7" i="7"/>
  <c r="V38" i="3"/>
  <c r="Y53" i="3"/>
  <c r="I11" i="26" s="1"/>
  <c r="E11" i="25" s="1"/>
  <c r="Y38" i="3"/>
  <c r="AA38" i="3"/>
  <c r="W53" i="3"/>
  <c r="G11" i="26" s="1"/>
  <c r="C11" i="25" s="1"/>
  <c r="B9" i="22"/>
  <c r="B22" i="18"/>
  <c r="L15" i="26"/>
  <c r="M15" i="2"/>
  <c r="M25" i="2"/>
  <c r="X53" i="3"/>
  <c r="H11" i="26" s="1"/>
  <c r="D11" i="25" s="1"/>
  <c r="V53" i="3"/>
  <c r="F11" i="26" s="1"/>
  <c r="B11" i="25" s="1"/>
  <c r="V51" i="3"/>
  <c r="G26" i="2" s="1"/>
  <c r="Y51" i="3"/>
  <c r="AA51" i="3"/>
  <c r="W51" i="3"/>
  <c r="X51" i="3"/>
  <c r="Z51" i="3"/>
  <c r="Y62" i="3"/>
  <c r="Z62" i="3"/>
  <c r="AA62" i="3"/>
  <c r="W62" i="3"/>
  <c r="X62" i="3"/>
  <c r="V62" i="3"/>
  <c r="W50" i="3"/>
  <c r="Y50" i="3"/>
  <c r="J26" i="2" s="1"/>
  <c r="Z50" i="3"/>
  <c r="AA50" i="3"/>
  <c r="V49" i="3"/>
  <c r="X50" i="3"/>
  <c r="V52" i="3"/>
  <c r="G18" i="2" s="1"/>
  <c r="X52" i="3"/>
  <c r="W52" i="3"/>
  <c r="Z52" i="3"/>
  <c r="Y52" i="3"/>
  <c r="AA52" i="3"/>
  <c r="Z35" i="3"/>
  <c r="W35" i="3"/>
  <c r="X35" i="3"/>
  <c r="AA35" i="3"/>
  <c r="V35" i="3"/>
  <c r="Y35" i="3"/>
  <c r="C17" i="21"/>
  <c r="C21" i="22" s="1"/>
  <c r="Z6" i="12"/>
  <c r="I53" i="28" s="1"/>
  <c r="W6" i="12"/>
  <c r="G58" i="26" s="1"/>
  <c r="AA6" i="12"/>
  <c r="K58" i="26" s="1"/>
  <c r="V6" i="12"/>
  <c r="E53" i="28" s="1"/>
  <c r="B19" i="22"/>
  <c r="G70" i="19"/>
  <c r="H61" i="28"/>
  <c r="I65" i="26"/>
  <c r="E65" i="25" s="1"/>
  <c r="F60" i="28"/>
  <c r="G64" i="26"/>
  <c r="C64" i="25" s="1"/>
  <c r="F61" i="28"/>
  <c r="G65" i="26"/>
  <c r="C65" i="25" s="1"/>
  <c r="H54" i="28"/>
  <c r="I59" i="26"/>
  <c r="G54" i="28"/>
  <c r="H59" i="26"/>
  <c r="D59" i="25" s="1"/>
  <c r="G66" i="28"/>
  <c r="H68" i="26"/>
  <c r="I60" i="28"/>
  <c r="J64" i="26"/>
  <c r="F64" i="25" s="1"/>
  <c r="G61" i="28"/>
  <c r="H65" i="26"/>
  <c r="D65" i="25" s="1"/>
  <c r="G60" i="28"/>
  <c r="H64" i="26"/>
  <c r="D64" i="25" s="1"/>
  <c r="I61" i="28"/>
  <c r="J65" i="26"/>
  <c r="F65" i="25" s="1"/>
  <c r="I54" i="28"/>
  <c r="J59" i="26"/>
  <c r="F59" i="25" s="1"/>
  <c r="H60" i="28"/>
  <c r="I64" i="26"/>
  <c r="E64" i="25" s="1"/>
  <c r="B20" i="22"/>
  <c r="E61" i="28"/>
  <c r="F65" i="26"/>
  <c r="B65" i="25" s="1"/>
  <c r="B21" i="22"/>
  <c r="E60" i="28"/>
  <c r="F64" i="26"/>
  <c r="B64" i="25" s="1"/>
  <c r="F54" i="28"/>
  <c r="G59" i="26"/>
  <c r="C59" i="25" s="1"/>
  <c r="J60" i="28"/>
  <c r="K64" i="26"/>
  <c r="G64" i="25" s="1"/>
  <c r="F63" i="28"/>
  <c r="G67" i="26"/>
  <c r="G63" i="28"/>
  <c r="H67" i="26"/>
  <c r="F66" i="28"/>
  <c r="G68" i="26"/>
  <c r="J54" i="28"/>
  <c r="K59" i="26"/>
  <c r="G59" i="25" s="1"/>
  <c r="E54" i="28"/>
  <c r="F59" i="26"/>
  <c r="B59" i="25" s="1"/>
  <c r="G53" i="28"/>
  <c r="H58" i="26"/>
  <c r="B23" i="22"/>
  <c r="B11" i="22"/>
  <c r="G20" i="28"/>
  <c r="I20" i="28"/>
  <c r="J19" i="26"/>
  <c r="F19" i="25" s="1"/>
  <c r="H20" i="28"/>
  <c r="I19" i="26"/>
  <c r="E19" i="25" s="1"/>
  <c r="E20" i="28"/>
  <c r="F19" i="26"/>
  <c r="B19" i="25" s="1"/>
  <c r="V43" i="5"/>
  <c r="Y43" i="5"/>
  <c r="W43" i="5"/>
  <c r="G25" i="26" s="1"/>
  <c r="AA43" i="5"/>
  <c r="J28" i="28" s="1"/>
  <c r="Z43" i="5"/>
  <c r="J25" i="26" s="1"/>
  <c r="X43" i="5"/>
  <c r="H25" i="26" s="1"/>
  <c r="W19" i="3"/>
  <c r="Y19" i="3"/>
  <c r="Z19" i="3"/>
  <c r="X19" i="3"/>
  <c r="V19" i="3"/>
  <c r="K7" i="26"/>
  <c r="G7" i="25" s="1"/>
  <c r="AA9" i="3"/>
  <c r="Y9" i="3"/>
  <c r="Z9" i="3"/>
  <c r="W9" i="3"/>
  <c r="X9" i="3"/>
  <c r="V9" i="3"/>
  <c r="G19" i="26"/>
  <c r="C19" i="25" s="1"/>
  <c r="F20" i="28"/>
  <c r="J20" i="28"/>
  <c r="K19" i="26"/>
  <c r="B20" i="21" l="1"/>
  <c r="C37" i="9"/>
  <c r="B18" i="21"/>
  <c r="B4" i="21"/>
  <c r="B8" i="22" s="1"/>
  <c r="J29" i="9"/>
  <c r="G29" i="9"/>
  <c r="K45" i="13"/>
  <c r="J55" i="26" s="1"/>
  <c r="F55" i="25" s="1"/>
  <c r="G45" i="13"/>
  <c r="F55" i="26" s="1"/>
  <c r="B55" i="25" s="1"/>
  <c r="J45" i="13"/>
  <c r="I55" i="26" s="1"/>
  <c r="E55" i="25" s="1"/>
  <c r="N22" i="15"/>
  <c r="X22" i="15" s="1"/>
  <c r="I20" i="13" s="1"/>
  <c r="H47" i="26" s="1"/>
  <c r="D47" i="25" s="1"/>
  <c r="F20" i="13"/>
  <c r="E47" i="26" s="1"/>
  <c r="H45" i="13"/>
  <c r="G55" i="26" s="1"/>
  <c r="C55" i="25" s="1"/>
  <c r="I45" i="13"/>
  <c r="H55" i="26" s="1"/>
  <c r="D55" i="25" s="1"/>
  <c r="L45" i="13"/>
  <c r="K55" i="26" s="1"/>
  <c r="G55" i="25" s="1"/>
  <c r="F48" i="13"/>
  <c r="E56" i="26" s="1"/>
  <c r="E56" i="24" s="1"/>
  <c r="F57" i="19" s="1"/>
  <c r="G57" i="19" s="1"/>
  <c r="O48" i="13" s="1"/>
  <c r="J36" i="13"/>
  <c r="I51" i="26" s="1"/>
  <c r="E51" i="25" s="1"/>
  <c r="I36" i="13"/>
  <c r="H51" i="26" s="1"/>
  <c r="D51" i="25" s="1"/>
  <c r="K36" i="13"/>
  <c r="J51" i="26" s="1"/>
  <c r="F51" i="25" s="1"/>
  <c r="H36" i="13"/>
  <c r="G51" i="26" s="1"/>
  <c r="C51" i="25" s="1"/>
  <c r="G36" i="13"/>
  <c r="F51" i="26" s="1"/>
  <c r="B51" i="25" s="1"/>
  <c r="L36" i="13"/>
  <c r="K51" i="26" s="1"/>
  <c r="G51" i="25" s="1"/>
  <c r="J19" i="9"/>
  <c r="I63" i="26" s="1"/>
  <c r="E63" i="25" s="1"/>
  <c r="H7" i="4"/>
  <c r="H19" i="9"/>
  <c r="G19" i="9"/>
  <c r="F63" i="26" s="1"/>
  <c r="B63" i="25" s="1"/>
  <c r="J13" i="9"/>
  <c r="I61" i="26" s="1"/>
  <c r="E61" i="25" s="1"/>
  <c r="G13" i="9"/>
  <c r="Z8" i="34"/>
  <c r="J6" i="14" s="1"/>
  <c r="J72" i="26" s="1"/>
  <c r="F72" i="25" s="1"/>
  <c r="X8" i="34"/>
  <c r="H6" i="14" s="1"/>
  <c r="H72" i="26" s="1"/>
  <c r="D72" i="25" s="1"/>
  <c r="W8" i="34"/>
  <c r="G6" i="14" s="1"/>
  <c r="G72" i="26" s="1"/>
  <c r="C72" i="25" s="1"/>
  <c r="V8" i="34"/>
  <c r="F6" i="14" s="1"/>
  <c r="F72" i="26" s="1"/>
  <c r="B72" i="25" s="1"/>
  <c r="AA8" i="34"/>
  <c r="K6" i="14" s="1"/>
  <c r="K72" i="26" s="1"/>
  <c r="G72" i="25" s="1"/>
  <c r="E71" i="24"/>
  <c r="F72" i="19" s="1"/>
  <c r="G72" i="19" s="1"/>
  <c r="N5" i="14" s="1"/>
  <c r="A2" i="14" s="1"/>
  <c r="B24" i="22"/>
  <c r="Z6" i="34"/>
  <c r="J5" i="14" s="1"/>
  <c r="J71" i="26" s="1"/>
  <c r="V6" i="34"/>
  <c r="F5" i="14" s="1"/>
  <c r="F71" i="26" s="1"/>
  <c r="X6" i="34"/>
  <c r="H5" i="14" s="1"/>
  <c r="H71" i="26" s="1"/>
  <c r="AA6" i="34"/>
  <c r="K5" i="14" s="1"/>
  <c r="K71" i="26" s="1"/>
  <c r="W6" i="34"/>
  <c r="G5" i="14" s="1"/>
  <c r="G71" i="26" s="1"/>
  <c r="L29" i="9"/>
  <c r="K69" i="26" s="1"/>
  <c r="G69" i="25" s="1"/>
  <c r="H29" i="9"/>
  <c r="G69" i="26" s="1"/>
  <c r="D19" i="21" s="1"/>
  <c r="D23" i="22" s="1"/>
  <c r="K29" i="9"/>
  <c r="J69" i="26" s="1"/>
  <c r="I29" i="9"/>
  <c r="H69" i="26" s="1"/>
  <c r="E19" i="21" s="1"/>
  <c r="E23" i="22" s="1"/>
  <c r="L16" i="9"/>
  <c r="K62" i="26" s="1"/>
  <c r="G62" i="25" s="1"/>
  <c r="K16" i="9"/>
  <c r="J62" i="26" s="1"/>
  <c r="F62" i="25" s="1"/>
  <c r="I16" i="9"/>
  <c r="H62" i="26" s="1"/>
  <c r="D62" i="25" s="1"/>
  <c r="J16" i="9"/>
  <c r="I13" i="9"/>
  <c r="H61" i="26" s="1"/>
  <c r="D61" i="25" s="1"/>
  <c r="L13" i="9"/>
  <c r="K61" i="26" s="1"/>
  <c r="G61" i="25" s="1"/>
  <c r="K13" i="9"/>
  <c r="J61" i="26" s="1"/>
  <c r="F61" i="25" s="1"/>
  <c r="H13" i="9"/>
  <c r="G61" i="26" s="1"/>
  <c r="C61" i="25" s="1"/>
  <c r="G22" i="4"/>
  <c r="F27" i="26" s="1"/>
  <c r="B27" i="25" s="1"/>
  <c r="I22" i="4"/>
  <c r="H27" i="26" s="1"/>
  <c r="D27" i="25" s="1"/>
  <c r="L22" i="4"/>
  <c r="K27" i="26" s="1"/>
  <c r="G27" i="25" s="1"/>
  <c r="K22" i="4"/>
  <c r="J27" i="26" s="1"/>
  <c r="H10" i="4"/>
  <c r="G21" i="26" s="1"/>
  <c r="C21" i="25" s="1"/>
  <c r="J10" i="4"/>
  <c r="I21" i="26" s="1"/>
  <c r="E21" i="25" s="1"/>
  <c r="G10" i="4"/>
  <c r="F21" i="26" s="1"/>
  <c r="B21" i="25" s="1"/>
  <c r="I10" i="4"/>
  <c r="H21" i="26" s="1"/>
  <c r="D21" i="25" s="1"/>
  <c r="K10" i="4"/>
  <c r="J21" i="26" s="1"/>
  <c r="F21" i="25" s="1"/>
  <c r="L10" i="4"/>
  <c r="K21" i="26" s="1"/>
  <c r="G21" i="25" s="1"/>
  <c r="I7" i="4"/>
  <c r="L7" i="4"/>
  <c r="K20" i="26" s="1"/>
  <c r="G20" i="25" s="1"/>
  <c r="K7" i="4"/>
  <c r="J7" i="4"/>
  <c r="I20" i="26" s="1"/>
  <c r="E20" i="25" s="1"/>
  <c r="H26" i="2"/>
  <c r="K26" i="2"/>
  <c r="I26" i="2"/>
  <c r="L18" i="2"/>
  <c r="K10" i="26" s="1"/>
  <c r="G10" i="25" s="1"/>
  <c r="I18" i="2"/>
  <c r="H10" i="26" s="1"/>
  <c r="D10" i="25" s="1"/>
  <c r="K12" i="2"/>
  <c r="J8" i="26" s="1"/>
  <c r="F8" i="25" s="1"/>
  <c r="J18" i="2"/>
  <c r="I10" i="26" s="1"/>
  <c r="E10" i="25" s="1"/>
  <c r="H18" i="2"/>
  <c r="G10" i="26" s="1"/>
  <c r="C10" i="25" s="1"/>
  <c r="K18" i="2"/>
  <c r="J10" i="26" s="1"/>
  <c r="F10" i="25" s="1"/>
  <c r="K15" i="2"/>
  <c r="J9" i="26" s="1"/>
  <c r="F9" i="25" s="1"/>
  <c r="I15" i="2"/>
  <c r="H9" i="26" s="1"/>
  <c r="D9" i="25" s="1"/>
  <c r="G15" i="2"/>
  <c r="F9" i="26" s="1"/>
  <c r="B9" i="25" s="1"/>
  <c r="L15" i="2"/>
  <c r="K9" i="26" s="1"/>
  <c r="G9" i="25" s="1"/>
  <c r="J15" i="2"/>
  <c r="I9" i="26" s="1"/>
  <c r="E9" i="25" s="1"/>
  <c r="H15" i="2"/>
  <c r="G9" i="26" s="1"/>
  <c r="C9" i="25" s="1"/>
  <c r="L12" i="2"/>
  <c r="K8" i="26" s="1"/>
  <c r="G8" i="25" s="1"/>
  <c r="J12" i="2"/>
  <c r="I8" i="26" s="1"/>
  <c r="E8" i="25" s="1"/>
  <c r="G12" i="2"/>
  <c r="F8" i="26" s="1"/>
  <c r="B8" i="25" s="1"/>
  <c r="I12" i="2"/>
  <c r="H8" i="26" s="1"/>
  <c r="D8" i="25" s="1"/>
  <c r="F69" i="26"/>
  <c r="C19" i="21" s="1"/>
  <c r="I69" i="26"/>
  <c r="H63" i="26"/>
  <c r="D63" i="25" s="1"/>
  <c r="F62" i="26"/>
  <c r="B62" i="25" s="1"/>
  <c r="G26" i="26"/>
  <c r="C26" i="25" s="1"/>
  <c r="G27" i="26"/>
  <c r="C27" i="25" s="1"/>
  <c r="I26" i="26"/>
  <c r="E26" i="25" s="1"/>
  <c r="F20" i="26"/>
  <c r="B20" i="25" s="1"/>
  <c r="E5" i="24"/>
  <c r="F6" i="19" s="1"/>
  <c r="G6" i="19" s="1"/>
  <c r="O5" i="2" s="1"/>
  <c r="A2" i="2" s="1"/>
  <c r="V15" i="11"/>
  <c r="E67" i="28" s="1"/>
  <c r="A2" i="9"/>
  <c r="A2" i="7"/>
  <c r="E49" i="24"/>
  <c r="F50" i="19" s="1"/>
  <c r="G50" i="19" s="1"/>
  <c r="O28" i="13" s="1"/>
  <c r="E68" i="24"/>
  <c r="F69" i="19" s="1"/>
  <c r="G69" i="19" s="1"/>
  <c r="E55" i="24"/>
  <c r="F56" i="19" s="1"/>
  <c r="G56" i="19" s="1"/>
  <c r="O45" i="13" s="1"/>
  <c r="C50" i="24"/>
  <c r="C54" i="24"/>
  <c r="F7" i="7"/>
  <c r="F34" i="26" s="1"/>
  <c r="B34" i="25" s="1"/>
  <c r="Z6" i="8"/>
  <c r="I34" i="28" s="1"/>
  <c r="X15" i="11"/>
  <c r="G67" i="28" s="1"/>
  <c r="AA15" i="11"/>
  <c r="J67" i="28" s="1"/>
  <c r="Y15" i="11"/>
  <c r="H67" i="28" s="1"/>
  <c r="Z15" i="11"/>
  <c r="I67" i="28" s="1"/>
  <c r="W15" i="11"/>
  <c r="F67" i="28" s="1"/>
  <c r="X10" i="16"/>
  <c r="Y10" i="16"/>
  <c r="V10" i="16"/>
  <c r="Z10" i="16"/>
  <c r="W10" i="16"/>
  <c r="AA10" i="16"/>
  <c r="N38" i="16"/>
  <c r="Z38" i="16" s="1"/>
  <c r="E50" i="26"/>
  <c r="N53" i="15"/>
  <c r="X7" i="16"/>
  <c r="I8" i="13" s="1"/>
  <c r="Z7" i="16"/>
  <c r="K8" i="13" s="1"/>
  <c r="Y7" i="16"/>
  <c r="J8" i="13" s="1"/>
  <c r="W7" i="16"/>
  <c r="H8" i="13" s="1"/>
  <c r="V7" i="16"/>
  <c r="G8" i="13" s="1"/>
  <c r="AA7" i="16"/>
  <c r="L8" i="13" s="1"/>
  <c r="E45" i="26"/>
  <c r="N26" i="16"/>
  <c r="E54" i="26"/>
  <c r="AA16" i="3"/>
  <c r="L8" i="2" s="1"/>
  <c r="Y16" i="3"/>
  <c r="J8" i="2" s="1"/>
  <c r="X6" i="3"/>
  <c r="I5" i="2" s="1"/>
  <c r="AA6" i="3"/>
  <c r="L5" i="2" s="1"/>
  <c r="W6" i="3"/>
  <c r="H5" i="2" s="1"/>
  <c r="W16" i="3"/>
  <c r="H8" i="2" s="1"/>
  <c r="Z6" i="3"/>
  <c r="K5" i="2" s="1"/>
  <c r="X16" i="3"/>
  <c r="I8" i="2" s="1"/>
  <c r="V6" i="3"/>
  <c r="G5" i="2" s="1"/>
  <c r="Y6" i="3"/>
  <c r="J5" i="2" s="1"/>
  <c r="Z16" i="3"/>
  <c r="K8" i="2" s="1"/>
  <c r="F10" i="26"/>
  <c r="B10" i="25" s="1"/>
  <c r="V31" i="6"/>
  <c r="G31" i="4" s="1"/>
  <c r="AA31" i="6"/>
  <c r="L31" i="4" s="1"/>
  <c r="K19" i="6"/>
  <c r="AG21" i="6"/>
  <c r="K7" i="6"/>
  <c r="AG9" i="6"/>
  <c r="X31" i="6"/>
  <c r="I31" i="4" s="1"/>
  <c r="Y49" i="3"/>
  <c r="H15" i="28" s="1"/>
  <c r="I17" i="26"/>
  <c r="E17" i="25" s="1"/>
  <c r="G30" i="26"/>
  <c r="C30" i="25" s="1"/>
  <c r="F31" i="28"/>
  <c r="J30" i="26"/>
  <c r="F30" i="25" s="1"/>
  <c r="I31" i="28"/>
  <c r="X8" i="5"/>
  <c r="G21" i="28" s="1"/>
  <c r="Y31" i="6"/>
  <c r="J31" i="4" s="1"/>
  <c r="K53" i="26"/>
  <c r="G53" i="25" s="1"/>
  <c r="I53" i="26"/>
  <c r="E53" i="25" s="1"/>
  <c r="X44" i="15"/>
  <c r="X35" i="15" s="1"/>
  <c r="G42" i="28" s="1"/>
  <c r="V44" i="15"/>
  <c r="AA44" i="15"/>
  <c r="L28" i="13" s="1"/>
  <c r="Y44" i="15"/>
  <c r="J28" i="13" s="1"/>
  <c r="Z44" i="15"/>
  <c r="K28" i="13" s="1"/>
  <c r="W44" i="15"/>
  <c r="W35" i="15" s="1"/>
  <c r="F42" i="28" s="1"/>
  <c r="E48" i="26"/>
  <c r="W29" i="15"/>
  <c r="Y29" i="15"/>
  <c r="AA29" i="15"/>
  <c r="Z29" i="15"/>
  <c r="V29" i="15"/>
  <c r="X29" i="15"/>
  <c r="F61" i="26"/>
  <c r="B61" i="25" s="1"/>
  <c r="K5" i="7"/>
  <c r="K32" i="26" s="1"/>
  <c r="G32" i="25" s="1"/>
  <c r="H5" i="7"/>
  <c r="H32" i="26" s="1"/>
  <c r="D32" i="25" s="1"/>
  <c r="F5" i="7"/>
  <c r="F32" i="26" s="1"/>
  <c r="B32" i="25" s="1"/>
  <c r="Z8" i="5"/>
  <c r="I21" i="28" s="1"/>
  <c r="Z28" i="5"/>
  <c r="K13" i="4" s="1"/>
  <c r="Y28" i="5"/>
  <c r="J13" i="4" s="1"/>
  <c r="W28" i="5"/>
  <c r="H13" i="4" s="1"/>
  <c r="AA28" i="5"/>
  <c r="L13" i="4" s="1"/>
  <c r="V28" i="5"/>
  <c r="G13" i="4" s="1"/>
  <c r="X28" i="5"/>
  <c r="I13" i="4" s="1"/>
  <c r="G63" i="26"/>
  <c r="C63" i="25" s="1"/>
  <c r="Y18" i="10"/>
  <c r="H59" i="28" s="1"/>
  <c r="X12" i="10"/>
  <c r="G58" i="28" s="1"/>
  <c r="X18" i="10"/>
  <c r="G59" i="28" s="1"/>
  <c r="W6" i="10"/>
  <c r="F57" i="28" s="1"/>
  <c r="Y12" i="10"/>
  <c r="H58" i="28" s="1"/>
  <c r="G62" i="26"/>
  <c r="C62" i="25" s="1"/>
  <c r="AA6" i="10"/>
  <c r="J57" i="28" s="1"/>
  <c r="Z12" i="10"/>
  <c r="I58" i="28" s="1"/>
  <c r="Y6" i="10"/>
  <c r="H57" i="28" s="1"/>
  <c r="X6" i="10"/>
  <c r="G57" i="28" s="1"/>
  <c r="Z18" i="10"/>
  <c r="K19" i="9" s="1"/>
  <c r="W12" i="10"/>
  <c r="F58" i="28" s="1"/>
  <c r="I62" i="26"/>
  <c r="E62" i="25" s="1"/>
  <c r="AA18" i="10"/>
  <c r="L19" i="9" s="1"/>
  <c r="Z6" i="10"/>
  <c r="I57" i="28" s="1"/>
  <c r="V6" i="10"/>
  <c r="E57" i="28" s="1"/>
  <c r="AA12" i="10"/>
  <c r="J58" i="28" s="1"/>
  <c r="W18" i="10"/>
  <c r="F59" i="28" s="1"/>
  <c r="V12" i="10"/>
  <c r="E58" i="28" s="1"/>
  <c r="V18" i="10"/>
  <c r="E59" i="28" s="1"/>
  <c r="F58" i="26"/>
  <c r="B58" i="25" s="1"/>
  <c r="J53" i="28"/>
  <c r="F53" i="28"/>
  <c r="J58" i="26"/>
  <c r="F58" i="25" s="1"/>
  <c r="W6" i="8"/>
  <c r="F34" i="28" s="1"/>
  <c r="G5" i="7"/>
  <c r="G32" i="26" s="1"/>
  <c r="D10" i="21" s="1"/>
  <c r="D14" i="22" s="1"/>
  <c r="Y6" i="8"/>
  <c r="H34" i="28" s="1"/>
  <c r="I5" i="7"/>
  <c r="I32" i="26" s="1"/>
  <c r="E32" i="25" s="1"/>
  <c r="J5" i="7"/>
  <c r="J32" i="26" s="1"/>
  <c r="I35" i="28"/>
  <c r="J6" i="7"/>
  <c r="J33" i="26" s="1"/>
  <c r="J35" i="28"/>
  <c r="K6" i="7"/>
  <c r="K33" i="26" s="1"/>
  <c r="G33" i="25" s="1"/>
  <c r="H35" i="28"/>
  <c r="I6" i="7"/>
  <c r="I33" i="26" s="1"/>
  <c r="E33" i="25" s="1"/>
  <c r="G35" i="28"/>
  <c r="H6" i="7"/>
  <c r="H33" i="26" s="1"/>
  <c r="F35" i="28"/>
  <c r="G6" i="7"/>
  <c r="G33" i="26" s="1"/>
  <c r="G34" i="25"/>
  <c r="E34" i="25"/>
  <c r="B33" i="25"/>
  <c r="C11" i="21"/>
  <c r="Y8" i="5"/>
  <c r="H21" i="28" s="1"/>
  <c r="I27" i="26"/>
  <c r="E27" i="25" s="1"/>
  <c r="K26" i="26"/>
  <c r="G26" i="25" s="1"/>
  <c r="V8" i="5"/>
  <c r="E21" i="28" s="1"/>
  <c r="H26" i="26"/>
  <c r="D26" i="25" s="1"/>
  <c r="AA8" i="5"/>
  <c r="J21" i="28" s="1"/>
  <c r="W21" i="5"/>
  <c r="F23" i="28" s="1"/>
  <c r="Z21" i="5"/>
  <c r="I23" i="28" s="1"/>
  <c r="AA21" i="5"/>
  <c r="J23" i="28" s="1"/>
  <c r="X21" i="5"/>
  <c r="G23" i="28" s="1"/>
  <c r="V14" i="5"/>
  <c r="E22" i="28" s="1"/>
  <c r="Y21" i="5"/>
  <c r="H23" i="28" s="1"/>
  <c r="V21" i="5"/>
  <c r="E23" i="28" s="1"/>
  <c r="AA14" i="5"/>
  <c r="J22" i="28" s="1"/>
  <c r="Y14" i="5"/>
  <c r="H22" i="28" s="1"/>
  <c r="G8" i="26"/>
  <c r="C8" i="25" s="1"/>
  <c r="F15" i="26"/>
  <c r="B15" i="25" s="1"/>
  <c r="V34" i="3"/>
  <c r="E14" i="28" s="1"/>
  <c r="J15" i="26"/>
  <c r="F15" i="25" s="1"/>
  <c r="Z34" i="3"/>
  <c r="I14" i="28" s="1"/>
  <c r="K15" i="26"/>
  <c r="G15" i="25" s="1"/>
  <c r="AA34" i="3"/>
  <c r="J14" i="28" s="1"/>
  <c r="H15" i="26"/>
  <c r="D15" i="25" s="1"/>
  <c r="X34" i="3"/>
  <c r="G14" i="28" s="1"/>
  <c r="I15" i="26"/>
  <c r="E15" i="25" s="1"/>
  <c r="Y34" i="3"/>
  <c r="H14" i="28" s="1"/>
  <c r="G15" i="26"/>
  <c r="C15" i="25" s="1"/>
  <c r="W34" i="3"/>
  <c r="F14" i="28" s="1"/>
  <c r="Y59" i="15"/>
  <c r="I16" i="7"/>
  <c r="I42" i="26" s="1"/>
  <c r="E42" i="25" s="1"/>
  <c r="J16" i="7"/>
  <c r="J42" i="26" s="1"/>
  <c r="F42" i="25" s="1"/>
  <c r="Z59" i="15"/>
  <c r="I44" i="28" s="1"/>
  <c r="J17" i="7"/>
  <c r="J43" i="26" s="1"/>
  <c r="F43" i="25" s="1"/>
  <c r="Z63" i="15"/>
  <c r="I45" i="28" s="1"/>
  <c r="B36" i="25"/>
  <c r="W13" i="15"/>
  <c r="W6" i="15" s="1"/>
  <c r="F39" i="28" s="1"/>
  <c r="X13" i="15"/>
  <c r="I15" i="13" s="1"/>
  <c r="Y13" i="15"/>
  <c r="J15" i="13" s="1"/>
  <c r="V13" i="15"/>
  <c r="G15" i="13" s="1"/>
  <c r="Z13" i="15"/>
  <c r="AA13" i="15"/>
  <c r="AA6" i="15" s="1"/>
  <c r="J39" i="28" s="1"/>
  <c r="K16" i="7"/>
  <c r="K42" i="26" s="1"/>
  <c r="G42" i="25" s="1"/>
  <c r="AA59" i="15"/>
  <c r="J44" i="28" s="1"/>
  <c r="AA63" i="15"/>
  <c r="J45" i="28" s="1"/>
  <c r="K17" i="7"/>
  <c r="K43" i="26" s="1"/>
  <c r="G43" i="25" s="1"/>
  <c r="W63" i="15"/>
  <c r="F45" i="28" s="1"/>
  <c r="G17" i="7"/>
  <c r="G43" i="26" s="1"/>
  <c r="C43" i="25" s="1"/>
  <c r="F36" i="25"/>
  <c r="G10" i="7"/>
  <c r="G36" i="26" s="1"/>
  <c r="E46" i="26"/>
  <c r="E46" i="24" s="1"/>
  <c r="F47" i="19" s="1"/>
  <c r="G16" i="7"/>
  <c r="G42" i="26" s="1"/>
  <c r="C42" i="25" s="1"/>
  <c r="W59" i="15"/>
  <c r="F44" i="28" s="1"/>
  <c r="H16" i="7"/>
  <c r="H42" i="26" s="1"/>
  <c r="D42" i="25" s="1"/>
  <c r="X59" i="15"/>
  <c r="G44" i="28" s="1"/>
  <c r="F17" i="7"/>
  <c r="F43" i="26" s="1"/>
  <c r="B43" i="25" s="1"/>
  <c r="V63" i="15"/>
  <c r="E45" i="28" s="1"/>
  <c r="D36" i="25"/>
  <c r="G12" i="7"/>
  <c r="G38" i="26" s="1"/>
  <c r="C38" i="25" s="1"/>
  <c r="I12" i="7"/>
  <c r="I38" i="26" s="1"/>
  <c r="E38" i="25" s="1"/>
  <c r="V59" i="15"/>
  <c r="E44" i="28" s="1"/>
  <c r="F16" i="7"/>
  <c r="F42" i="26" s="1"/>
  <c r="B42" i="25" s="1"/>
  <c r="I17" i="7"/>
  <c r="I43" i="26" s="1"/>
  <c r="E43" i="25" s="1"/>
  <c r="Y63" i="15"/>
  <c r="H17" i="7"/>
  <c r="H43" i="26" s="1"/>
  <c r="D43" i="25" s="1"/>
  <c r="X63" i="15"/>
  <c r="G45" i="28" s="1"/>
  <c r="E36" i="25"/>
  <c r="G36" i="25"/>
  <c r="W8" i="5"/>
  <c r="F21" i="28" s="1"/>
  <c r="X14" i="5"/>
  <c r="Z14" i="5"/>
  <c r="F28" i="28"/>
  <c r="W14" i="5"/>
  <c r="I28" i="28"/>
  <c r="F26" i="26"/>
  <c r="B26" i="25" s="1"/>
  <c r="J26" i="26"/>
  <c r="V16" i="3"/>
  <c r="G8" i="2" s="1"/>
  <c r="AA49" i="3"/>
  <c r="L26" i="2" s="1"/>
  <c r="Z49" i="3"/>
  <c r="I15" i="28" s="1"/>
  <c r="B23" i="18"/>
  <c r="L16" i="26"/>
  <c r="L9" i="26"/>
  <c r="B16" i="18"/>
  <c r="X49" i="3"/>
  <c r="G15" i="28" s="1"/>
  <c r="E17" i="28"/>
  <c r="F12" i="26"/>
  <c r="B12" i="25" s="1"/>
  <c r="I17" i="28"/>
  <c r="J12" i="26"/>
  <c r="F12" i="25" s="1"/>
  <c r="G17" i="28"/>
  <c r="H12" i="26"/>
  <c r="D12" i="25" s="1"/>
  <c r="I12" i="26"/>
  <c r="E12" i="25" s="1"/>
  <c r="H17" i="28"/>
  <c r="F17" i="28"/>
  <c r="G12" i="26"/>
  <c r="C12" i="25" s="1"/>
  <c r="F17" i="26"/>
  <c r="E15" i="28"/>
  <c r="W49" i="3"/>
  <c r="J17" i="28"/>
  <c r="K12" i="26"/>
  <c r="G12" i="25" s="1"/>
  <c r="D67" i="25"/>
  <c r="E17" i="21"/>
  <c r="E21" i="22" s="1"/>
  <c r="E59" i="25"/>
  <c r="F15" i="21"/>
  <c r="F19" i="22" s="1"/>
  <c r="D58" i="25"/>
  <c r="E15" i="21"/>
  <c r="E19" i="22" s="1"/>
  <c r="G58" i="25"/>
  <c r="H15" i="21"/>
  <c r="H19" i="22" s="1"/>
  <c r="C68" i="25"/>
  <c r="D18" i="21"/>
  <c r="C67" i="25"/>
  <c r="D17" i="21"/>
  <c r="C58" i="25"/>
  <c r="D15" i="21"/>
  <c r="D19" i="22" s="1"/>
  <c r="D68" i="25"/>
  <c r="E18" i="21"/>
  <c r="E22" i="22" s="1"/>
  <c r="K25" i="26"/>
  <c r="G25" i="25" s="1"/>
  <c r="I25" i="26"/>
  <c r="H28" i="28"/>
  <c r="G28" i="28"/>
  <c r="F25" i="26"/>
  <c r="E28" i="28"/>
  <c r="F7" i="26"/>
  <c r="B7" i="25" s="1"/>
  <c r="I7" i="26"/>
  <c r="E7" i="25" s="1"/>
  <c r="G7" i="26"/>
  <c r="C7" i="25" s="1"/>
  <c r="H7" i="26"/>
  <c r="D7" i="25" s="1"/>
  <c r="J7" i="26"/>
  <c r="F7" i="25" s="1"/>
  <c r="C25" i="25"/>
  <c r="F25" i="25"/>
  <c r="D25" i="25"/>
  <c r="G19" i="25"/>
  <c r="E47" i="24" l="1"/>
  <c r="F48" i="19" s="1"/>
  <c r="G48" i="19" s="1"/>
  <c r="O20" i="13" s="1"/>
  <c r="B14" i="21"/>
  <c r="B18" i="22" s="1"/>
  <c r="E45" i="24"/>
  <c r="F46" i="19" s="1"/>
  <c r="B13" i="21"/>
  <c r="Y22" i="15"/>
  <c r="Y18" i="15" s="1"/>
  <c r="X18" i="15"/>
  <c r="G40" i="28" s="1"/>
  <c r="W22" i="15"/>
  <c r="W18" i="15" s="1"/>
  <c r="F40" i="28" s="1"/>
  <c r="Z22" i="15"/>
  <c r="Z18" i="15" s="1"/>
  <c r="I40" i="28" s="1"/>
  <c r="V22" i="15"/>
  <c r="V18" i="15" s="1"/>
  <c r="E40" i="28" s="1"/>
  <c r="AA22" i="15"/>
  <c r="AA18" i="15" s="1"/>
  <c r="J40" i="28" s="1"/>
  <c r="G20" i="13"/>
  <c r="F47" i="26" s="1"/>
  <c r="B47" i="25" s="1"/>
  <c r="L20" i="13"/>
  <c r="K47" i="26" s="1"/>
  <c r="G47" i="25" s="1"/>
  <c r="K20" i="13"/>
  <c r="J47" i="26" s="1"/>
  <c r="F47" i="25" s="1"/>
  <c r="J20" i="13"/>
  <c r="I47" i="26" s="1"/>
  <c r="E47" i="25" s="1"/>
  <c r="K48" i="13"/>
  <c r="J56" i="26" s="1"/>
  <c r="F56" i="25" s="1"/>
  <c r="H20" i="13"/>
  <c r="G47" i="26" s="1"/>
  <c r="C47" i="25" s="1"/>
  <c r="I28" i="13"/>
  <c r="H49" i="26" s="1"/>
  <c r="D49" i="25" s="1"/>
  <c r="V35" i="15"/>
  <c r="E42" i="28" s="1"/>
  <c r="G28" i="13"/>
  <c r="H28" i="13"/>
  <c r="G49" i="26" s="1"/>
  <c r="C49" i="25" s="1"/>
  <c r="X25" i="15"/>
  <c r="G41" i="28" s="1"/>
  <c r="I23" i="13"/>
  <c r="H48" i="26" s="1"/>
  <c r="D48" i="25" s="1"/>
  <c r="G23" i="13"/>
  <c r="F48" i="26" s="1"/>
  <c r="B48" i="25" s="1"/>
  <c r="L23" i="13"/>
  <c r="K48" i="26" s="1"/>
  <c r="G48" i="25" s="1"/>
  <c r="Y25" i="15"/>
  <c r="J23" i="13"/>
  <c r="I48" i="26" s="1"/>
  <c r="E48" i="25" s="1"/>
  <c r="H23" i="13"/>
  <c r="G48" i="26" s="1"/>
  <c r="C48" i="25" s="1"/>
  <c r="Z25" i="15"/>
  <c r="I41" i="28" s="1"/>
  <c r="K23" i="13"/>
  <c r="J48" i="26" s="1"/>
  <c r="F48" i="25" s="1"/>
  <c r="H15" i="13"/>
  <c r="G46" i="26" s="1"/>
  <c r="L15" i="13"/>
  <c r="K46" i="26" s="1"/>
  <c r="G46" i="25" s="1"/>
  <c r="K15" i="13"/>
  <c r="J46" i="26" s="1"/>
  <c r="F46" i="25" s="1"/>
  <c r="C71" i="25"/>
  <c r="D20" i="21"/>
  <c r="D24" i="22" s="1"/>
  <c r="G71" i="25"/>
  <c r="H20" i="21"/>
  <c r="H24" i="22" s="1"/>
  <c r="B71" i="25"/>
  <c r="C20" i="21"/>
  <c r="F71" i="25"/>
  <c r="G20" i="21"/>
  <c r="G24" i="22" s="1"/>
  <c r="D71" i="25"/>
  <c r="E20" i="21"/>
  <c r="E24" i="22" s="1"/>
  <c r="B69" i="25"/>
  <c r="F69" i="25"/>
  <c r="G19" i="21"/>
  <c r="G23" i="22" s="1"/>
  <c r="H19" i="21"/>
  <c r="H23" i="22" s="1"/>
  <c r="D69" i="25"/>
  <c r="C69" i="25"/>
  <c r="F19" i="21"/>
  <c r="F23" i="22" s="1"/>
  <c r="E69" i="25"/>
  <c r="J63" i="26"/>
  <c r="K30" i="26"/>
  <c r="G30" i="25" s="1"/>
  <c r="F30" i="26"/>
  <c r="B30" i="25" s="1"/>
  <c r="G31" i="28"/>
  <c r="H30" i="26"/>
  <c r="D30" i="25" s="1"/>
  <c r="I24" i="28"/>
  <c r="J22" i="26"/>
  <c r="F22" i="25" s="1"/>
  <c r="K17" i="26"/>
  <c r="J6" i="26"/>
  <c r="F6" i="25" s="1"/>
  <c r="I6" i="26"/>
  <c r="E6" i="25" s="1"/>
  <c r="J13" i="28"/>
  <c r="K6" i="26"/>
  <c r="G6" i="25" s="1"/>
  <c r="H6" i="26"/>
  <c r="D6" i="25" s="1"/>
  <c r="G6" i="26"/>
  <c r="C6" i="25" s="1"/>
  <c r="J5" i="26"/>
  <c r="K5" i="26"/>
  <c r="F5" i="26"/>
  <c r="H5" i="26"/>
  <c r="G5" i="26"/>
  <c r="I5" i="26"/>
  <c r="X38" i="16"/>
  <c r="E48" i="24"/>
  <c r="F49" i="19" s="1"/>
  <c r="G49" i="19" s="1"/>
  <c r="O23" i="13" s="1"/>
  <c r="E54" i="24"/>
  <c r="F55" i="19" s="1"/>
  <c r="G55" i="19" s="1"/>
  <c r="O42" i="13" s="1"/>
  <c r="E50" i="24"/>
  <c r="F51" i="19" s="1"/>
  <c r="G51" i="19" s="1"/>
  <c r="O33" i="13" s="1"/>
  <c r="F13" i="28"/>
  <c r="F11" i="21"/>
  <c r="F15" i="22" s="1"/>
  <c r="AA38" i="16"/>
  <c r="Y38" i="16"/>
  <c r="W38" i="16"/>
  <c r="E10" i="21"/>
  <c r="E14" i="22" s="1"/>
  <c r="V38" i="16"/>
  <c r="G46" i="19"/>
  <c r="O7" i="13" s="1"/>
  <c r="B17" i="22"/>
  <c r="Z53" i="15"/>
  <c r="K33" i="13" s="1"/>
  <c r="X53" i="15"/>
  <c r="I33" i="13" s="1"/>
  <c r="W53" i="15"/>
  <c r="H33" i="13" s="1"/>
  <c r="Y53" i="15"/>
  <c r="J33" i="13" s="1"/>
  <c r="AA53" i="15"/>
  <c r="L33" i="13" s="1"/>
  <c r="V53" i="15"/>
  <c r="G33" i="13" s="1"/>
  <c r="AA26" i="16"/>
  <c r="AA24" i="16" s="1"/>
  <c r="L42" i="13" s="1"/>
  <c r="X26" i="16"/>
  <c r="X24" i="16" s="1"/>
  <c r="I42" i="13" s="1"/>
  <c r="Y26" i="16"/>
  <c r="Y24" i="16" s="1"/>
  <c r="J42" i="13" s="1"/>
  <c r="V26" i="16"/>
  <c r="V24" i="16" s="1"/>
  <c r="G42" i="13" s="1"/>
  <c r="W26" i="16"/>
  <c r="W24" i="16" s="1"/>
  <c r="H42" i="13" s="1"/>
  <c r="Z26" i="16"/>
  <c r="Z24" i="16" s="1"/>
  <c r="K42" i="13" s="1"/>
  <c r="Z8" i="16"/>
  <c r="K9" i="13" s="1"/>
  <c r="X8" i="16"/>
  <c r="I9" i="13" s="1"/>
  <c r="AA8" i="16"/>
  <c r="L9" i="13" s="1"/>
  <c r="Y8" i="16"/>
  <c r="J9" i="13" s="1"/>
  <c r="W8" i="16"/>
  <c r="H9" i="13" s="1"/>
  <c r="V8" i="16"/>
  <c r="G9" i="13" s="1"/>
  <c r="H13" i="28"/>
  <c r="H12" i="28"/>
  <c r="G12" i="28"/>
  <c r="J31" i="28"/>
  <c r="I13" i="28"/>
  <c r="J12" i="28"/>
  <c r="E12" i="28"/>
  <c r="I12" i="28"/>
  <c r="F12" i="28"/>
  <c r="G13" i="28"/>
  <c r="E31" i="28"/>
  <c r="K6" i="6"/>
  <c r="AG6" i="6"/>
  <c r="H10" i="21"/>
  <c r="H14" i="22" s="1"/>
  <c r="C10" i="21"/>
  <c r="C14" i="22" s="1"/>
  <c r="C32" i="25"/>
  <c r="F27" i="25"/>
  <c r="H31" i="28"/>
  <c r="I30" i="26"/>
  <c r="E30" i="25" s="1"/>
  <c r="AA25" i="15"/>
  <c r="J41" i="28" s="1"/>
  <c r="Z35" i="15"/>
  <c r="I42" i="28" s="1"/>
  <c r="J49" i="26"/>
  <c r="F49" i="25" s="1"/>
  <c r="AA35" i="15"/>
  <c r="J42" i="28" s="1"/>
  <c r="K49" i="26"/>
  <c r="G49" i="25" s="1"/>
  <c r="Y35" i="15"/>
  <c r="I49" i="26"/>
  <c r="E49" i="25" s="1"/>
  <c r="F49" i="26"/>
  <c r="B49" i="25" s="1"/>
  <c r="V25" i="15"/>
  <c r="E41" i="28" s="1"/>
  <c r="W25" i="15"/>
  <c r="F41" i="28" s="1"/>
  <c r="E16" i="21"/>
  <c r="E20" i="22" s="1"/>
  <c r="H24" i="28"/>
  <c r="I22" i="26"/>
  <c r="E22" i="25" s="1"/>
  <c r="E24" i="28"/>
  <c r="F22" i="26"/>
  <c r="B22" i="25" s="1"/>
  <c r="J24" i="28"/>
  <c r="K22" i="26"/>
  <c r="G22" i="25" s="1"/>
  <c r="G24" i="28"/>
  <c r="H22" i="26"/>
  <c r="D22" i="25" s="1"/>
  <c r="F24" i="28"/>
  <c r="G22" i="26"/>
  <c r="C22" i="25" s="1"/>
  <c r="G8" i="21"/>
  <c r="G12" i="22" s="1"/>
  <c r="I59" i="28"/>
  <c r="D16" i="21"/>
  <c r="D20" i="22" s="1"/>
  <c r="F16" i="21"/>
  <c r="F20" i="22" s="1"/>
  <c r="C16" i="21"/>
  <c r="C20" i="22" s="1"/>
  <c r="J59" i="28"/>
  <c r="K63" i="26"/>
  <c r="C15" i="21"/>
  <c r="C19" i="22" s="1"/>
  <c r="G15" i="21"/>
  <c r="G19" i="22" s="1"/>
  <c r="Z6" i="15"/>
  <c r="I39" i="28" s="1"/>
  <c r="F32" i="25"/>
  <c r="G10" i="21"/>
  <c r="G14" i="22" s="1"/>
  <c r="F10" i="21"/>
  <c r="F14" i="22" s="1"/>
  <c r="H11" i="21"/>
  <c r="H15" i="22" s="1"/>
  <c r="C33" i="25"/>
  <c r="D11" i="21"/>
  <c r="D15" i="22" s="1"/>
  <c r="F33" i="25"/>
  <c r="G11" i="21"/>
  <c r="G15" i="22" s="1"/>
  <c r="E11" i="21"/>
  <c r="E15" i="22" s="1"/>
  <c r="D33" i="25"/>
  <c r="C15" i="22"/>
  <c r="F12" i="21"/>
  <c r="F16" i="22" s="1"/>
  <c r="F8" i="21"/>
  <c r="F12" i="22" s="1"/>
  <c r="D8" i="21"/>
  <c r="H8" i="21"/>
  <c r="H12" i="22" s="1"/>
  <c r="E8" i="21"/>
  <c r="E12" i="22" s="1"/>
  <c r="H20" i="26"/>
  <c r="D20" i="25" s="1"/>
  <c r="J20" i="26"/>
  <c r="F20" i="25" s="1"/>
  <c r="G22" i="28"/>
  <c r="I22" i="28"/>
  <c r="E12" i="21"/>
  <c r="E16" i="22" s="1"/>
  <c r="C12" i="21"/>
  <c r="C16" i="22" s="1"/>
  <c r="E13" i="28"/>
  <c r="F6" i="26"/>
  <c r="H12" i="21"/>
  <c r="H16" i="22" s="1"/>
  <c r="G12" i="21"/>
  <c r="G16" i="22" s="1"/>
  <c r="C36" i="25"/>
  <c r="D12" i="21"/>
  <c r="D16" i="22" s="1"/>
  <c r="I46" i="26"/>
  <c r="Y6" i="15"/>
  <c r="F46" i="26"/>
  <c r="V6" i="15"/>
  <c r="E39" i="28" s="1"/>
  <c r="H46" i="26"/>
  <c r="X6" i="15"/>
  <c r="G39" i="28" s="1"/>
  <c r="G47" i="19"/>
  <c r="O15" i="13" s="1"/>
  <c r="F22" i="28"/>
  <c r="G20" i="26"/>
  <c r="F26" i="25"/>
  <c r="C8" i="21"/>
  <c r="C12" i="22" s="1"/>
  <c r="H17" i="26"/>
  <c r="D17" i="25" s="1"/>
  <c r="J15" i="28"/>
  <c r="J17" i="26"/>
  <c r="F17" i="25" s="1"/>
  <c r="F6" i="21"/>
  <c r="F10" i="22" s="1"/>
  <c r="H5" i="21"/>
  <c r="H9" i="22" s="1"/>
  <c r="D5" i="21"/>
  <c r="D9" i="22" s="1"/>
  <c r="C5" i="21"/>
  <c r="C9" i="22" s="1"/>
  <c r="F15" i="28"/>
  <c r="G17" i="26"/>
  <c r="E5" i="21"/>
  <c r="E9" i="22" s="1"/>
  <c r="C6" i="21"/>
  <c r="B17" i="25"/>
  <c r="F5" i="21"/>
  <c r="F9" i="22" s="1"/>
  <c r="G5" i="21"/>
  <c r="G9" i="22" s="1"/>
  <c r="D21" i="22"/>
  <c r="I17" i="21"/>
  <c r="D22" i="22"/>
  <c r="I18" i="21"/>
  <c r="C23" i="22"/>
  <c r="E25" i="25"/>
  <c r="B25" i="25"/>
  <c r="B5" i="25" l="1"/>
  <c r="H48" i="13"/>
  <c r="G56" i="26" s="1"/>
  <c r="C56" i="25" s="1"/>
  <c r="I48" i="13"/>
  <c r="H56" i="26" s="1"/>
  <c r="D56" i="25" s="1"/>
  <c r="J48" i="13"/>
  <c r="I56" i="26" s="1"/>
  <c r="E56" i="25" s="1"/>
  <c r="G48" i="13"/>
  <c r="F56" i="26" s="1"/>
  <c r="B56" i="25" s="1"/>
  <c r="L48" i="13"/>
  <c r="K56" i="26" s="1"/>
  <c r="G56" i="25" s="1"/>
  <c r="F26" i="4"/>
  <c r="E29" i="26" s="1"/>
  <c r="B9" i="21" s="1"/>
  <c r="N27" i="6"/>
  <c r="V27" i="6" s="1"/>
  <c r="N16" i="6"/>
  <c r="X16" i="6" s="1"/>
  <c r="N19" i="6"/>
  <c r="V19" i="6" s="1"/>
  <c r="N28" i="6"/>
  <c r="N7" i="6"/>
  <c r="N26" i="6"/>
  <c r="AA26" i="6" s="1"/>
  <c r="N15" i="6"/>
  <c r="AA15" i="6" s="1"/>
  <c r="N29" i="6"/>
  <c r="X29" i="6" s="1"/>
  <c r="N14" i="6"/>
  <c r="AA14" i="6" s="1"/>
  <c r="N17" i="6"/>
  <c r="AA17" i="6" s="1"/>
  <c r="C24" i="22"/>
  <c r="I20" i="21"/>
  <c r="I19" i="21"/>
  <c r="F63" i="25"/>
  <c r="G16" i="21"/>
  <c r="G20" i="22" s="1"/>
  <c r="W28" i="6"/>
  <c r="Z7" i="6"/>
  <c r="G17" i="25"/>
  <c r="H6" i="21"/>
  <c r="H10" i="22" s="1"/>
  <c r="F4" i="21"/>
  <c r="F8" i="22" s="1"/>
  <c r="E5" i="25"/>
  <c r="H4" i="21"/>
  <c r="H8" i="22" s="1"/>
  <c r="G5" i="25"/>
  <c r="C5" i="25"/>
  <c r="D4" i="21"/>
  <c r="D8" i="22" s="1"/>
  <c r="G4" i="21"/>
  <c r="G8" i="22" s="1"/>
  <c r="F5" i="25"/>
  <c r="D5" i="25"/>
  <c r="E4" i="21"/>
  <c r="E8" i="22" s="1"/>
  <c r="A2" i="13"/>
  <c r="V11" i="16"/>
  <c r="G10" i="13" s="1"/>
  <c r="W11" i="16"/>
  <c r="H10" i="13" s="1"/>
  <c r="AA11" i="16"/>
  <c r="L10" i="13" s="1"/>
  <c r="Y11" i="16"/>
  <c r="J10" i="13" s="1"/>
  <c r="X11" i="16"/>
  <c r="I10" i="13" s="1"/>
  <c r="Z11" i="16"/>
  <c r="K10" i="13" s="1"/>
  <c r="J54" i="26"/>
  <c r="F54" i="25" s="1"/>
  <c r="Z13" i="16"/>
  <c r="I48" i="28" s="1"/>
  <c r="H54" i="26"/>
  <c r="D54" i="25" s="1"/>
  <c r="X13" i="16"/>
  <c r="G48" i="28" s="1"/>
  <c r="V49" i="15"/>
  <c r="F50" i="26"/>
  <c r="B50" i="25" s="1"/>
  <c r="H50" i="26"/>
  <c r="D50" i="25" s="1"/>
  <c r="X49" i="15"/>
  <c r="G54" i="26"/>
  <c r="W13" i="16"/>
  <c r="F48" i="28" s="1"/>
  <c r="K54" i="26"/>
  <c r="G54" i="25" s="1"/>
  <c r="AA13" i="16"/>
  <c r="J48" i="28" s="1"/>
  <c r="K50" i="26"/>
  <c r="G50" i="25" s="1"/>
  <c r="AA49" i="15"/>
  <c r="Z49" i="15"/>
  <c r="J50" i="26"/>
  <c r="F50" i="25" s="1"/>
  <c r="V13" i="16"/>
  <c r="E48" i="28" s="1"/>
  <c r="F54" i="26"/>
  <c r="I50" i="26"/>
  <c r="E50" i="25" s="1"/>
  <c r="Y49" i="15"/>
  <c r="I54" i="26"/>
  <c r="E54" i="25" s="1"/>
  <c r="Y13" i="16"/>
  <c r="H48" i="28" s="1"/>
  <c r="W49" i="15"/>
  <c r="G50" i="26"/>
  <c r="C50" i="25" s="1"/>
  <c r="D12" i="22"/>
  <c r="C7" i="21"/>
  <c r="C11" i="22" s="1"/>
  <c r="F7" i="21"/>
  <c r="F11" i="22" s="1"/>
  <c r="H7" i="21"/>
  <c r="H11" i="22" s="1"/>
  <c r="G63" i="25"/>
  <c r="H16" i="21"/>
  <c r="I15" i="21"/>
  <c r="C46" i="25"/>
  <c r="I10" i="21"/>
  <c r="I11" i="21"/>
  <c r="E7" i="21"/>
  <c r="E11" i="22" s="1"/>
  <c r="G7" i="21"/>
  <c r="G11" i="22" s="1"/>
  <c r="B6" i="25"/>
  <c r="C4" i="21"/>
  <c r="D46" i="25"/>
  <c r="B46" i="25"/>
  <c r="I12" i="21"/>
  <c r="E46" i="25"/>
  <c r="C20" i="25"/>
  <c r="D7" i="21"/>
  <c r="D11" i="22" s="1"/>
  <c r="I8" i="21"/>
  <c r="G6" i="21"/>
  <c r="G10" i="22" s="1"/>
  <c r="E6" i="21"/>
  <c r="E10" i="22" s="1"/>
  <c r="I5" i="21"/>
  <c r="C10" i="22"/>
  <c r="C17" i="25"/>
  <c r="D6" i="21"/>
  <c r="D10" i="22" s="1"/>
  <c r="E73" i="26" l="1"/>
  <c r="B54" i="25"/>
  <c r="C54" i="25"/>
  <c r="L78" i="26"/>
  <c r="Z14" i="6"/>
  <c r="X14" i="6"/>
  <c r="V14" i="6"/>
  <c r="Y14" i="6"/>
  <c r="W14" i="6"/>
  <c r="I4" i="21"/>
  <c r="E29" i="24"/>
  <c r="F30" i="19" s="1"/>
  <c r="G30" i="19" s="1"/>
  <c r="O26" i="4" s="1"/>
  <c r="A2" i="4" s="1"/>
  <c r="B13" i="22"/>
  <c r="B25" i="22" s="1"/>
  <c r="Z6" i="16"/>
  <c r="K7" i="13" s="1"/>
  <c r="V6" i="16"/>
  <c r="G7" i="13" s="1"/>
  <c r="V17" i="6"/>
  <c r="Z29" i="6"/>
  <c r="C14" i="21"/>
  <c r="C18" i="22" s="1"/>
  <c r="E14" i="21"/>
  <c r="E18" i="22" s="1"/>
  <c r="W6" i="16"/>
  <c r="H7" i="13" s="1"/>
  <c r="F14" i="21"/>
  <c r="F18" i="22" s="1"/>
  <c r="G14" i="21"/>
  <c r="G18" i="22" s="1"/>
  <c r="X6" i="16"/>
  <c r="I7" i="13" s="1"/>
  <c r="AA6" i="16"/>
  <c r="L7" i="13" s="1"/>
  <c r="H14" i="21"/>
  <c r="H18" i="22" s="1"/>
  <c r="Y6" i="16"/>
  <c r="J7" i="13" s="1"/>
  <c r="D14" i="21"/>
  <c r="D18" i="22" s="1"/>
  <c r="Z17" i="6"/>
  <c r="Y17" i="6"/>
  <c r="X17" i="6"/>
  <c r="W17" i="6"/>
  <c r="X26" i="6"/>
  <c r="X27" i="6"/>
  <c r="Y26" i="6"/>
  <c r="Z26" i="6"/>
  <c r="W19" i="6"/>
  <c r="V26" i="6"/>
  <c r="W26" i="6"/>
  <c r="AA19" i="6"/>
  <c r="Z19" i="6"/>
  <c r="W29" i="6"/>
  <c r="W7" i="6"/>
  <c r="Z28" i="6"/>
  <c r="Y29" i="6"/>
  <c r="V29" i="6"/>
  <c r="AA29" i="6"/>
  <c r="X28" i="6"/>
  <c r="Z15" i="6"/>
  <c r="Y27" i="6"/>
  <c r="AA7" i="6"/>
  <c r="X7" i="6"/>
  <c r="W27" i="6"/>
  <c r="V7" i="6"/>
  <c r="Y15" i="6"/>
  <c r="W15" i="6"/>
  <c r="X15" i="6"/>
  <c r="Z27" i="6"/>
  <c r="AA27" i="6"/>
  <c r="Y19" i="6"/>
  <c r="X19" i="6"/>
  <c r="V15" i="6"/>
  <c r="Y28" i="6"/>
  <c r="V28" i="6"/>
  <c r="AA28" i="6"/>
  <c r="AA16" i="6"/>
  <c r="W16" i="6"/>
  <c r="Y16" i="6"/>
  <c r="V16" i="6"/>
  <c r="Z16" i="6"/>
  <c r="Y7" i="6"/>
  <c r="H20" i="22"/>
  <c r="I16" i="21"/>
  <c r="C8" i="22"/>
  <c r="I7" i="21"/>
  <c r="I6" i="21"/>
  <c r="J45" i="26" l="1"/>
  <c r="F45" i="26"/>
  <c r="E73" i="24"/>
  <c r="B21" i="21"/>
  <c r="I47" i="28"/>
  <c r="E47" i="28"/>
  <c r="I14" i="21"/>
  <c r="J47" i="28"/>
  <c r="K45" i="26"/>
  <c r="I45" i="26"/>
  <c r="H47" i="28"/>
  <c r="G47" i="28"/>
  <c r="H45" i="26"/>
  <c r="G45" i="26"/>
  <c r="F47" i="28"/>
  <c r="Z6" i="6"/>
  <c r="K26" i="4" s="1"/>
  <c r="X6" i="6"/>
  <c r="I26" i="4" s="1"/>
  <c r="V6" i="6"/>
  <c r="G26" i="4" s="1"/>
  <c r="AA6" i="6"/>
  <c r="L26" i="4" s="1"/>
  <c r="Y6" i="6"/>
  <c r="J26" i="4" s="1"/>
  <c r="W6" i="6"/>
  <c r="H26" i="4" s="1"/>
  <c r="C38" i="9" l="1"/>
  <c r="C39" i="9" s="1"/>
  <c r="B45" i="25"/>
  <c r="C13" i="21"/>
  <c r="C17" i="22" s="1"/>
  <c r="G13" i="21"/>
  <c r="G17" i="22" s="1"/>
  <c r="F45" i="25"/>
  <c r="AH10" i="6"/>
  <c r="F29" i="26"/>
  <c r="F73" i="26" s="1"/>
  <c r="AI25" i="6"/>
  <c r="G29" i="26"/>
  <c r="G73" i="26" s="1"/>
  <c r="AJ10" i="6"/>
  <c r="H29" i="26"/>
  <c r="H73" i="26" s="1"/>
  <c r="AK24" i="6"/>
  <c r="I29" i="26"/>
  <c r="I73" i="26" s="1"/>
  <c r="AL12" i="6"/>
  <c r="J29" i="26"/>
  <c r="J73" i="26" s="1"/>
  <c r="K29" i="26"/>
  <c r="K73" i="26" s="1"/>
  <c r="AL10" i="6"/>
  <c r="AH24" i="6"/>
  <c r="E13" i="21"/>
  <c r="E17" i="22" s="1"/>
  <c r="D45" i="25"/>
  <c r="C45" i="25"/>
  <c r="D13" i="21"/>
  <c r="C42" i="9" s="1"/>
  <c r="E45" i="25"/>
  <c r="F13" i="21"/>
  <c r="F17" i="22" s="1"/>
  <c r="G45" i="25"/>
  <c r="H13" i="21"/>
  <c r="H17" i="22" s="1"/>
  <c r="AM24" i="6"/>
  <c r="AL11" i="6"/>
  <c r="AM9" i="6"/>
  <c r="AM12" i="6"/>
  <c r="AJ21" i="6"/>
  <c r="AJ12" i="6"/>
  <c r="AL9" i="6"/>
  <c r="AL23" i="6"/>
  <c r="AM10" i="6"/>
  <c r="AL21" i="6"/>
  <c r="AL22" i="6"/>
  <c r="AM13" i="6"/>
  <c r="AM25" i="6"/>
  <c r="AJ13" i="6"/>
  <c r="AM21" i="6"/>
  <c r="AM22" i="6"/>
  <c r="AI13" i="6"/>
  <c r="AJ22" i="6"/>
  <c r="AJ23" i="6"/>
  <c r="G30" i="28"/>
  <c r="G71" i="28" s="1"/>
  <c r="F30" i="28"/>
  <c r="F71" i="28" s="1"/>
  <c r="AL24" i="6"/>
  <c r="AL13" i="6"/>
  <c r="AJ25" i="6"/>
  <c r="AJ24" i="6"/>
  <c r="AK22" i="6"/>
  <c r="I30" i="28"/>
  <c r="I71" i="28" s="1"/>
  <c r="AM11" i="6"/>
  <c r="AM23" i="6"/>
  <c r="J30" i="28"/>
  <c r="J71" i="28" s="1"/>
  <c r="AL25" i="6"/>
  <c r="AJ9" i="6"/>
  <c r="AJ11" i="6"/>
  <c r="AI23" i="6"/>
  <c r="AH11" i="6"/>
  <c r="H30" i="28"/>
  <c r="H71" i="28" s="1"/>
  <c r="AH9" i="6"/>
  <c r="AH13" i="6"/>
  <c r="AH23" i="6"/>
  <c r="E30" i="28"/>
  <c r="E71" i="28" s="1"/>
  <c r="AK13" i="6"/>
  <c r="AH21" i="6"/>
  <c r="AH22" i="6"/>
  <c r="AH12" i="6"/>
  <c r="AK23" i="6"/>
  <c r="AH25" i="6"/>
  <c r="AI22" i="6"/>
  <c r="AI12" i="6"/>
  <c r="AK9" i="6"/>
  <c r="AK10" i="6"/>
  <c r="AI21" i="6"/>
  <c r="AI11" i="6"/>
  <c r="AI24" i="6"/>
  <c r="AK11" i="6"/>
  <c r="AK12" i="6"/>
  <c r="AI9" i="6"/>
  <c r="AI10" i="6"/>
  <c r="AK21" i="6"/>
  <c r="AK25" i="6"/>
  <c r="C9" i="21" l="1"/>
  <c r="C21" i="21" s="1"/>
  <c r="B29" i="25"/>
  <c r="H9" i="21"/>
  <c r="H13" i="22" s="1"/>
  <c r="H25" i="22" s="1"/>
  <c r="G29" i="25"/>
  <c r="C13" i="22"/>
  <c r="C25" i="22" s="1"/>
  <c r="E29" i="25"/>
  <c r="G9" i="21"/>
  <c r="G21" i="21" s="1"/>
  <c r="C29" i="25"/>
  <c r="D29" i="25"/>
  <c r="C43" i="9"/>
  <c r="D17" i="22"/>
  <c r="I13" i="21"/>
  <c r="AL6" i="6"/>
  <c r="AJ6" i="6"/>
  <c r="D73" i="25" s="1"/>
  <c r="F9" i="21"/>
  <c r="F13" i="22" s="1"/>
  <c r="F25" i="22" s="1"/>
  <c r="E9" i="21"/>
  <c r="E13" i="22" s="1"/>
  <c r="E25" i="22" s="1"/>
  <c r="F29" i="25"/>
  <c r="AM6" i="6"/>
  <c r="AH6" i="6"/>
  <c r="D9" i="21"/>
  <c r="D13" i="22" s="1"/>
  <c r="AI6" i="6"/>
  <c r="AK6" i="6"/>
  <c r="D25" i="22" l="1"/>
  <c r="H21" i="21"/>
  <c r="B73" i="25"/>
  <c r="G73" i="25"/>
  <c r="F73" i="25"/>
  <c r="E73" i="25"/>
  <c r="C73" i="25"/>
  <c r="G13" i="22"/>
  <c r="G25" i="22" s="1"/>
  <c r="D21" i="21"/>
  <c r="I9" i="21"/>
  <c r="I21" i="21" s="1"/>
  <c r="J10" i="21" s="1"/>
  <c r="F21" i="21"/>
  <c r="E21" i="21"/>
  <c r="J7" i="21" l="1"/>
  <c r="J14" i="21"/>
  <c r="J6" i="21"/>
  <c r="J18" i="21"/>
  <c r="J11" i="21"/>
  <c r="J19" i="21"/>
  <c r="J20" i="21"/>
  <c r="J15" i="21"/>
  <c r="J4" i="21"/>
  <c r="J5" i="21"/>
  <c r="J9" i="21"/>
  <c r="J8" i="21"/>
  <c r="J17" i="21"/>
  <c r="J13" i="21"/>
  <c r="J12" i="21"/>
  <c r="J16" i="21"/>
  <c r="J21"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Jakob Maag</author>
    <author>RONKAINEN</author>
  </authors>
  <commentList>
    <comment ref="C5" authorId="0" shapeId="0" xr:uid="{00000000-0006-0000-0200-000001000000}">
      <text>
        <r>
          <rPr>
            <b/>
            <sz val="8"/>
            <color indexed="81"/>
            <rFont val="Tahoma"/>
            <family val="2"/>
          </rPr>
          <t>Jakob Maag:</t>
        </r>
        <r>
          <rPr>
            <sz val="8"/>
            <color indexed="81"/>
            <rFont val="Tahoma"/>
            <family val="2"/>
          </rPr>
          <t xml:space="preserve">
Changed Jan 2013</t>
        </r>
      </text>
    </comment>
    <comment ref="C8" authorId="0" shapeId="0" xr:uid="{00000000-0006-0000-0200-000002000000}">
      <text>
        <r>
          <rPr>
            <b/>
            <sz val="9"/>
            <color indexed="81"/>
            <rFont val="Tahoma"/>
            <family val="2"/>
          </rPr>
          <t>Jakob Maag:</t>
        </r>
        <r>
          <rPr>
            <sz val="9"/>
            <color indexed="81"/>
            <rFont val="Tahoma"/>
            <family val="2"/>
          </rPr>
          <t xml:space="preserve">
Affects only output distribution factors, as input factors are identical</t>
        </r>
      </text>
    </comment>
    <comment ref="N9" authorId="0" shapeId="0" xr:uid="{44FF517F-BC47-4873-9D49-143733953BCE}">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29 May2019</t>
        </r>
      </text>
    </comment>
    <comment ref="P10" authorId="0" shapeId="0" xr:uid="{00000000-0006-0000-0200-000003000000}">
      <text>
        <r>
          <rPr>
            <b/>
            <sz val="9"/>
            <color indexed="81"/>
            <rFont val="Tahoma"/>
            <family val="2"/>
          </rPr>
          <t>Jakob Maag:</t>
        </r>
        <r>
          <rPr>
            <sz val="9"/>
            <color indexed="81"/>
            <rFont val="Tahoma"/>
            <family val="2"/>
          </rPr>
          <t xml:space="preserve">
Calculated for coal mix from IL2 factors 25JAN2016.
ADDED HERE FOR INTRODUCTION OF Hg CONTROLS IN IL1</t>
        </r>
      </text>
    </comment>
    <comment ref="C16" authorId="0" shapeId="0" xr:uid="{00000000-0006-0000-0200-000004000000}">
      <text>
        <r>
          <rPr>
            <b/>
            <sz val="9"/>
            <color indexed="81"/>
            <rFont val="Tahoma"/>
            <family val="2"/>
          </rPr>
          <t>Jakob Maag:</t>
        </r>
        <r>
          <rPr>
            <sz val="9"/>
            <color indexed="81"/>
            <rFont val="Tahoma"/>
            <family val="2"/>
          </rPr>
          <t xml:space="preserve">
Introduced 25JAN2016 as per Minamata Convention source categories</t>
        </r>
      </text>
    </comment>
    <comment ref="P20" authorId="0" shapeId="0" xr:uid="{00000000-0006-0000-0200-000005000000}">
      <text>
        <r>
          <rPr>
            <b/>
            <sz val="9"/>
            <color indexed="81"/>
            <rFont val="Tahoma"/>
            <family val="2"/>
          </rPr>
          <t>Jakob Maag:</t>
        </r>
        <r>
          <rPr>
            <sz val="9"/>
            <color indexed="81"/>
            <rFont val="Tahoma"/>
            <family val="2"/>
          </rPr>
          <t xml:space="preserve">
Calculated for coal mix from IL2 factors 25JAN2016.
ADDED HERE FOR INTRODUCTION OF Hg CONTROLS IN IL1</t>
        </r>
      </text>
    </comment>
    <comment ref="C26" authorId="0" shapeId="0" xr:uid="{00000000-0006-0000-0200-000006000000}">
      <text>
        <r>
          <rPr>
            <b/>
            <sz val="8"/>
            <color indexed="81"/>
            <rFont val="Tahoma"/>
            <family val="2"/>
          </rPr>
          <t>Jakob Maag:</t>
        </r>
        <r>
          <rPr>
            <sz val="8"/>
            <color indexed="81"/>
            <rFont val="Tahoma"/>
            <family val="2"/>
          </rPr>
          <t xml:space="preserve">
Changed Jan 2013</t>
        </r>
      </text>
    </comment>
    <comment ref="C34" authorId="0" shapeId="0" xr:uid="{00000000-0006-0000-0200-000007000000}">
      <text>
        <r>
          <rPr>
            <b/>
            <sz val="8"/>
            <color indexed="81"/>
            <rFont val="Tahoma"/>
            <family val="2"/>
          </rPr>
          <t>Jakob Maag:</t>
        </r>
        <r>
          <rPr>
            <sz val="8"/>
            <color indexed="81"/>
            <rFont val="Tahoma"/>
            <family val="2"/>
          </rPr>
          <t xml:space="preserve">
Input factors for crude oil changed  + waste output moved to  sectors spec. waste;  changed Jan 2013</t>
        </r>
      </text>
    </comment>
    <comment ref="G38" authorId="0" shapeId="0" xr:uid="{901E4099-05FE-4030-976D-12196E94B10A}">
      <text>
        <r>
          <rPr>
            <b/>
            <sz val="9"/>
            <color indexed="81"/>
            <rFont val="Tahoma"/>
            <family val="2"/>
          </rPr>
          <t>Jakob Maag:</t>
        </r>
        <r>
          <rPr>
            <sz val="9"/>
            <color indexed="81"/>
            <rFont val="Tahoma"/>
            <family val="2"/>
          </rPr>
          <t xml:space="preserve">
Factor corrected from 55 Sep2019</t>
        </r>
      </text>
    </comment>
    <comment ref="C40" authorId="0" shapeId="0" xr:uid="{00000000-0006-0000-0200-000008000000}">
      <text>
        <r>
          <rPr>
            <b/>
            <sz val="9"/>
            <color indexed="81"/>
            <rFont val="Tahoma"/>
            <family val="2"/>
          </rPr>
          <t>Jakob Maag:</t>
        </r>
        <r>
          <rPr>
            <sz val="9"/>
            <color indexed="81"/>
            <rFont val="Tahoma"/>
            <family val="2"/>
          </rPr>
          <t xml:space="preserve">
Explanation here removed 25JAN2016, as all output scenarios are now present</t>
        </r>
      </text>
    </comment>
    <comment ref="M41" authorId="0" shapeId="0" xr:uid="{00000000-0006-0000-0200-000009000000}">
      <text>
        <r>
          <rPr>
            <b/>
            <sz val="9"/>
            <color indexed="81"/>
            <rFont val="Tahoma"/>
            <family val="2"/>
          </rPr>
          <t>Jakob Maag:</t>
        </r>
        <r>
          <rPr>
            <sz val="9"/>
            <color indexed="81"/>
            <rFont val="Tahoma"/>
            <family val="2"/>
          </rPr>
          <t xml:space="preserve">
Added in IL1 25JAN2016</t>
        </r>
      </text>
    </comment>
    <comment ref="G43" authorId="0" shapeId="0" xr:uid="{680A258F-FE03-49E0-982B-902B08079A30}">
      <text>
        <r>
          <rPr>
            <b/>
            <sz val="9"/>
            <color indexed="81"/>
            <rFont val="Tahoma"/>
            <family val="2"/>
          </rPr>
          <t>Jakob Maag:</t>
        </r>
        <r>
          <rPr>
            <sz val="9"/>
            <color indexed="81"/>
            <rFont val="Tahoma"/>
            <family val="2"/>
          </rPr>
          <t xml:space="preserve">
Factor corrected from 5.5 Sep2019</t>
        </r>
      </text>
    </comment>
    <comment ref="M47" authorId="0" shapeId="0" xr:uid="{00000000-0006-0000-0200-00000A000000}">
      <text>
        <r>
          <rPr>
            <b/>
            <sz val="9"/>
            <color indexed="81"/>
            <rFont val="Tahoma"/>
            <family val="2"/>
          </rPr>
          <t>Jakob Maag:</t>
        </r>
        <r>
          <rPr>
            <sz val="9"/>
            <color indexed="81"/>
            <rFont val="Tahoma"/>
            <family val="2"/>
          </rPr>
          <t xml:space="preserve">
Added in IL1 25JAN2016</t>
        </r>
      </text>
    </comment>
    <comment ref="C49" authorId="0" shapeId="0" xr:uid="{00000000-0006-0000-0200-00000B000000}">
      <text>
        <r>
          <rPr>
            <b/>
            <sz val="8"/>
            <color indexed="81"/>
            <rFont val="Tahoma"/>
            <family val="2"/>
          </rPr>
          <t>Jakob Maag:</t>
        </r>
        <r>
          <rPr>
            <sz val="8"/>
            <color indexed="81"/>
            <rFont val="Tahoma"/>
            <family val="2"/>
          </rPr>
          <t xml:space="preserve">
output shifted from general waste to sector specific waste - changed Jan 2013</t>
        </r>
      </text>
    </comment>
    <comment ref="K57" authorId="1" shapeId="0" xr:uid="{00000000-0006-0000-0200-00000C000000}">
      <text>
        <r>
          <rPr>
            <b/>
            <sz val="9"/>
            <color indexed="81"/>
            <rFont val="Tahoma"/>
            <family val="2"/>
          </rPr>
          <t>RONKAINEN:</t>
        </r>
        <r>
          <rPr>
            <sz val="9"/>
            <color indexed="81"/>
            <rFont val="Tahoma"/>
            <family val="2"/>
          </rPr>
          <t xml:space="preserve">
Corrected the formula even though it is not needed in Level 1 (October 2018)</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C3" authorId="0" shapeId="0" xr:uid="{00000000-0006-0000-1200-000001000000}">
      <text>
        <r>
          <rPr>
            <b/>
            <sz val="8"/>
            <color indexed="81"/>
            <rFont val="Tahoma"/>
            <family val="2"/>
          </rPr>
          <t>Jakob Maag:</t>
        </r>
        <r>
          <rPr>
            <sz val="8"/>
            <color indexed="81"/>
            <rFont val="Tahoma"/>
            <family val="2"/>
          </rPr>
          <t xml:space="preserve">
If general factor adjustments are needed, adjust this one first, as all black factors link t this cell</t>
        </r>
      </text>
    </comment>
    <comment ref="C4" authorId="0" shapeId="0" xr:uid="{00000000-0006-0000-1200-000002000000}">
      <text>
        <r>
          <rPr>
            <b/>
            <sz val="8"/>
            <color indexed="81"/>
            <rFont val="Tahoma"/>
            <family val="2"/>
          </rPr>
          <t>Jakob Maag:</t>
        </r>
        <r>
          <rPr>
            <sz val="8"/>
            <color indexed="81"/>
            <rFont val="Tahoma"/>
            <family val="2"/>
          </rPr>
          <t xml:space="preserve">
In cases where experience data do not reflect expected maximum vaues</t>
        </r>
      </text>
    </comment>
    <comment ref="F4" authorId="0" shapeId="0" xr:uid="{00000000-0006-0000-1200-000003000000}">
      <text>
        <r>
          <rPr>
            <b/>
            <sz val="9"/>
            <color indexed="81"/>
            <rFont val="Tahoma"/>
            <family val="2"/>
          </rPr>
          <t>Jakob Maag:</t>
        </r>
        <r>
          <rPr>
            <sz val="9"/>
            <color indexed="81"/>
            <rFont val="Tahoma"/>
            <family val="2"/>
          </rPr>
          <t xml:space="preserve">
Note that any data entered in "Insert IL2 result" also affect this mechanism.</t>
        </r>
      </text>
    </comment>
    <comment ref="A7" authorId="0" shapeId="0" xr:uid="{00000000-0006-0000-1200-000004000000}">
      <text>
        <r>
          <rPr>
            <b/>
            <sz val="9"/>
            <color indexed="81"/>
            <rFont val="Tahoma"/>
            <family val="2"/>
          </rPr>
          <t>Jakob Maag:</t>
        </r>
        <r>
          <rPr>
            <sz val="9"/>
            <color indexed="81"/>
            <rFont val="Tahoma"/>
            <family val="2"/>
          </rPr>
          <t xml:space="preserve">
At 27jan2016, when we introduce industrial boilers as individual source sub-category, we have no experience data, and therefore no range test. ADD LATER IF POSSIBLE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6" authorId="0" shapeId="0" xr:uid="{00000000-0006-0000-0400-000001000000}">
      <text>
        <r>
          <rPr>
            <b/>
            <sz val="9"/>
            <color indexed="81"/>
            <rFont val="Tahoma"/>
            <family val="2"/>
          </rPr>
          <t>Jakob Maag:</t>
        </r>
        <r>
          <rPr>
            <sz val="9"/>
            <color indexed="81"/>
            <rFont val="Tahoma"/>
            <family val="2"/>
          </rPr>
          <t xml:space="preserve">
Calculation changed here 24Apr15</t>
        </r>
      </text>
    </comment>
    <comment ref="P6" authorId="0" shapeId="0" xr:uid="{00000000-0006-0000-0400-000002000000}">
      <text>
        <r>
          <rPr>
            <b/>
            <sz val="9"/>
            <color indexed="81"/>
            <rFont val="Tahoma"/>
            <family val="2"/>
          </rPr>
          <t>Jakob Maag:</t>
        </r>
        <r>
          <rPr>
            <sz val="9"/>
            <color indexed="81"/>
            <rFont val="Tahoma"/>
            <family val="2"/>
          </rPr>
          <t xml:space="preserve">
Factors changed Oct 2014 to basis share of releases</t>
        </r>
      </text>
    </comment>
    <comment ref="C8" authorId="0" shapeId="0" xr:uid="{00000000-0006-0000-0400-000003000000}">
      <text>
        <r>
          <rPr>
            <b/>
            <sz val="8"/>
            <color indexed="81"/>
            <rFont val="Tahoma"/>
            <family val="2"/>
          </rPr>
          <t>Jakob Maag:</t>
        </r>
        <r>
          <rPr>
            <sz val="8"/>
            <color indexed="81"/>
            <rFont val="Tahoma"/>
            <family val="2"/>
          </rPr>
          <t xml:space="preserve">
changed jan 2013</t>
        </r>
      </text>
    </comment>
    <comment ref="G9" authorId="0" shapeId="0" xr:uid="{00000000-0006-0000-0400-000004000000}">
      <text>
        <r>
          <rPr>
            <b/>
            <sz val="9"/>
            <color indexed="81"/>
            <rFont val="Tahoma"/>
            <family val="2"/>
          </rPr>
          <t>Jakob Maag: Dec 2016</t>
        </r>
        <r>
          <rPr>
            <sz val="9"/>
            <color indexed="81"/>
            <rFont val="Tahoma"/>
            <family val="2"/>
          </rPr>
          <t xml:space="preserve">
FACTOR RAISED AS IN GMA/AGC guideline
</t>
        </r>
      </text>
    </comment>
    <comment ref="I9" authorId="0" shapeId="0" xr:uid="{F0E04F26-6A45-494C-9CFB-3D52FE1D639F}">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29 May2019</t>
        </r>
      </text>
    </comment>
    <comment ref="G10" authorId="0" shapeId="0" xr:uid="{00000000-0006-0000-0400-000005000000}">
      <text>
        <r>
          <rPr>
            <b/>
            <sz val="9"/>
            <color indexed="81"/>
            <rFont val="Tahoma"/>
            <family val="2"/>
          </rPr>
          <t>Jakob Maag:</t>
        </r>
        <r>
          <rPr>
            <sz val="9"/>
            <color indexed="81"/>
            <rFont val="Tahoma"/>
            <family val="2"/>
          </rPr>
          <t xml:space="preserve">
Added Dec 2016</t>
        </r>
      </text>
    </comment>
    <comment ref="P10" authorId="0" shapeId="0" xr:uid="{00000000-0006-0000-0400-000006000000}">
      <text>
        <r>
          <rPr>
            <b/>
            <sz val="9"/>
            <color indexed="81"/>
            <rFont val="Tahoma"/>
            <family val="2"/>
          </rPr>
          <t>Jakob Maag: DEC 2016</t>
        </r>
        <r>
          <rPr>
            <sz val="9"/>
            <color indexed="81"/>
            <rFont val="Tahoma"/>
            <family val="2"/>
          </rPr>
          <t xml:space="preserve">
All output factors revised based on AGC data and advice</t>
        </r>
      </text>
    </comment>
    <comment ref="G12" authorId="0" shapeId="0" xr:uid="{00000000-0006-0000-0400-000007000000}">
      <text>
        <r>
          <rPr>
            <b/>
            <sz val="9"/>
            <color indexed="81"/>
            <rFont val="Tahoma"/>
            <family val="2"/>
          </rPr>
          <t>Jakob Maag:</t>
        </r>
        <r>
          <rPr>
            <sz val="9"/>
            <color indexed="81"/>
            <rFont val="Tahoma"/>
            <family val="2"/>
          </rPr>
          <t xml:space="preserve">
Revised Dec 2016</t>
        </r>
      </text>
    </comment>
    <comment ref="C14" authorId="0" shapeId="0" xr:uid="{00000000-0006-0000-0400-000008000000}">
      <text>
        <r>
          <rPr>
            <b/>
            <sz val="8"/>
            <color indexed="81"/>
            <rFont val="Tahoma"/>
            <family val="2"/>
          </rPr>
          <t>Jakob Maag:</t>
        </r>
        <r>
          <rPr>
            <sz val="8"/>
            <color indexed="81"/>
            <rFont val="Tahoma"/>
            <family val="2"/>
          </rPr>
          <t xml:space="preserve">
Input and output changed jan 2013</t>
        </r>
      </text>
    </comment>
    <comment ref="N16" authorId="0" shapeId="0" xr:uid="{CBFF3A69-5A30-4579-AC38-FDAFCB018519}">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29 May2019</t>
        </r>
      </text>
    </comment>
    <comment ref="C21" authorId="0" shapeId="0" xr:uid="{00000000-0006-0000-0400-000009000000}">
      <text>
        <r>
          <rPr>
            <b/>
            <sz val="8"/>
            <color indexed="81"/>
            <rFont val="Tahoma"/>
            <family val="2"/>
          </rPr>
          <t>Jakob Maag:</t>
        </r>
        <r>
          <rPr>
            <sz val="8"/>
            <color indexed="81"/>
            <rFont val="Tahoma"/>
            <family val="2"/>
          </rPr>
          <t xml:space="preserve">
Input and output changed jan 2013</t>
        </r>
      </text>
    </comment>
    <comment ref="N23" authorId="0" shapeId="0" xr:uid="{897B64E2-E5FB-4791-BF0B-E556F1FFEFE8}">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29 May2019</t>
        </r>
      </text>
    </comment>
    <comment ref="C28" authorId="0" shapeId="0" xr:uid="{00000000-0006-0000-0400-00000A000000}">
      <text>
        <r>
          <rPr>
            <b/>
            <sz val="8"/>
            <color indexed="81"/>
            <rFont val="Tahoma"/>
            <family val="2"/>
          </rPr>
          <t>Jakob Maag:</t>
        </r>
        <r>
          <rPr>
            <sz val="8"/>
            <color indexed="81"/>
            <rFont val="Tahoma"/>
            <family val="2"/>
          </rPr>
          <t xml:space="preserve">
Input and output changed jan 2013</t>
        </r>
      </text>
    </comment>
    <comment ref="N30" authorId="0" shapeId="0" xr:uid="{A79A0F71-C4D2-46AB-A4DE-A4BB3E3B6129}">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29 May2019</t>
        </r>
      </text>
    </comment>
    <comment ref="F35" authorId="0" shapeId="0" xr:uid="{00000000-0006-0000-0400-00000B000000}">
      <text>
        <r>
          <rPr>
            <b/>
            <sz val="8"/>
            <color indexed="81"/>
            <rFont val="Tahoma"/>
            <family val="2"/>
          </rPr>
          <t>Jakob Maag:</t>
        </r>
        <r>
          <rPr>
            <sz val="8"/>
            <color indexed="81"/>
            <rFont val="Tahoma"/>
            <family val="2"/>
          </rPr>
          <t xml:space="preserve">
changed jan 2013</t>
        </r>
      </text>
    </comment>
    <comment ref="G35" authorId="0" shapeId="0" xr:uid="{E29A4D07-18F0-4AF1-A74A-136FAA52F1E0}">
      <text>
        <r>
          <rPr>
            <b/>
            <sz val="9"/>
            <color indexed="81"/>
            <rFont val="Tahoma"/>
            <family val="2"/>
          </rPr>
          <t>Jakob Maag:</t>
        </r>
        <r>
          <rPr>
            <sz val="9"/>
            <color indexed="81"/>
            <rFont val="Tahoma"/>
            <family val="2"/>
          </rPr>
          <t xml:space="preserve">
Changed 4 jul2019 from 15 g/t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AC3" authorId="0" shapeId="0" xr:uid="{00000000-0006-0000-0500-000001000000}">
      <text>
        <r>
          <rPr>
            <b/>
            <sz val="9"/>
            <color indexed="81"/>
            <rFont val="Tahoma"/>
            <family val="2"/>
          </rPr>
          <t>Jakob Maag: 24oct2016</t>
        </r>
        <r>
          <rPr>
            <sz val="9"/>
            <color indexed="81"/>
            <rFont val="Tahoma"/>
            <family val="2"/>
          </rPr>
          <t xml:space="preserve">
Introduced to allow subtraction of fuel contributions for cement production in fossil fuel sub-categories</t>
        </r>
      </text>
    </comment>
    <comment ref="N5" authorId="0" shapeId="0" xr:uid="{34B33A97-46DA-478E-B1D8-BD60CA8CD1F8}">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30 May2019</t>
        </r>
      </text>
    </comment>
    <comment ref="C6" authorId="0" shapeId="0" xr:uid="{00000000-0006-0000-0500-000002000000}">
      <text>
        <r>
          <rPr>
            <b/>
            <sz val="8"/>
            <color indexed="81"/>
            <rFont val="Tahoma"/>
            <family val="2"/>
          </rPr>
          <t>Jakob Maag:</t>
        </r>
        <r>
          <rPr>
            <sz val="8"/>
            <color indexed="81"/>
            <rFont val="Tahoma"/>
            <family val="2"/>
          </rPr>
          <t xml:space="preserve">
Changed Jan. 2013</t>
        </r>
      </text>
    </comment>
    <comment ref="C7" authorId="0" shapeId="0" xr:uid="{00000000-0006-0000-0500-000003000000}">
      <text>
        <r>
          <rPr>
            <b/>
            <sz val="9"/>
            <color indexed="81"/>
            <rFont val="Tahoma"/>
            <family val="2"/>
          </rPr>
          <t>Jakob Maag:</t>
        </r>
        <r>
          <rPr>
            <sz val="9"/>
            <color indexed="81"/>
            <rFont val="Tahoma"/>
            <family val="2"/>
          </rPr>
          <t xml:space="preserve">
IL1: Examples show that waste/no waste has significant influence on results, so they are reflected in output scenarios</t>
        </r>
      </text>
    </comment>
    <comment ref="L7" authorId="0" shapeId="0" xr:uid="{00000000-0006-0000-0500-000004000000}">
      <text>
        <r>
          <rPr>
            <b/>
            <sz val="9"/>
            <color indexed="81"/>
            <rFont val="Tahoma"/>
            <family val="2"/>
          </rPr>
          <t>Jakob Maag:</t>
        </r>
        <r>
          <rPr>
            <sz val="9"/>
            <color indexed="81"/>
            <rFont val="Tahoma"/>
            <family val="2"/>
          </rPr>
          <t xml:space="preserve">
Added 15JAN2016</t>
        </r>
      </text>
    </comment>
    <comment ref="C8" authorId="0" shapeId="0" xr:uid="{00000000-0006-0000-0500-000005000000}">
      <text>
        <r>
          <rPr>
            <b/>
            <sz val="9"/>
            <color indexed="81"/>
            <rFont val="Tahoma"/>
            <family val="2"/>
          </rPr>
          <t>Jakob Maag:</t>
        </r>
        <r>
          <rPr>
            <sz val="9"/>
            <color indexed="81"/>
            <rFont val="Tahoma"/>
            <family val="2"/>
          </rPr>
          <t xml:space="preserve">
Fossil fules added 15JAN2016 due to Minamata Convention source definition - fossil fuel mix has moderate influence on total mercury input (0-13%)</t>
        </r>
      </text>
    </comment>
    <comment ref="AH8" authorId="0" shapeId="0" xr:uid="{00000000-0006-0000-0500-000006000000}">
      <text>
        <r>
          <rPr>
            <b/>
            <sz val="9"/>
            <color indexed="81"/>
            <rFont val="Tahoma"/>
            <family val="2"/>
          </rPr>
          <t>Jakob Maag:
24 oct2016</t>
        </r>
        <r>
          <rPr>
            <sz val="9"/>
            <color indexed="81"/>
            <rFont val="Tahoma"/>
            <family val="2"/>
          </rPr>
          <t xml:space="preserve">
Below, outputs are calculated via overall resulting distribution of Hg inputs from fuels. This is okay as it will only be subtracted in totals in summary sheets</t>
        </r>
      </text>
    </comment>
    <comment ref="I9" authorId="0" shapeId="0" xr:uid="{00000000-0006-0000-0500-000007000000}">
      <text>
        <r>
          <rPr>
            <b/>
            <sz val="9"/>
            <color indexed="81"/>
            <rFont val="Tahoma"/>
            <family val="2"/>
          </rPr>
          <t>Jakob Maag:</t>
        </r>
        <r>
          <rPr>
            <sz val="9"/>
            <color indexed="81"/>
            <rFont val="Tahoma"/>
            <family val="2"/>
          </rPr>
          <t xml:space="preserve">
In IL1, a mixed fuel input is assumed. This has only moderate influence on the results</t>
        </r>
      </text>
    </comment>
    <comment ref="J9" authorId="0" shapeId="0" xr:uid="{00000000-0006-0000-0500-000008000000}">
      <text>
        <r>
          <rPr>
            <b/>
            <sz val="9"/>
            <color indexed="81"/>
            <rFont val="Tahoma"/>
            <family val="2"/>
          </rPr>
          <t>Jakob Maag:</t>
        </r>
        <r>
          <rPr>
            <sz val="9"/>
            <color indexed="81"/>
            <rFont val="Tahoma"/>
            <family val="2"/>
          </rPr>
          <t xml:space="preserve">
changed 15JAN2016 due to fuel introduction</t>
        </r>
      </text>
    </comment>
    <comment ref="M13" authorId="0" shapeId="0" xr:uid="{00000000-0006-0000-0500-000009000000}">
      <text>
        <r>
          <rPr>
            <b/>
            <sz val="9"/>
            <color indexed="81"/>
            <rFont val="Tahoma"/>
            <family val="2"/>
          </rPr>
          <t>Jakob Maag:</t>
        </r>
        <r>
          <rPr>
            <sz val="9"/>
            <color indexed="81"/>
            <rFont val="Tahoma"/>
            <family val="2"/>
          </rPr>
          <t xml:space="preserve">
To make IL1.5 work, the simplifying assumption was made, that all cement kilns with filters have dust recycling, which seems a reasonable general assumtpion based on literature.
Working without this assumtion gave to many combinations to manage in the IL1.5 calculation setup.</t>
        </r>
      </text>
    </comment>
    <comment ref="L19" authorId="0" shapeId="0" xr:uid="{00000000-0006-0000-0500-00000A000000}">
      <text>
        <r>
          <rPr>
            <b/>
            <sz val="9"/>
            <color indexed="81"/>
            <rFont val="Tahoma"/>
            <family val="2"/>
          </rPr>
          <t>Jakob Maag:</t>
        </r>
        <r>
          <rPr>
            <sz val="9"/>
            <color indexed="81"/>
            <rFont val="Tahoma"/>
            <family val="2"/>
          </rPr>
          <t xml:space="preserve">
Added 15JAN2016</t>
        </r>
      </text>
    </comment>
    <comment ref="C20" authorId="0" shapeId="0" xr:uid="{00000000-0006-0000-0500-00000B000000}">
      <text>
        <r>
          <rPr>
            <b/>
            <sz val="9"/>
            <color indexed="81"/>
            <rFont val="Tahoma"/>
            <family val="2"/>
          </rPr>
          <t>Jakob Maag:</t>
        </r>
        <r>
          <rPr>
            <sz val="9"/>
            <color indexed="81"/>
            <rFont val="Tahoma"/>
            <family val="2"/>
          </rPr>
          <t xml:space="preserve">
Fossil fules added 15JAN2016 due to Minamata Convention source definition </t>
        </r>
      </text>
    </comment>
    <comment ref="G21" authorId="0" shapeId="0" xr:uid="{00000000-0006-0000-0500-00000C000000}">
      <text>
        <r>
          <rPr>
            <b/>
            <sz val="9"/>
            <color indexed="81"/>
            <rFont val="Tahoma"/>
            <family val="2"/>
          </rPr>
          <t>Jakob Maag:</t>
        </r>
        <r>
          <rPr>
            <sz val="9"/>
            <color indexed="81"/>
            <rFont val="Tahoma"/>
            <family val="2"/>
          </rPr>
          <t xml:space="preserve">
Note that these factors are different due to subtraction of waste fuel contribution of 12% primary energy on average for such facilities (an assumtion; see detailed 2016 calculations on this issue)</t>
        </r>
      </text>
    </comment>
    <comment ref="J21" authorId="0" shapeId="0" xr:uid="{00000000-0006-0000-0500-00000D000000}">
      <text>
        <r>
          <rPr>
            <b/>
            <sz val="9"/>
            <color indexed="81"/>
            <rFont val="Tahoma"/>
            <family val="2"/>
          </rPr>
          <t>Jakob Maag:</t>
        </r>
        <r>
          <rPr>
            <sz val="9"/>
            <color indexed="81"/>
            <rFont val="Tahoma"/>
            <family val="2"/>
          </rPr>
          <t xml:space="preserve">
changed 15JAN2016 due to fuel introduction</t>
        </r>
      </text>
    </comment>
    <comment ref="I22" authorId="0" shapeId="0" xr:uid="{00000000-0006-0000-0500-00000E000000}">
      <text>
        <r>
          <rPr>
            <b/>
            <sz val="9"/>
            <color indexed="81"/>
            <rFont val="Tahoma"/>
            <family val="2"/>
          </rPr>
          <t>Jakob Maag:</t>
        </r>
        <r>
          <rPr>
            <sz val="9"/>
            <color indexed="81"/>
            <rFont val="Tahoma"/>
            <family val="2"/>
          </rPr>
          <t xml:space="preserve">
KEEP THESE IN PUBISHED VERSION - FORMULAS FOR FOSSIL FUEL CONTRIBUTIONS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700-000001000000}">
      <text>
        <r>
          <rPr>
            <b/>
            <sz val="8"/>
            <color indexed="81"/>
            <rFont val="Tahoma"/>
            <family val="2"/>
          </rPr>
          <t>Jakob Maag:</t>
        </r>
        <r>
          <rPr>
            <sz val="8"/>
            <color indexed="81"/>
            <rFont val="Tahoma"/>
            <family val="2"/>
          </rPr>
          <t xml:space="preserve">
changed Jan 2013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3193C44C-E23C-4DCE-96C3-8F701F501170}">
      <text>
        <r>
          <rPr>
            <b/>
            <sz val="9"/>
            <color indexed="81"/>
            <rFont val="Tahoma"/>
            <family val="2"/>
          </rPr>
          <t>Jakob Maag:</t>
        </r>
        <r>
          <rPr>
            <sz val="9"/>
            <color indexed="81"/>
            <rFont val="Tahoma"/>
            <family val="2"/>
          </rPr>
          <t xml:space="preserve">
Changed 4 jul2019 from 5 g/t</t>
        </r>
      </text>
    </comment>
    <comment ref="N7" authorId="0" shapeId="0" xr:uid="{487F5F82-88F0-4516-9537-D22F213F4B9E}">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30 May2019</t>
        </r>
      </text>
    </comment>
    <comment ref="N13" authorId="0" shapeId="0" xr:uid="{BDB57B91-03F8-4BD8-A722-E57BDFA1B1DB}">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30 May2019</t>
        </r>
      </text>
    </comment>
    <comment ref="N19" authorId="0" shapeId="0" xr:uid="{5FE5AFE7-1114-44BE-B047-BC6EC994E544}">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30 May2019</t>
        </r>
      </text>
    </comment>
    <comment ref="J24" authorId="0" shapeId="0" xr:uid="{00000000-0006-0000-0900-000001000000}">
      <text>
        <r>
          <rPr>
            <b/>
            <sz val="9"/>
            <color indexed="81"/>
            <rFont val="Tahoma"/>
            <family val="2"/>
          </rPr>
          <t>Jakob Maag:</t>
        </r>
        <r>
          <rPr>
            <sz val="9"/>
            <color indexed="81"/>
            <rFont val="Tahoma"/>
            <family val="2"/>
          </rPr>
          <t xml:space="preserve">
dry added 27jan2016</t>
        </r>
      </text>
    </comment>
    <comment ref="C26" authorId="0" shapeId="0" xr:uid="{00000000-0006-0000-0900-000002000000}">
      <text>
        <r>
          <rPr>
            <b/>
            <sz val="9"/>
            <color indexed="81"/>
            <rFont val="Tahoma"/>
            <family val="2"/>
          </rPr>
          <t>Jakob Maag:</t>
        </r>
        <r>
          <rPr>
            <sz val="9"/>
            <color indexed="81"/>
            <rFont val="Tahoma"/>
            <family val="2"/>
          </rPr>
          <t xml:space="preserve">
Title adjusted 24Apr15</t>
        </r>
      </text>
    </comment>
    <comment ref="G26" authorId="0" shapeId="0" xr:uid="{04AAAFE3-F02D-4150-818E-322EF530F5E0}">
      <text>
        <r>
          <rPr>
            <b/>
            <sz val="9"/>
            <color indexed="81"/>
            <rFont val="Tahoma"/>
            <family val="2"/>
          </rPr>
          <t>Jakob Maag:</t>
        </r>
        <r>
          <rPr>
            <sz val="9"/>
            <color indexed="81"/>
            <rFont val="Tahoma"/>
            <family val="2"/>
          </rPr>
          <t xml:space="preserve">
Changed 4 jul2019 from 5 g/t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6" authorId="0" shapeId="0" xr:uid="{61BAE324-6457-48B7-9FAB-8B6B1B114003}">
      <text>
        <r>
          <rPr>
            <b/>
            <sz val="9"/>
            <color indexed="81"/>
            <rFont val="Tahoma"/>
            <family val="2"/>
          </rPr>
          <t>Jakob Maag:</t>
        </r>
        <r>
          <rPr>
            <sz val="9"/>
            <color indexed="81"/>
            <rFont val="Tahoma"/>
            <family val="2"/>
          </rPr>
          <t xml:space="preserve">
Changed 4 jul2019 from 5 g/t</t>
        </r>
      </text>
    </comment>
    <comment ref="G13" authorId="0" shapeId="0" xr:uid="{918E2887-D311-44CD-B6E3-64C6D3AD476B}">
      <text>
        <r>
          <rPr>
            <b/>
            <sz val="9"/>
            <color indexed="81"/>
            <rFont val="Tahoma"/>
            <family val="2"/>
          </rPr>
          <t>Jakob Maag:</t>
        </r>
        <r>
          <rPr>
            <sz val="9"/>
            <color indexed="81"/>
            <rFont val="Tahoma"/>
            <family val="2"/>
          </rPr>
          <t xml:space="preserve">
Changed 4 jul2019 from 5 g/t</t>
        </r>
      </text>
    </comment>
    <comment ref="N16" authorId="0" shapeId="0" xr:uid="{4D09461B-2F57-446C-B8EB-F4B4566E3E91}">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30 May2019</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F00-000001000000}">
      <text>
        <r>
          <rPr>
            <b/>
            <sz val="9"/>
            <color indexed="81"/>
            <rFont val="Tahoma"/>
            <family val="2"/>
          </rPr>
          <t>Jakob Maag:</t>
        </r>
        <r>
          <rPr>
            <sz val="9"/>
            <color indexed="81"/>
            <rFont val="Tahoma"/>
            <family val="2"/>
          </rPr>
          <t xml:space="preserve">
Was actually changed to 0,2 in April 2013 version</t>
        </r>
      </text>
    </comment>
    <comment ref="N10" authorId="0" shapeId="0" xr:uid="{1AE099DF-A637-49AA-B0F9-A3A7F6597B74}">
      <text>
        <r>
          <rPr>
            <b/>
            <sz val="9"/>
            <color indexed="81"/>
            <rFont val="Tahoma"/>
            <family val="2"/>
          </rPr>
          <t>Jakob Maag:</t>
        </r>
        <r>
          <rPr>
            <sz val="9"/>
            <color indexed="81"/>
            <rFont val="Tahoma"/>
            <family val="2"/>
          </rPr>
          <t xml:space="preserve">
Formulas in green in this column are changed to automatically revert to default controls if there is no deliberate "yes" to including controls. The correct functioning has been checked 30 May2019</t>
        </r>
      </text>
    </comment>
    <comment ref="R11" authorId="0" shapeId="0" xr:uid="{00000000-0006-0000-0F00-000002000000}">
      <text>
        <r>
          <rPr>
            <b/>
            <sz val="9"/>
            <color indexed="81"/>
            <rFont val="Tahoma"/>
            <family val="2"/>
          </rPr>
          <t>Jakob Maag:</t>
        </r>
        <r>
          <rPr>
            <sz val="9"/>
            <color indexed="81"/>
            <rFont val="Tahoma"/>
            <family val="2"/>
          </rPr>
          <t xml:space="preserve">
Changed Oct 2014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15" authorId="0" shapeId="0" xr:uid="{00000000-0006-0000-0E00-000001000000}">
      <text>
        <r>
          <rPr>
            <b/>
            <sz val="9"/>
            <color indexed="81"/>
            <rFont val="Tahoma"/>
            <family val="2"/>
          </rPr>
          <t>Jakob Maag: 2016</t>
        </r>
        <r>
          <rPr>
            <sz val="9"/>
            <color indexed="81"/>
            <rFont val="Tahoma"/>
            <family val="2"/>
          </rPr>
          <t xml:space="preserve">
Inclusion of special collection is incorporated for all relevant products: 
If y og n: scen 1
If n og n: scen 2 or n og y (= unrealistic), or no answer for separate collection
If y og y: scen 3</t>
        </r>
      </text>
    </comment>
    <comment ref="G28" authorId="0" shapeId="0" xr:uid="{EFBE03AB-5D88-40F0-99CD-107D3287AFF0}">
      <text>
        <r>
          <rPr>
            <b/>
            <sz val="9"/>
            <color indexed="81"/>
            <rFont val="Tahoma"/>
            <family val="2"/>
          </rPr>
          <t>Jakob Maag:</t>
        </r>
        <r>
          <rPr>
            <sz val="9"/>
            <color indexed="81"/>
            <rFont val="Tahoma"/>
            <family val="2"/>
          </rPr>
          <t xml:space="preserve">
Changed 4Jul2019</t>
        </r>
      </text>
    </comment>
    <comment ref="G29" authorId="0" shapeId="0" xr:uid="{6EF97AA8-A45B-4DD6-A39E-5DF44777BA9D}">
      <text>
        <r>
          <rPr>
            <b/>
            <sz val="9"/>
            <color indexed="81"/>
            <rFont val="Tahoma"/>
            <family val="2"/>
          </rPr>
          <t>Jakob Maag:</t>
        </r>
        <r>
          <rPr>
            <sz val="9"/>
            <color indexed="81"/>
            <rFont val="Tahoma"/>
            <family val="2"/>
          </rPr>
          <t xml:space="preserve">
Changed 4Jul2019</t>
        </r>
      </text>
    </comment>
    <comment ref="G30" authorId="0" shapeId="0" xr:uid="{D0752624-939A-4A64-B92F-B042FAF9F8D7}">
      <text>
        <r>
          <rPr>
            <b/>
            <sz val="9"/>
            <color indexed="81"/>
            <rFont val="Tahoma"/>
            <family val="2"/>
          </rPr>
          <t>Jakob Maag:</t>
        </r>
        <r>
          <rPr>
            <sz val="9"/>
            <color indexed="81"/>
            <rFont val="Tahoma"/>
            <family val="2"/>
          </rPr>
          <t xml:space="preserve">
Changed 4Jul2019</t>
        </r>
      </text>
    </comment>
    <comment ref="E33" authorId="0" shapeId="0" xr:uid="{5519E519-FC82-4DEC-8C06-809A3ADF8492}">
      <text>
        <r>
          <rPr>
            <b/>
            <sz val="9"/>
            <color indexed="81"/>
            <rFont val="Tahoma"/>
            <family val="2"/>
          </rPr>
          <t>Jakob Maag:</t>
        </r>
        <r>
          <rPr>
            <sz val="9"/>
            <color indexed="81"/>
            <rFont val="Tahoma"/>
            <family val="2"/>
          </rPr>
          <t xml:space="preserve">
Changed 4Jul2019</t>
        </r>
      </text>
    </comment>
    <comment ref="N53" authorId="0" shapeId="0" xr:uid="{00000000-0006-0000-0E00-000002000000}">
      <text>
        <r>
          <rPr>
            <b/>
            <sz val="9"/>
            <color indexed="81"/>
            <rFont val="Tahoma"/>
            <family val="2"/>
          </rPr>
          <t>Jakob Maag:</t>
        </r>
        <r>
          <rPr>
            <sz val="9"/>
            <color indexed="81"/>
            <rFont val="Tahoma"/>
            <family val="2"/>
          </rPr>
          <t xml:space="preserve">
4july2016: These output scenarios for PUR were not changed for IL1.5, as separate collection is not relevant here)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6" authorId="0" shapeId="0" xr:uid="{9C938A73-E819-4E3D-8A27-A6CCCD438AF2}">
      <text>
        <r>
          <rPr>
            <b/>
            <sz val="9"/>
            <color indexed="81"/>
            <rFont val="Tahoma"/>
            <family val="2"/>
          </rPr>
          <t>Jakob Maag: June 2019</t>
        </r>
        <r>
          <rPr>
            <sz val="9"/>
            <color indexed="81"/>
            <rFont val="Tahoma"/>
            <family val="2"/>
          </rPr>
          <t xml:space="preserve">
As for dental amalgam, this was changed from 2.5 gHg/prs to a high end of range factor 4 gHg/prs</t>
        </r>
      </text>
    </comment>
    <comment ref="K6" authorId="0" shapeId="0" xr:uid="{2C545270-833A-4DF4-9347-0C52F8A25490}">
      <text>
        <r>
          <rPr>
            <b/>
            <sz val="9"/>
            <color indexed="81"/>
            <rFont val="Tahoma"/>
            <family val="2"/>
          </rPr>
          <t>Jakob Maag:</t>
        </r>
        <r>
          <rPr>
            <sz val="9"/>
            <color indexed="81"/>
            <rFont val="Tahoma"/>
            <family val="2"/>
          </rPr>
          <t xml:space="preserve">
17Jun19: Formulas here were changed to reflect dental care level with same factor as for dental amalgam input</t>
        </r>
      </text>
    </comment>
  </commentList>
</comments>
</file>

<file path=xl/sharedStrings.xml><?xml version="1.0" encoding="utf-8"?>
<sst xmlns="http://schemas.openxmlformats.org/spreadsheetml/2006/main" count="3270" uniqueCount="1264">
  <si>
    <t>Guide to the column headers and the entry of data:</t>
  </si>
  <si>
    <t>Other important information:</t>
  </si>
  <si>
    <t>For some source sectors, e.g. coal combustion, the total calculated mercury input must be distributed between the relevant scenarios in accordance with information obtained in your data collection. For example for coal combustion, half of the annual coal supply may be used in facilities with no emission reduction devices, while the other half is used in facilities with fabric filters. In this example, 50% of your mercury input must entered in the "no devises" row in this column, while the other 50% must be entered in the "fabric filters" row. For other sources, e.g. batteries, you can choose the scenario you find most appropriate for the country covered in your inventory - and enter the total calculated mercury input in that row, or you can distribute the total input between the scenarios, for example if different scenarios are relevant in different parts of the country investigated.</t>
  </si>
  <si>
    <r>
      <t>Read the Toolkit report sections carefully before using this spreadsheet!</t>
    </r>
    <r>
      <rPr>
        <sz val="10"/>
        <rFont val="Arial"/>
        <family val="2"/>
      </rPr>
      <t>: This spreadsheet is not self-explaining and there is a clear risk of making serious mistakes, if the proposed principles and data are not read and understood carefully. Make yourself acquainted with the methodology used for mercury inventories in the Toolkit report. Before working with an individual source sub-category in this spreadsheet, read the Toolkit report's section describing the source.</t>
    </r>
  </si>
  <si>
    <r>
      <t>Spreadsheet names</t>
    </r>
    <r>
      <rPr>
        <sz val="10"/>
        <rFont val="Arial"/>
        <family val="2"/>
      </rPr>
      <t>: The numbers in the individual sheets' names refer to the chapter number of the source category dealt with in the individual sheet.</t>
    </r>
  </si>
  <si>
    <r>
      <t>Metric units</t>
    </r>
    <r>
      <rPr>
        <sz val="10"/>
        <rFont val="Arial"/>
        <family val="2"/>
      </rPr>
      <t>: All units used in this spreadsheet are - and must be - metric units, in accordance with the Toolkit report. The notation "t", means metric tons (also called "tonnes" in UK terminology).</t>
    </r>
  </si>
  <si>
    <r>
      <t>"C"</t>
    </r>
    <r>
      <rPr>
        <sz val="10"/>
        <rFont val="Arial"/>
        <family val="2"/>
      </rPr>
      <t>: The column shows the section number in the Toolkit report describing this source category.</t>
    </r>
  </si>
  <si>
    <r>
      <t>"Su-C"</t>
    </r>
    <r>
      <rPr>
        <sz val="10"/>
        <rFont val="Arial"/>
        <family val="2"/>
      </rPr>
      <t>: The column shows the section number in the Toolkit report describing this source sub-category.</t>
    </r>
  </si>
  <si>
    <r>
      <t>"Source category /phase"</t>
    </r>
    <r>
      <rPr>
        <sz val="10"/>
        <rFont val="Arial"/>
        <family val="2"/>
      </rPr>
      <t>: This column displays the name of the source category, source sub-category or life cycle phase dealt with in this line and in any lines below until the line with the next name in the column.</t>
    </r>
  </si>
  <si>
    <r>
      <t>"Exists? (y/n/?)"</t>
    </r>
    <r>
      <rPr>
        <sz val="10"/>
        <rFont val="Arial"/>
        <family val="2"/>
      </rPr>
      <t>: Enter "yes" if it is confirmed that this source is present in the area covered by the inventory. Enter "no" if it is confirmed that this source is NOT present in the area. Enter "?", if it is not known if the source is present or not in the area covered by the inventory.</t>
    </r>
  </si>
  <si>
    <r>
      <t>Non-existing source categories:</t>
    </r>
    <r>
      <rPr>
        <sz val="10"/>
        <rFont val="Arial"/>
        <family val="2"/>
      </rPr>
      <t xml:space="preserve"> If you have positively verified that the source in question does not exist in the country, enter the number "0" as the activity rate and as the Hg input in order to display the correct output numbers, namely "0".</t>
    </r>
  </si>
  <si>
    <r>
      <t>"Default input factor""</t>
    </r>
    <r>
      <rPr>
        <sz val="10"/>
        <rFont val="Arial"/>
        <family val="2"/>
      </rPr>
      <t>: These columns inform you of the default input factors defined in the Toolkit report, and their units. The appropriate unit is noted in the next column to the right.</t>
    </r>
  </si>
  <si>
    <r>
      <t>"Enter input factor"</t>
    </r>
    <r>
      <rPr>
        <sz val="10"/>
        <rFont val="Arial"/>
        <family val="2"/>
      </rPr>
      <t>: Here you enter your choice of input factor for the source in question. For source sub categories where default factors are defined in the Toolkit report, the MAXIMUM default input factor is already entered in the appropriate cell. Remember that well documented national or local input factors should always be preferred, if available. Provide documentation for the used factors in the inventory report. The appropriate unit is noted in the next column to the right.</t>
    </r>
  </si>
  <si>
    <r>
      <t>"Enter activity rate"</t>
    </r>
    <r>
      <rPr>
        <sz val="10"/>
        <rFont val="Arial"/>
        <family val="2"/>
      </rPr>
      <t>: Here you enter the activity rate for the source category in question. See in the corresponding section of the Toolkit report, which type of activity rate you must use. Find appropriate activity rate data according to the principles and advice given in section 4.4 ("Data gathering and quantification of mercury releases") in the Toolkit report.</t>
    </r>
  </si>
  <si>
    <r>
      <t>"Calculat. Hg input"</t>
    </r>
    <r>
      <rPr>
        <sz val="10"/>
        <rFont val="Arial"/>
        <family val="2"/>
      </rPr>
      <t>: This column displays the calculated mercury input to the source in question. For source sub categories where default factors are defined in the Toolkit report, the appropriate calculation formula is already entered in the cell. For sources where this is not the case, you must enter appropriate calculation formulas according to the Toolkit principles; often you can copy - or be inspired by - calculation formulas given for other sources in the same column. BE VERY CAREFUL THAT THE UNIT AND ORDER OF MAGNITUDE ARE CORRECT - this is one of the error types most often made in such calculations. For source sub-categories that have several contributions to the overall releases from the sub-category, e.g. several life cycle phase, the sum of input contributions is displayed in bold red writing.</t>
    </r>
  </si>
  <si>
    <r>
      <t>"Output scenarios, where relevant"</t>
    </r>
    <r>
      <rPr>
        <sz val="10"/>
        <rFont val="Arial"/>
        <family val="2"/>
      </rPr>
      <t>: For some source sub-categories, several output scenarios are defined in the Toolkit report according to the characteristics of the source. For such sources, the description of the scenario is given in this column, and corresponding output distribution factors are entered - or can be entered - in the columns to the right of this column. For sources where there is only one output scenario, this column is empty.</t>
    </r>
  </si>
  <si>
    <r>
      <t>"Enter Hg input"</t>
    </r>
    <r>
      <rPr>
        <sz val="10"/>
        <rFont val="Arial"/>
        <family val="2"/>
      </rPr>
      <t>: In this column, the mercury INPUT to this source category, or phase, or scenario must be entered. In simple cases, the number to be entered here is the number calculated in the column "Calculat. Hg input"; for these a simple reference (e.g. "= k34") can be made or the number can be entered manually. For sources with several output scenarios you must investigate which scenario(s) is/are relevant and enter the mercury input lead to that scenario.</t>
    </r>
  </si>
  <si>
    <r>
      <t>"Enter output distribution factors"</t>
    </r>
    <r>
      <rPr>
        <sz val="10"/>
        <rFont val="Arial"/>
        <family val="2"/>
      </rPr>
      <t>: Here you enter your choice of output distribution factors. Important: In most cases the sum of all output distributions factors for a source must be 1 (exceptions: see notes in this spreadsheet and corresponding sections in the Toolkit report). For source sub categories where default factors are defined in the Toolkit report, the default factors are already entered in the appropriate cells; note that question marks in the report are substituted here by "0" to facilitate the use of the spreadsheet for quick initial screenings. Remember that well documented national or local distribution factors should always be preferred, if available. Provide documentation for the used factors in the inventory report. NB: For a few sources, other methodology is used to estimate releases; this is described in notes in each relevant sheet.</t>
    </r>
  </si>
  <si>
    <r>
      <t>"Calculated Hg output, Kg/y</t>
    </r>
    <r>
      <rPr>
        <sz val="10"/>
        <rFont val="Arial"/>
        <family val="2"/>
      </rPr>
      <t>": These columns display the calculated mercury releases distributed on the output pathways considered. Each cell in these columns contain a formula calculating the release estimate based on the mercury inputs to the source or phase or output scenario in question and the output distribution factor for this pathway. In very few cases, the release estimates are calculated with other principles - see specific notes in the sheets in question.</t>
    </r>
  </si>
  <si>
    <r>
      <t>"Remarks"</t>
    </r>
    <r>
      <rPr>
        <sz val="10"/>
        <rFont val="Arial"/>
        <family val="2"/>
      </rPr>
      <t>: Here you enter a few words on information on the specific fate of mercury released to "Sector specific treatment/disposal", and you enter important key information on a summary level. Give reference to where in the inventory report the information is described in more detail.</t>
    </r>
  </si>
  <si>
    <r>
      <t>"#Value!"</t>
    </r>
    <r>
      <rPr>
        <sz val="10"/>
        <rFont val="Arial"/>
        <family val="2"/>
      </rPr>
      <t>: This term appear in calculation results, if "?", "-" or similar text signs are written in input cells. If data are available, enter these instead of the "?" in the input cells. If data are not available, the sign (?,- or other) may often be the appropriate thing to show in the results cell. To present the same sign (?,- or other), enter the appropriate sign manually in the calculation cell.</t>
    </r>
  </si>
  <si>
    <r>
      <t>User defined alterations of the spreadsheet principles</t>
    </r>
    <r>
      <rPr>
        <sz val="10"/>
        <rFont val="Arial"/>
        <family val="2"/>
      </rPr>
      <t>: This spreadsheet is designed for mercury release quantification according to the general methodology and specific principles for each source sub-category recommended in the Toolkit report. For many source sub-categories other specific approaches may be usable (e.g. other activity rate types). This spreadsheet may be adjusted accordingly by the users as desired, requiring that the applied principles are in line with the overall approach of the Toolkit, and are well documented in the inventory reporting and that full reference is given to this Toolkit spreadsheet.</t>
    </r>
  </si>
  <si>
    <r>
      <t>Enter calculation formulas</t>
    </r>
    <r>
      <rPr>
        <sz val="10"/>
        <rFont val="Arial"/>
        <family val="2"/>
      </rPr>
      <t>: In this spreadsheet, default calculation formulas were only entered for source sub-categories, for which defaults were defined in the Toolkit report. Depending in the data available, inputs and releases may however be possible to estimate for many more sources. In such cases, the user should enter appropriate formulas and data for the calculations. In many cases this can be done by copying appropriate formulas from other cells in this spreadsheet - be careful to be accurate.</t>
    </r>
  </si>
  <si>
    <r>
      <t>Sub-calculations</t>
    </r>
    <r>
      <rPr>
        <sz val="10"/>
        <rFont val="Arial"/>
        <family val="2"/>
      </rPr>
      <t>: In many cases sub-calculations will be needed, e.g. for calculations/conversions of the activity rates, or alternative input factors or alternative output distribution factors. Such calculations must be made in other spreadsheets, for instance in new sheets inserted in this same Tollkit spreadsheet file; remember to report clear and transparent documentation of all data and calculations used - read more about this in the Toolkit report.</t>
    </r>
  </si>
  <si>
    <r>
      <t>Decimal point/comma:</t>
    </r>
    <r>
      <rPr>
        <sz val="10"/>
        <rFont val="Arial"/>
        <family val="2"/>
      </rPr>
      <t xml:space="preserve"> In order to display decimal comma or decimal point according to your preference, make sure your MS Windows systems language is set accordingly. Note however that numbers displayed here as  text (default factor intervals) will display with decimal point, in accordance with the Toolkit report format, regardless of language settings chosen.</t>
    </r>
  </si>
  <si>
    <r>
      <t>Sum of quantified releases</t>
    </r>
    <r>
      <rPr>
        <sz val="10"/>
        <rFont val="Arial"/>
        <family val="2"/>
      </rPr>
      <t>: If you wish to calculate sums of quantified inputs or releases, other than the ones already displayed, remember not to double-count Hg amounts quantified for several source categories (e.g. Hg amounts that are counted under both production, use, and disposal) . This requires a deeper analysis based on relevant Toolkit report sections.</t>
    </r>
  </si>
  <si>
    <t>Disclaimer:</t>
  </si>
  <si>
    <t>This publication is intended to serve as a guide. While the information provided is believed to be accurate, UNEP disclaims any responsibility for possible inaccuracies or omissions and consequences that may flow from them. Neither UNEP nor any individual involved in the preparation of this publication shall be liable for any injury, loss, damage or prejudice of any kind that may be caused by persons who have acted based on their understanding of the information contained in this publication.</t>
  </si>
  <si>
    <t>The designation employed and the presentation of material in this publication do not imply any expression of any opinion whatsoever on the part of the United Nations or UNEP concerning the legal status of any country, territory, city or area or any of its authorities, or concerning any definition of frontiers or boundaries.</t>
  </si>
  <si>
    <t>Summary of estimated mercury inputs and releases</t>
  </si>
  <si>
    <t>Enter year, date and responsible institution/person</t>
  </si>
  <si>
    <t>SUM OF QUANTIFIED RELEASES:</t>
  </si>
  <si>
    <t>(a and (b: See note text in the relevant sheets</t>
  </si>
  <si>
    <t xml:space="preserve">- </t>
  </si>
  <si>
    <t>Draft spreadsheet of UNEP Chemicals' Toolkit for identification and quantification of mercury releases</t>
  </si>
  <si>
    <t>Unit</t>
  </si>
  <si>
    <t>Kg Hg/y</t>
  </si>
  <si>
    <t>Enter input factor</t>
  </si>
  <si>
    <t>Air</t>
  </si>
  <si>
    <t>Water</t>
  </si>
  <si>
    <t>Land</t>
  </si>
  <si>
    <t>Products</t>
  </si>
  <si>
    <t>General waste</t>
  </si>
  <si>
    <t>?</t>
  </si>
  <si>
    <t>Source category: Extraction and use of fuels/energy sources</t>
  </si>
  <si>
    <t>5.1.1</t>
  </si>
  <si>
    <t>5.1</t>
  </si>
  <si>
    <t>Coal combustion in large power plants</t>
  </si>
  <si>
    <t>0.05-0.5</t>
  </si>
  <si>
    <t>Default input factor</t>
  </si>
  <si>
    <t>Su-C</t>
  </si>
  <si>
    <t xml:space="preserve"> Enter activity rate</t>
  </si>
  <si>
    <t>C</t>
  </si>
  <si>
    <t>Secto r specific treatment/disposal</t>
  </si>
  <si>
    <t>Calculated Hg output, Kg/y</t>
  </si>
  <si>
    <t>Enter output distribution factors (unitless)</t>
  </si>
  <si>
    <t>Notes:</t>
  </si>
  <si>
    <t>"Output scenario"</t>
  </si>
  <si>
    <t>0.05-0.5 (a</t>
  </si>
  <si>
    <t>Source category /phase</t>
  </si>
  <si>
    <t>/Coal wash</t>
  </si>
  <si>
    <t>Calculat. Hg input</t>
  </si>
  <si>
    <t>Other coal use</t>
  </si>
  <si>
    <t>Coke production</t>
  </si>
  <si>
    <t>Kg Hg/y (a</t>
  </si>
  <si>
    <t>5.1.3</t>
  </si>
  <si>
    <t>Uses (other than combustion)</t>
  </si>
  <si>
    <t>Residential heating with no controls</t>
  </si>
  <si>
    <t>Oil Combustion Facility with no emissions controls</t>
  </si>
  <si>
    <t>Oil Combustion Facility with PM control using an ESP or scrubber</t>
  </si>
  <si>
    <t>Mineral oils - extraction, refining and use</t>
  </si>
  <si>
    <t>5.1.4</t>
  </si>
  <si>
    <t>Natural gas - extraction, refining and use</t>
  </si>
  <si>
    <t>Nm3 gas/y</t>
  </si>
  <si>
    <t>0.03 - 0.4</t>
  </si>
  <si>
    <t>2 - 200</t>
  </si>
  <si>
    <t>µg Hg/Nm3 gas</t>
  </si>
  <si>
    <t>5.1.5</t>
  </si>
  <si>
    <t>Other fossil fuels - extraction and use</t>
  </si>
  <si>
    <t>Use of oil shale</t>
  </si>
  <si>
    <t>5.1.6</t>
  </si>
  <si>
    <t>Biomass fired power and heat production</t>
  </si>
  <si>
    <t>5.1.7</t>
  </si>
  <si>
    <t>Geothermal power production</t>
  </si>
  <si>
    <t>40 - 193 (b</t>
  </si>
  <si>
    <t>Combustion of peat</t>
  </si>
  <si>
    <t>Combustion of other fossil fuels</t>
  </si>
  <si>
    <t>Remarks</t>
  </si>
  <si>
    <t>5.5</t>
  </si>
  <si>
    <t>5.5.1</t>
  </si>
  <si>
    <t>Thermometers with mercury</t>
  </si>
  <si>
    <t>/Use+disposal</t>
  </si>
  <si>
    <t>Enter Hg input</t>
  </si>
  <si>
    <t>Medical thermometers</t>
  </si>
  <si>
    <t>Ambient air thermom.</t>
  </si>
  <si>
    <t>Industrial and special th.</t>
  </si>
  <si>
    <t>Other glass Hg thermometers</t>
  </si>
  <si>
    <t>(a1) No separate collection. Waste handl. controlled</t>
  </si>
  <si>
    <t>(a3) Separate collection. Waste handl. controlled</t>
  </si>
  <si>
    <t>/Production</t>
  </si>
  <si>
    <t>/Use+disposal:</t>
  </si>
  <si>
    <t>/Extraction</t>
  </si>
  <si>
    <t>/Refining</t>
  </si>
  <si>
    <t>/Extraction/refining</t>
  </si>
  <si>
    <t>/Use of raw or pre-cleaned gas</t>
  </si>
  <si>
    <t>/Use of pipeline gas (consumer quality)</t>
  </si>
  <si>
    <t>0.5-1.5</t>
  </si>
  <si>
    <t>5-200</t>
  </si>
  <si>
    <t>2-5</t>
  </si>
  <si>
    <t>1-40</t>
  </si>
  <si>
    <t>g Hg/item</t>
  </si>
  <si>
    <t>items/y</t>
  </si>
  <si>
    <t>(a2) No separate collection. Informal waste handl. widespread</t>
  </si>
  <si>
    <t>Electrical switches and relays with mercury</t>
  </si>
  <si>
    <t>5.5.2</t>
  </si>
  <si>
    <t>0.02-0.25</t>
  </si>
  <si>
    <t>0.25</t>
  </si>
  <si>
    <t>Inhabitants</t>
  </si>
  <si>
    <t>g Hg/(y*inhabitant)</t>
  </si>
  <si>
    <t>5.5.3</t>
  </si>
  <si>
    <t>Fluorescent tubes (double end)</t>
  </si>
  <si>
    <t>Compact fluorescent lamp (CFL single end)</t>
  </si>
  <si>
    <t xml:space="preserve">High pressure mercury vapour </t>
  </si>
  <si>
    <t>High-pressure sodium lamps</t>
  </si>
  <si>
    <t>UV light for tanning</t>
  </si>
  <si>
    <t>Metal halide lamps</t>
  </si>
  <si>
    <t>10 - 30</t>
  </si>
  <si>
    <t>5 - 25</t>
  </si>
  <si>
    <t>mg Hg/item</t>
  </si>
  <si>
    <t>Biocides and pesticides with mercury</t>
  </si>
  <si>
    <t>5.5.5</t>
  </si>
  <si>
    <t>5.5.4</t>
  </si>
  <si>
    <t>Batteries with mercury</t>
  </si>
  <si>
    <t>Mercury oxide (all sizes); also called mercury-zinc cells</t>
  </si>
  <si>
    <t>Zinc-air button cells</t>
  </si>
  <si>
    <t>Alkaline button cells</t>
  </si>
  <si>
    <t>Silver oxide button cells</t>
  </si>
  <si>
    <t>Alkaline, other than  button cell shapes</t>
  </si>
  <si>
    <t>Paints with mercury</t>
  </si>
  <si>
    <t>5.5.6</t>
  </si>
  <si>
    <t>0.3-5</t>
  </si>
  <si>
    <t>/Use (application + when appl.)</t>
  </si>
  <si>
    <t>Cosmetics and related products with mercury</t>
  </si>
  <si>
    <t>10-50</t>
  </si>
  <si>
    <t>Source category: Intentional use of mercury in industrial processes</t>
  </si>
  <si>
    <t>5.4</t>
  </si>
  <si>
    <t>5.4.1</t>
  </si>
  <si>
    <t>Chlor-alkali production with mercury-technology</t>
  </si>
  <si>
    <t>5.4.2</t>
  </si>
  <si>
    <t>100-140</t>
  </si>
  <si>
    <t>VCM production with mercury catalyst</t>
  </si>
  <si>
    <t>Acetaldehyde production with mercury catalyst</t>
  </si>
  <si>
    <t>Other production of chemicals and polymers with mercury</t>
  </si>
  <si>
    <t>Exists? (y/n/?)</t>
  </si>
  <si>
    <t>Chlor-alkali prod.</t>
  </si>
  <si>
    <t>Other oil combustion facilities</t>
  </si>
  <si>
    <t>5.2</t>
  </si>
  <si>
    <t>5.2.1</t>
  </si>
  <si>
    <t>5.2.2</t>
  </si>
  <si>
    <t>Gold and silver extraction with mercury amalgamation processes</t>
  </si>
  <si>
    <t>Zinc extraction and initial processing</t>
  </si>
  <si>
    <t>Mercury (primary) extraction and initial processing</t>
  </si>
  <si>
    <t>/Mining and concentrating</t>
  </si>
  <si>
    <t>/Production of zinc from concentrates</t>
  </si>
  <si>
    <t>Copper extraction and initial processing</t>
  </si>
  <si>
    <t>/Production of copper from concentrates</t>
  </si>
  <si>
    <t>Lead extraction and initial processing</t>
  </si>
  <si>
    <t>/Production of lead from concentrates</t>
  </si>
  <si>
    <t>5.3.3</t>
  </si>
  <si>
    <t>5.3.4</t>
  </si>
  <si>
    <t>5.3.5</t>
  </si>
  <si>
    <t>5.3.6</t>
  </si>
  <si>
    <t>(a: Due to lack of data, this calculation is proposed with traditional emission factors, instead of input and output factors as recommended in this Toolkit.</t>
  </si>
  <si>
    <t xml:space="preserve">    If you have data to use the inputs and outputs balance method, the calculation approach used for zinc can be copied here for gold.</t>
  </si>
  <si>
    <t>Aliminium extraction and initial processing</t>
  </si>
  <si>
    <t>/Aluminium production from alumina</t>
  </si>
  <si>
    <t>5.3.7</t>
  </si>
  <si>
    <t>5.3.8</t>
  </si>
  <si>
    <t>5.3.9</t>
  </si>
  <si>
    <t>Primary ferrous metal production</t>
  </si>
  <si>
    <t>Other non-ferrous metals - extraction and processing</t>
  </si>
  <si>
    <t>0.05</t>
  </si>
  <si>
    <t>kg Hg/kg gold produced</t>
  </si>
  <si>
    <t>kg gold produced/y</t>
  </si>
  <si>
    <t>5.3</t>
  </si>
  <si>
    <t>Source category: Production of other minerals and materials with mercury impurities</t>
  </si>
  <si>
    <t>5.3.1</t>
  </si>
  <si>
    <t>5.3.2</t>
  </si>
  <si>
    <t>Pulp and paper production</t>
  </si>
  <si>
    <t>Production of lime and light weight aggregates</t>
  </si>
  <si>
    <t>Lime production</t>
  </si>
  <si>
    <t>Light weight aggregate kilns</t>
  </si>
  <si>
    <t>5.8</t>
  </si>
  <si>
    <t>Source category: Waste incineration</t>
  </si>
  <si>
    <t>5.8.1</t>
  </si>
  <si>
    <t>Incineration of municipal/general waste</t>
  </si>
  <si>
    <t>1-10</t>
  </si>
  <si>
    <t>Acid gas control with limestone (or similar acid gas absorbent) and downstream high efficiency FF or ESP PM retention</t>
  </si>
  <si>
    <t>Mercury specific absorbents and downstream FF</t>
  </si>
  <si>
    <t>5.8.2</t>
  </si>
  <si>
    <t>No emission reduction devices</t>
  </si>
  <si>
    <t>PM reduc, simple ESP, or similar</t>
  </si>
  <si>
    <t>Incineration of hazardous waste</t>
  </si>
  <si>
    <t>Incineration of medical waste</t>
  </si>
  <si>
    <t>5.8.3</t>
  </si>
  <si>
    <t>8-40</t>
  </si>
  <si>
    <t>5.8.4</t>
  </si>
  <si>
    <t>Sewage sludge incineration</t>
  </si>
  <si>
    <t>5.8.5</t>
  </si>
  <si>
    <t>"Output scenario (where relevant)</t>
  </si>
  <si>
    <t>5.6</t>
  </si>
  <si>
    <t>5.6.1</t>
  </si>
  <si>
    <t>Source category: Consumer products with intentional use of mercury</t>
  </si>
  <si>
    <t>Source category: Other intentional product/process use</t>
  </si>
  <si>
    <t>0.05-0.2</t>
  </si>
  <si>
    <t>/Preparations of fillings at dentist clinics (share of current mercury supply for amalgam fillings)</t>
  </si>
  <si>
    <t>/Disposal (releases from mercury supply for fillings 10-20 years ago)</t>
  </si>
  <si>
    <t>/Use - from fillings in the mouth (releases from mercury supply for fillings 5-15 years ago)</t>
  </si>
  <si>
    <t>(a: See detailed explanations in the dental fillings section in the Toolkit report.</t>
  </si>
  <si>
    <t xml:space="preserve">     If no change in the amalgam fillings supply have been observed, current supply may be used as a substitute; changes are likely to have occurred in most countries.</t>
  </si>
  <si>
    <t>- In countries where most dental clinics are equipped with high efficiency amalgam filters (95% retention rate)</t>
  </si>
  <si>
    <t>-  In countries where only dental chair filters/strainers are used in most clinics</t>
  </si>
  <si>
    <r>
      <t>Preparations of fillings</t>
    </r>
    <r>
      <rPr>
        <sz val="10"/>
        <rFont val="Times New Roman"/>
        <family val="1"/>
      </rPr>
      <t xml:space="preserve"> at dentist clinics (input is current Hg supply for amalgam fillings)</t>
    </r>
  </si>
  <si>
    <r>
      <t>Use</t>
    </r>
    <r>
      <rPr>
        <sz val="10"/>
        <rFont val="Times New Roman"/>
        <family val="1"/>
      </rPr>
      <t xml:space="preserve"> (input is Hg supply for </t>
    </r>
    <r>
      <rPr>
        <i/>
        <sz val="10"/>
        <rFont val="Times New Roman"/>
        <family val="1"/>
      </rPr>
      <t>fillings</t>
    </r>
    <r>
      <rPr>
        <sz val="10"/>
        <rFont val="Times New Roman"/>
        <family val="1"/>
      </rPr>
      <t xml:space="preserve"> 5-15 years ago (a)</t>
    </r>
  </si>
  <si>
    <r>
      <t xml:space="preserve">Disposal </t>
    </r>
    <r>
      <rPr>
        <sz val="10"/>
        <rFont val="Times New Roman"/>
        <family val="1"/>
      </rPr>
      <t>(input is Hg supply for fillings 10-20 years ago (a)</t>
    </r>
  </si>
  <si>
    <t>5.6.2</t>
  </si>
  <si>
    <t>Manometers and gauges with mercury</t>
  </si>
  <si>
    <t>Sector specific treatment/disposal</t>
  </si>
  <si>
    <t>Laboratory chemicals and equipment with mercury</t>
  </si>
  <si>
    <t>5.6.3</t>
  </si>
  <si>
    <t>Mercury metal use in religious rituals and folklore medicine</t>
  </si>
  <si>
    <t>Miscellaneous product uses, mercury metal uses, and other sources</t>
  </si>
  <si>
    <t>5.6.4</t>
  </si>
  <si>
    <t>5.6.5</t>
  </si>
  <si>
    <t>Infra red detection semiconductors</t>
  </si>
  <si>
    <t>Bougie tubes and Cantor tubes</t>
  </si>
  <si>
    <t>Educational uses</t>
  </si>
  <si>
    <t>Gyroscopes with mercury</t>
  </si>
  <si>
    <t>Vacuum pumps with mercury</t>
  </si>
  <si>
    <t>Use of mercury as a refrigerant in certain cooling systems</t>
  </si>
  <si>
    <t>Light houses (Marine navigation lights)</t>
  </si>
  <si>
    <t>Mercury in large bearings of rotating mechanic parts in for example older waste water treatment plants</t>
  </si>
  <si>
    <t>Tanning</t>
  </si>
  <si>
    <t>Pigments</t>
  </si>
  <si>
    <t>Browning and etching steel</t>
  </si>
  <si>
    <t>Certain colour photograph paper types</t>
  </si>
  <si>
    <t>Recoil softeners in rifles</t>
  </si>
  <si>
    <t>Explosives (mercury-fulminate a.o.)</t>
  </si>
  <si>
    <t>Fireworks</t>
  </si>
  <si>
    <t>Executive toys</t>
  </si>
  <si>
    <t>Others</t>
  </si>
  <si>
    <t>Medical blood pressure gauges</t>
  </si>
  <si>
    <t>Manometers</t>
  </si>
  <si>
    <t>U-shaped manometers</t>
  </si>
  <si>
    <t xml:space="preserve">Manometers for milking systems </t>
  </si>
  <si>
    <t>Manometers and barometers used for measuring air pressure</t>
  </si>
  <si>
    <t xml:space="preserve">Barometers </t>
  </si>
  <si>
    <t>Environmental manometers</t>
  </si>
  <si>
    <t>Pressure valves in district heating plants</t>
  </si>
  <si>
    <t>Pressure gauges</t>
  </si>
  <si>
    <t>Blood gas analyzer</t>
  </si>
  <si>
    <t>Mercury electrodes (calomel)</t>
  </si>
  <si>
    <t>Blood lead analyzer</t>
  </si>
  <si>
    <t>Mercury drop electrode</t>
  </si>
  <si>
    <t>Coulter counter</t>
  </si>
  <si>
    <t>Sample collector for oil offshore</t>
  </si>
  <si>
    <t>Centrifuges</t>
  </si>
  <si>
    <t>Electron microscope</t>
  </si>
  <si>
    <t>Thermostats</t>
  </si>
  <si>
    <t xml:space="preserve">Thermometers, manometers, and other measuring equipment </t>
  </si>
  <si>
    <t>Mercury lamps for atomic absorption spectrophotometers and other equipment</t>
  </si>
  <si>
    <t>Items/y</t>
  </si>
  <si>
    <t>-</t>
  </si>
  <si>
    <t>5.7</t>
  </si>
  <si>
    <t>5.7.1</t>
  </si>
  <si>
    <t>Source category: Production of recycled metals ("secondary" metal production)</t>
  </si>
  <si>
    <t>Production of recycled mercury ("secondary production”)</t>
  </si>
  <si>
    <t>Production of recycled ferrous metals (iron and steel)</t>
  </si>
  <si>
    <t>Production of other recycled metals</t>
  </si>
  <si>
    <t>Output scenario (where relevant)</t>
  </si>
  <si>
    <t>Note:</t>
  </si>
  <si>
    <t>(a: The Hg input to be entered here is metric tons of seconday mercury produced per year.</t>
  </si>
  <si>
    <t>Diffuse disposal under some control</t>
  </si>
  <si>
    <t>Source category: Waste deposition/landfilling and waste water treatment</t>
  </si>
  <si>
    <t>This source category is expected covered under the original sources of the mercury containing material, under det output path "sector specific treatment/disposal accompanied by a descriptive note; e.g. solid residues from waste incineration or metal extraction.</t>
  </si>
  <si>
    <t>Informal local disposal of industrial production waste</t>
  </si>
  <si>
    <t>Waste water system/treatment</t>
  </si>
  <si>
    <t>(b: It should be noted that mercury releases to informal waste incineration and waste dumping under the individual product and materials sub-categories are quantified in these sub-sections as direct releases to land, air and water.</t>
  </si>
  <si>
    <t xml:space="preserve">    Beware of double-counting. Note, however, that mercury inputs to dumping from mercury trace concentrations in high volume materials (plastics, paper, etc.) are not quantified individually elsewhere in this Toolkit</t>
  </si>
  <si>
    <t>5.9</t>
  </si>
  <si>
    <t>5.9.1</t>
  </si>
  <si>
    <t>5.9.2</t>
  </si>
  <si>
    <t>5.9.3</t>
  </si>
  <si>
    <t>5.9.4</t>
  </si>
  <si>
    <t>5.9.5</t>
  </si>
  <si>
    <t>No treatment; direct release from sewage pipe</t>
  </si>
  <si>
    <t>Mechanical treatment only</t>
  </si>
  <si>
    <t>Mechanical and biological (activated sludge) treatment; no land application of sludge</t>
  </si>
  <si>
    <t>Mechanical and biological (activated sludge) treatment; 40% of sludge used for land application</t>
  </si>
  <si>
    <t>m3 waste water/y</t>
  </si>
  <si>
    <t>mg Hg/m3 waste water</t>
  </si>
  <si>
    <t>Enter description of estimation scenario presented below (maximum defaults/minimum defaults/other):</t>
  </si>
  <si>
    <t>Source category: Crematoria and cemetaries</t>
  </si>
  <si>
    <t>Crematoria</t>
  </si>
  <si>
    <t>1-4</t>
  </si>
  <si>
    <t>g Hg/corpse</t>
  </si>
  <si>
    <t>corpses cremated/y</t>
  </si>
  <si>
    <t>corpses burried/y</t>
  </si>
  <si>
    <t>5.10</t>
  </si>
  <si>
    <t>5.10.1</t>
  </si>
  <si>
    <t>5.10.2</t>
  </si>
  <si>
    <t>Read "introduction" before starting</t>
  </si>
  <si>
    <t>Source category</t>
  </si>
  <si>
    <t xml:space="preserve"> - If "other": Summarise main principles/characteristics in a few words (elaborate description in inventory report):</t>
  </si>
  <si>
    <t>Source category: Primary (virgin) metal production</t>
  </si>
  <si>
    <t>Gold extraction and initial processing by methods other than mercury amalgamation (a</t>
  </si>
  <si>
    <t xml:space="preserve">   In order for the releases to be presented correctly in the summary sheet, only one of the presentation options can be used (or the summary sheet should be adjusted for this source by the user).</t>
  </si>
  <si>
    <t>Controlled landfills/deposits (a</t>
  </si>
  <si>
    <t>Informal dumping of general waste (b</t>
  </si>
  <si>
    <t>Light sources with mercury</t>
  </si>
  <si>
    <t>Sub-C</t>
  </si>
  <si>
    <t>t coal/y</t>
  </si>
  <si>
    <t>t oil/y</t>
  </si>
  <si>
    <t>t peat/y</t>
  </si>
  <si>
    <t>t oil shale/y</t>
  </si>
  <si>
    <t>t pig iron produced</t>
  </si>
  <si>
    <t>t cement produced/y</t>
  </si>
  <si>
    <t>t Cl2/y</t>
  </si>
  <si>
    <t>t bat/y</t>
  </si>
  <si>
    <t>t paint/y</t>
  </si>
  <si>
    <t>t cream or soap/y</t>
  </si>
  <si>
    <t>g Hg/t waste</t>
  </si>
  <si>
    <t>t waste landfilled/y</t>
  </si>
  <si>
    <t>t waste dumped/y</t>
  </si>
  <si>
    <t>g Hg/t waste incinerated</t>
  </si>
  <si>
    <t>t waste incinerated/y</t>
  </si>
  <si>
    <t>kg Hg/t batteries</t>
  </si>
  <si>
    <t>kg Hg/t</t>
  </si>
  <si>
    <t>g Hg/t Cl2 produced</t>
  </si>
  <si>
    <t>g Hg/t VCM produced</t>
  </si>
  <si>
    <t>g Hg/t</t>
  </si>
  <si>
    <t>g Hg/t pig iron produced</t>
  </si>
  <si>
    <t>mg Hg/t</t>
  </si>
  <si>
    <t>(b: Based on one data set only</t>
  </si>
  <si>
    <t>mg Hg/t (dry weight)</t>
  </si>
  <si>
    <t>(b: Enter sum for total inputs to recycling, if know from other sources</t>
  </si>
  <si>
    <t>t concentrate/y</t>
  </si>
  <si>
    <r>
      <t xml:space="preserve">Dental mercury-amalgam fillings </t>
    </r>
    <r>
      <rPr>
        <b/>
        <sz val="10"/>
        <color indexed="10"/>
        <rFont val="Arial"/>
        <family val="2"/>
      </rPr>
      <t>(b</t>
    </r>
  </si>
  <si>
    <t>(b: Note that output distribution factors should not sum up to 1 for this source or phase.</t>
  </si>
  <si>
    <t>(a: Note that output distribution factors should not sum up to 1 for this source or phase.</t>
  </si>
  <si>
    <t>/Production (a</t>
  </si>
  <si>
    <r>
      <t xml:space="preserve">(b </t>
    </r>
    <r>
      <rPr>
        <sz val="10"/>
        <rFont val="Arial"/>
        <family val="2"/>
      </rPr>
      <t>Kg Hg/y</t>
    </r>
  </si>
  <si>
    <t>(c: Note that output distribution factors should not sum up to 1 for this source or phase.</t>
  </si>
  <si>
    <t>(a, (c</t>
  </si>
  <si>
    <t>(a: Important: If coal wash is aplied, the Hg input to combustion is the calculated output "Products" from coal wash. For more complicated mixes, see the relevant section in the toolkit report.</t>
  </si>
  <si>
    <t>Other minerals and materials</t>
  </si>
  <si>
    <t>Impurity in pro-ducts</t>
  </si>
  <si>
    <t>Cat. no.</t>
  </si>
  <si>
    <t>Estimated Hg input, Kg Hg/y</t>
  </si>
  <si>
    <t>Oil refining</t>
  </si>
  <si>
    <t>Extraction and processing of natural gas</t>
  </si>
  <si>
    <t>Oil extraction</t>
  </si>
  <si>
    <t>Standard estimate</t>
  </si>
  <si>
    <t>Estimated Hg releases, standard estimates, Kg Hg/y</t>
  </si>
  <si>
    <t>Sector specific waste treatment /disposal</t>
  </si>
  <si>
    <t>Source present?</t>
  </si>
  <si>
    <t>Y/N/?</t>
  </si>
  <si>
    <t>Annual consumption/production</t>
  </si>
  <si>
    <t xml:space="preserve">ENERGY CONSUMPTION AND FUEL PRODUCTION </t>
  </si>
  <si>
    <t>Production of zinc from concentrates</t>
  </si>
  <si>
    <t>Gold extraction by methods other than mercury amalgamation</t>
  </si>
  <si>
    <t>Production of copper from concentrates</t>
  </si>
  <si>
    <t>Production of lead from concentrates</t>
  </si>
  <si>
    <t>5.2.3</t>
  </si>
  <si>
    <t>5.2.4</t>
  </si>
  <si>
    <t>5.2.5</t>
  </si>
  <si>
    <t>5.2.6</t>
  </si>
  <si>
    <t>5.2.7</t>
  </si>
  <si>
    <t>5.2.9</t>
  </si>
  <si>
    <t>Cement production</t>
  </si>
  <si>
    <t>t concentrate used/y</t>
  </si>
  <si>
    <t>DOMESTIC PRODUCTION AND PROCESSING WITH INTENTIONAL MERCURY USE</t>
  </si>
  <si>
    <t>Chlor-alkali production with mercury-cells</t>
  </si>
  <si>
    <t>5.4.3</t>
  </si>
  <si>
    <t>5.4.4</t>
  </si>
  <si>
    <t>Production of products with mercury content</t>
  </si>
  <si>
    <t>5.5.7</t>
  </si>
  <si>
    <t>5.6.3, 5.6.5</t>
  </si>
  <si>
    <t>Polyurethane (PU, PUR) produced with mercury catalyst</t>
  </si>
  <si>
    <t>Use and disposal of products with mercury content</t>
  </si>
  <si>
    <t>Medical Hg thermometers</t>
  </si>
  <si>
    <t>Other glass Hg thermometers (air, laboratory, dairy, etc.)</t>
  </si>
  <si>
    <t>Paints with mercury preservatives</t>
  </si>
  <si>
    <t>Skin lightening creams and soaps with mercury chemicals</t>
  </si>
  <si>
    <t>Seed dressing with mercury chemicals</t>
  </si>
  <si>
    <t>Other Hg containing light sources (see guideline)</t>
  </si>
  <si>
    <t>Mercury oxide (button cells and other sizes); also called mercury-zinc cells</t>
  </si>
  <si>
    <t>Other button cells (zinc-air, alkaline button cells, silver-oxide)</t>
  </si>
  <si>
    <t>Other batteries with mercury (plain cylindrical alkaline, permanganate, etc., see guideline)</t>
  </si>
  <si>
    <t>Preparations of fillings at dentist clinics</t>
  </si>
  <si>
    <t>Use - from fillings already in the mouth</t>
  </si>
  <si>
    <t>Contact person</t>
  </si>
  <si>
    <t>E-mail address</t>
  </si>
  <si>
    <t>Telephone number</t>
  </si>
  <si>
    <t>Fax number</t>
  </si>
  <si>
    <t>GDP (Gross Domestic product)</t>
  </si>
  <si>
    <t>General population data</t>
  </si>
  <si>
    <t>Contact point responsible for inventory</t>
  </si>
  <si>
    <t>Impurity in products</t>
  </si>
  <si>
    <t>5.7.2</t>
  </si>
  <si>
    <t>Waste incineration</t>
  </si>
  <si>
    <t>Controlled landfills/deposits</t>
  </si>
  <si>
    <t>Open fire waste burning (on landfills and informally)</t>
  </si>
  <si>
    <t>GENERAL WASTE MANAGEMENT SET-UP IN THE COUNTRY</t>
  </si>
  <si>
    <t>Annual numbers dead</t>
  </si>
  <si>
    <t>Before you start on Inventory Level 2!!</t>
  </si>
  <si>
    <t>Energy consumption</t>
  </si>
  <si>
    <t>Primary metal production</t>
  </si>
  <si>
    <t>Fuel production</t>
  </si>
  <si>
    <t>Full name of institution</t>
  </si>
  <si>
    <t>Website of institution</t>
  </si>
  <si>
    <t>Year and reference for population data</t>
  </si>
  <si>
    <t>Year and reference for GDP data</t>
  </si>
  <si>
    <t>Main sectors in the economy of country (list)</t>
  </si>
  <si>
    <t>WASTE HANDLING AND RECYCLING</t>
  </si>
  <si>
    <t>GENERAL CONSUMPTION OF MERCURY IN PRODUCTS, AS METAL MERCURY AND AS MERCURY CONTAINING SUBSTANCES</t>
  </si>
  <si>
    <t>Dental amalgam fillings ("silver" fillings)</t>
  </si>
  <si>
    <t>Other coal uses</t>
  </si>
  <si>
    <t>Charcoal combustion</t>
  </si>
  <si>
    <t>DOMESTIC PRODUCTION OF METALS AND RAW MATERIALS</t>
  </si>
  <si>
    <t>Engine control Hg thermometers and other large industrial/speciality Hg thermometers</t>
  </si>
  <si>
    <t>Cemeteries</t>
  </si>
  <si>
    <t>Miscellaneous mercury release sources not quantified on Inventory level 1</t>
  </si>
  <si>
    <t>Alumina production from bauxite (aluminium production)</t>
  </si>
  <si>
    <t>t biomass/year</t>
  </si>
  <si>
    <t>t charcoal/year</t>
  </si>
  <si>
    <t>g Hg/ t cement produced</t>
  </si>
  <si>
    <t>t Hg produced</t>
  </si>
  <si>
    <t>g Hg/t concentrate</t>
  </si>
  <si>
    <t>t bauxit processed/y</t>
  </si>
  <si>
    <t>Thermometers</t>
  </si>
  <si>
    <t xml:space="preserve">Other laboratory and medical equipment with mercury </t>
  </si>
  <si>
    <t>Other materials production</t>
  </si>
  <si>
    <t>Crematoria and cemeteries</t>
  </si>
  <si>
    <t>Production of recycled of metals</t>
  </si>
  <si>
    <t>Waste deposition/landfilling and waste water treatment</t>
  </si>
  <si>
    <t>g Hg/t acetaledhyde</t>
  </si>
  <si>
    <t>t VCM/y</t>
  </si>
  <si>
    <t>t acetaldehyde/y</t>
  </si>
  <si>
    <t>Production</t>
  </si>
  <si>
    <t>g Hg used for production/y</t>
  </si>
  <si>
    <t>kg Hg used for production/y</t>
  </si>
  <si>
    <t>Annual production       /waste disposal</t>
  </si>
  <si>
    <r>
      <t>kg recycled mercury</t>
    </r>
    <r>
      <rPr>
        <b/>
        <sz val="10"/>
        <rFont val="Arial"/>
        <family val="2"/>
      </rPr>
      <t>/year</t>
    </r>
  </si>
  <si>
    <t>g Hg/t sludge incinerated</t>
  </si>
  <si>
    <t xml:space="preserve">Total </t>
  </si>
  <si>
    <t>Inpurity in produtcs</t>
  </si>
  <si>
    <t>Inpurity in products</t>
  </si>
  <si>
    <t>Other manometers and gauges with mercury</t>
  </si>
  <si>
    <t>Medical blood pressure gauges (mercury sphygmomanometers)</t>
  </si>
  <si>
    <t>70-85</t>
  </si>
  <si>
    <t>Other laboratory equipment (level 1 default)</t>
  </si>
  <si>
    <t>Laboratory chemicals</t>
  </si>
  <si>
    <t>Laboratory chemicals and pharmaceutical (level 1 default)</t>
  </si>
  <si>
    <t>g Hg/y*inhabitant)</t>
  </si>
  <si>
    <t>5.5.8</t>
  </si>
  <si>
    <t>5.5.5.</t>
  </si>
  <si>
    <t>t batteries sold/y</t>
  </si>
  <si>
    <t>items sold/y</t>
  </si>
  <si>
    <t>Polyurethane with mercury catalysts</t>
  </si>
  <si>
    <t>PM control with general ESP, or PS</t>
  </si>
  <si>
    <t>g Hg/t biomass (dry weight)</t>
  </si>
  <si>
    <t>0.07-1</t>
  </si>
  <si>
    <t>t bauxite/y</t>
  </si>
  <si>
    <t>g Hg/t bauxite</t>
  </si>
  <si>
    <t>/Alumina production from bauxite</t>
  </si>
  <si>
    <t>Combustion/use of petroleum coke and heavy oil</t>
  </si>
  <si>
    <t>/Use of gasoline, diesel and other light distillates:</t>
  </si>
  <si>
    <t>Transportation and other uses other than combustion</t>
  </si>
  <si>
    <t>/Use of heavy oil and petroleum coke:</t>
  </si>
  <si>
    <t>10 - 100</t>
  </si>
  <si>
    <t>1 - 10</t>
  </si>
  <si>
    <t>Oil combustion facilities</t>
  </si>
  <si>
    <t>g Hg/t(dry weight)</t>
  </si>
  <si>
    <t>0.007-0.07</t>
  </si>
  <si>
    <t>Gas processing with mercury removal</t>
  </si>
  <si>
    <t>Gas processing without mercury removal</t>
  </si>
  <si>
    <t>Informal dumping of general waste *1</t>
  </si>
  <si>
    <t>Coal combustion and other coal use</t>
  </si>
  <si>
    <t>Other fossil fuel and biomass combustion</t>
  </si>
  <si>
    <t>Gold extraction with mercury amalgamation</t>
  </si>
  <si>
    <t>Other production of chemicals and polymers</t>
  </si>
  <si>
    <t>Use and disposal of other products</t>
  </si>
  <si>
    <t>Production of recycled metals</t>
  </si>
  <si>
    <t>Combustion of oil shale</t>
  </si>
  <si>
    <t>Products for browning and etching steel</t>
  </si>
  <si>
    <t>Activity rate</t>
  </si>
  <si>
    <t>Oil and gas production</t>
  </si>
  <si>
    <t>Primary metal production (excl. gold production by amalgamation)</t>
  </si>
  <si>
    <t>By-products and impurities</t>
  </si>
  <si>
    <t>INVENTORY LEVEL 1 - MERCURY SOURCES IDENTIFIED</t>
  </si>
  <si>
    <t>INVENTORY LEVEL 1 - EXECUTIVE SUMMARY</t>
  </si>
  <si>
    <t>INVENTORY LEVEL 1 - SUMMARY OF MERCURY INPUTS</t>
  </si>
  <si>
    <t>INVENTORY LEVEL 1 - SUMMARY OF RELEASES</t>
  </si>
  <si>
    <t>INVENTORY LEVEL 1 - TOTAL SUMMARY</t>
  </si>
  <si>
    <t>NOTE: Selection regarding waste management:</t>
  </si>
  <si>
    <t>0,007-0,07</t>
  </si>
  <si>
    <t>g Hg/ t biomass used in production</t>
  </si>
  <si>
    <t>Use and disposal of dental amalgam fillings</t>
  </si>
  <si>
    <t>Bougie tubes and Cantor tubes (medical)</t>
  </si>
  <si>
    <t>Light houses (levelling bearings in marine navigation lights)</t>
  </si>
  <si>
    <t>kg Hg/t Hg produced</t>
  </si>
  <si>
    <t>g Hg/t ore used (extracted)</t>
  </si>
  <si>
    <t>Production of chemicals</t>
  </si>
  <si>
    <t>Mercury used in religious rituals (amulets and other uses)</t>
  </si>
  <si>
    <t>Mercury used in traditional medicines (ayurvedic and others) and homeopathic medicine</t>
  </si>
  <si>
    <t>Production of lime</t>
  </si>
  <si>
    <t>Production of light weight aggregates (burnt clay nuts for building purposes)</t>
  </si>
  <si>
    <t>0.01-0.05</t>
  </si>
  <si>
    <t>0.005</t>
  </si>
  <si>
    <t>Other manometers (level 1 default for whole group)</t>
  </si>
  <si>
    <t>0.2-2</t>
  </si>
  <si>
    <t>g Hg/vehicle</t>
  </si>
  <si>
    <t>vehicles recycled/y</t>
  </si>
  <si>
    <t>4x conc. in biomass</t>
  </si>
  <si>
    <t>No filter</t>
  </si>
  <si>
    <t>t gold ore used/y</t>
  </si>
  <si>
    <t>g Hg/t ore used</t>
  </si>
  <si>
    <t>1020-1040</t>
  </si>
  <si>
    <t>kg Hg/kg Hg released totally</t>
  </si>
  <si>
    <t>Y</t>
  </si>
  <si>
    <t>Use of pipeline gas (consumer quality)</t>
  </si>
  <si>
    <t>Use of raw or pre-cleaned natural gas</t>
  </si>
  <si>
    <t xml:space="preserve">*1: The estimated quantities include mercury in products which has also been accounted for under each product category. </t>
  </si>
  <si>
    <t>in the total for mercury inputs. These 10% represent approximately the mercury input to waste from materials which were not quantified individually in Inventory Level 1 of this Toolkit.</t>
  </si>
  <si>
    <t xml:space="preserve">*2: The estimated quantities include mercury in products which has also been accounted for under each product category. </t>
  </si>
  <si>
    <t>Waste water system/treatment *3</t>
  </si>
  <si>
    <t>Controlled landfils/deposits *1</t>
  </si>
  <si>
    <t xml:space="preserve">*3: The estimated input and release to water include mercury amounts which have also been accounted for under each source category. </t>
  </si>
  <si>
    <t>Waste water system/treatment *2</t>
  </si>
  <si>
    <r>
      <t>Waste deposition</t>
    </r>
    <r>
      <rPr>
        <sz val="10"/>
        <rFont val="Arial"/>
        <family val="2"/>
      </rPr>
      <t>*1</t>
    </r>
  </si>
  <si>
    <t xml:space="preserve">*2: The estimated release to water include mercury amounts which have also been accounted for under each source category. </t>
  </si>
  <si>
    <t>To avoid double counting, input to, and release to water from, waste water system/treatment have been subtracted automatically in the TOTALS.</t>
  </si>
  <si>
    <t>Original English version</t>
  </si>
  <si>
    <t>N</t>
  </si>
  <si>
    <t>Can be changed according to language</t>
  </si>
  <si>
    <t>Not to be changed</t>
  </si>
  <si>
    <t>Present?</t>
  </si>
  <si>
    <t>Enter translation (in white cells only)</t>
  </si>
  <si>
    <t>Y/N</t>
  </si>
  <si>
    <t>White cells:</t>
  </si>
  <si>
    <t>Yellow cells:</t>
  </si>
  <si>
    <t>Important for translators, in this sheet:</t>
  </si>
  <si>
    <t>See Appendix 1 to the Inventory Level1 Guideline for more explanation.</t>
  </si>
  <si>
    <t>To avoid double counting, the release to land from informal dumping of general waste has been subtracted automatically in the TOTALS.</t>
  </si>
  <si>
    <r>
      <t xml:space="preserve">To avoid double counting, the release to </t>
    </r>
    <r>
      <rPr>
        <u/>
        <sz val="10"/>
        <rFont val="Arial"/>
        <family val="2"/>
      </rPr>
      <t>land</t>
    </r>
    <r>
      <rPr>
        <sz val="10"/>
        <rFont val="Arial"/>
        <family val="2"/>
      </rPr>
      <t xml:space="preserve"> from informal dumping of general waste has been subtracted automatically in the TOTALS.</t>
    </r>
  </si>
  <si>
    <r>
      <t xml:space="preserve">To avoid double counting, </t>
    </r>
    <r>
      <rPr>
        <u/>
        <sz val="10"/>
        <rFont val="Arial"/>
        <family val="2"/>
      </rPr>
      <t>input to, and release to water from</t>
    </r>
    <r>
      <rPr>
        <sz val="10"/>
        <rFont val="Arial"/>
        <family val="2"/>
      </rPr>
      <t>, waste water system/treatment have been subtracted automatically in the TOTALS.</t>
    </r>
  </si>
  <si>
    <t>Informal dumping of general waste *1*2</t>
  </si>
  <si>
    <t>Version:</t>
  </si>
  <si>
    <t>Waste incineration and open waste burning*1</t>
  </si>
  <si>
    <t>*1: To avoid double counting of mercury inputs from waste and products in the input TOTAL, only 10% of the mercury input to waste incineration sources, waste deposition and informal dumping is included</t>
  </si>
  <si>
    <t>Incineration of municipal/general waste*1</t>
  </si>
  <si>
    <t>Incineration of hazardous waste*1</t>
  </si>
  <si>
    <t>Incineration of medical waste*1</t>
  </si>
  <si>
    <t>Sewage sludge incineration*1</t>
  </si>
  <si>
    <t>Open fire waste burning (on landfills and informally)*1</t>
  </si>
  <si>
    <t>Other fossil fuel and biomass combustion*4</t>
  </si>
  <si>
    <t>Other production of chemicals and polymers*6</t>
  </si>
  <si>
    <t>Use and disposal of other products*7</t>
  </si>
  <si>
    <t>*4: Includes petroleum coke, heavy oil, diesel, gasoil, petroleum, kerosene, natural gas, charcoal and other biofules.</t>
  </si>
  <si>
    <t>*5: Includes production of cement and pulp and paper.</t>
  </si>
  <si>
    <t>*6: Includes production of VCM and acetaldehyde</t>
  </si>
  <si>
    <t>Source presence ("Y/N/?") must be entered for all sources for graphics to work properly</t>
  </si>
  <si>
    <t>TOTALS (rounded) *1*2*3</t>
  </si>
  <si>
    <t>NOTE THAT CHART LAYOUTS MAY NEED MINOR EDITING TO DISPLAY WELL IN YOUR REPORT (the display is depending on your results)</t>
  </si>
  <si>
    <t xml:space="preserve">*2:  Waste is not an original source to mercury input to society. The estimated quantities include mercury in products which has also been accounted for under each product category. </t>
  </si>
  <si>
    <r>
      <t xml:space="preserve">To signal the importance of this release pathway, the release to </t>
    </r>
    <r>
      <rPr>
        <u/>
        <sz val="10"/>
        <rFont val="Arial"/>
        <family val="2"/>
      </rPr>
      <t>land</t>
    </r>
    <r>
      <rPr>
        <sz val="10"/>
        <rFont val="Arial"/>
        <family val="2"/>
      </rPr>
      <t xml:space="preserve"> from informal dumping of general waste has NOT been subtracted in the charts.</t>
    </r>
  </si>
  <si>
    <t>To signal the importance of this release pathway, releases to water via waste water system/treatment has NOT been adjusted in the charts in spite of double counting.</t>
  </si>
  <si>
    <t>*7: Includes thermometers, electrical switches and relays, light soruces, batteries, polyurethane with Hg catalyst, paints and skin creams with Hg, blood pressure guages</t>
  </si>
  <si>
    <t>and other manometers, lab chemicals, and other lab and medical uses.</t>
  </si>
  <si>
    <t>from materials which were not quantified individually in Inventory Level 1 of this Toolkit. See Appendix 1 to the Inventory Level1 Guideline for more explanation.</t>
  </si>
  <si>
    <t>*1: Waste is not an original source to mercury input to society. To avoid double counting of mercury inputs from waste and products in the graphs, only 10% of the mercury input to</t>
  </si>
  <si>
    <r>
      <t xml:space="preserve">waste incineration, waste deposition and informal dumping is included in the chart for mercury </t>
    </r>
    <r>
      <rPr>
        <u/>
        <sz val="10"/>
        <rFont val="Arial"/>
        <family val="2"/>
      </rPr>
      <t>inputs.</t>
    </r>
    <r>
      <rPr>
        <sz val="10"/>
        <rFont val="Arial"/>
        <family val="2"/>
      </rPr>
      <t xml:space="preserve"> These 10% represent approximately the mercury input to waste</t>
    </r>
  </si>
  <si>
    <t>*3:  Wastewater is not an original source to mercury input to society. The estimated input and release to water include mercury amounts which have also been accounted</t>
  </si>
  <si>
    <t xml:space="preserve">for under each source category. To avoid double counting, input to waste water system/treatment have been subtracted automatically in the charts. </t>
  </si>
  <si>
    <t>Copy these notes and show with charts in report</t>
  </si>
  <si>
    <t>NOTE THAT THIS INVENTORY LEVEL 1 - CHARTS SUMMARY TABLE MUST BE USED FOR CHARTS (SPECIALLY DESIGNED TO NEUTRALISE DOUBLE COUNTING OF WASTE CONTRIBUTIONS; SEE NOTES)</t>
  </si>
  <si>
    <t>SCROLL DOWN THIS SHEET TO FIND CHARTS ON OTHER SUMMARY RESULTS - COPY CHARTS TO REPORT ALONG WITH THE NOTES ABOVE</t>
  </si>
  <si>
    <t>THIS TABLE IS NOT FOR DISPLAY IN REPORT</t>
  </si>
  <si>
    <r>
      <t xml:space="preserve">VERY IMPORTANT: DO </t>
    </r>
    <r>
      <rPr>
        <b/>
        <sz val="10"/>
        <rFont val="Arial"/>
        <family val="2"/>
      </rPr>
      <t>NOT</t>
    </r>
    <r>
      <rPr>
        <sz val="10"/>
        <rFont val="Arial"/>
        <family val="2"/>
      </rPr>
      <t xml:space="preserve"> CHANGE ANY FORMULAS. CHECK CAREFULLY BEFORE TRANSLATION, WHICH CELLS CONTAIN FORMULAS!</t>
    </r>
  </si>
  <si>
    <t>Production of other chemicals (than chlorine and sodium hydroxide) in Chlor-alkali facilities with mercury-cell technology</t>
  </si>
  <si>
    <t xml:space="preserve">This page includes country specific data for population, access to electricity and number of dental personnel. </t>
  </si>
  <si>
    <t xml:space="preserve">These data are used in background calculations and should not be altered by users. </t>
  </si>
  <si>
    <t>UNEP may update data here regularly, as updates become available and as feasible.</t>
  </si>
  <si>
    <t>Country</t>
  </si>
  <si>
    <t>Afghanistan</t>
  </si>
  <si>
    <t>Algeria</t>
  </si>
  <si>
    <t>Angola</t>
  </si>
  <si>
    <t>Argentina</t>
  </si>
  <si>
    <t>Armenia</t>
  </si>
  <si>
    <t>Austria</t>
  </si>
  <si>
    <t>Bahrain</t>
  </si>
  <si>
    <t>Bangladesh</t>
  </si>
  <si>
    <t>Belgium</t>
  </si>
  <si>
    <t>Benin</t>
  </si>
  <si>
    <t>Bolivia</t>
  </si>
  <si>
    <t>Botswana</t>
  </si>
  <si>
    <t>Brazil</t>
  </si>
  <si>
    <t>Brunei Darussalam</t>
  </si>
  <si>
    <t>Burkina Faso</t>
  </si>
  <si>
    <t>Cambodia</t>
  </si>
  <si>
    <t>Cameroon</t>
  </si>
  <si>
    <t>Chile</t>
  </si>
  <si>
    <t>China</t>
  </si>
  <si>
    <t>Colombia</t>
  </si>
  <si>
    <t>Costa Rica</t>
  </si>
  <si>
    <t>Côte d'Ivoire</t>
  </si>
  <si>
    <t>Cuba</t>
  </si>
  <si>
    <t>Democratic People's Republic of Korea</t>
  </si>
  <si>
    <t>Democratic Republic of the Congo</t>
  </si>
  <si>
    <t>Denmark</t>
  </si>
  <si>
    <t>Dominican Republic</t>
  </si>
  <si>
    <t>Ecuador</t>
  </si>
  <si>
    <t>Egypt</t>
  </si>
  <si>
    <t>El Salvador</t>
  </si>
  <si>
    <t>Eritrea</t>
  </si>
  <si>
    <t>Fiji</t>
  </si>
  <si>
    <t>Finland</t>
  </si>
  <si>
    <t>France</t>
  </si>
  <si>
    <t>Gabon</t>
  </si>
  <si>
    <t>Germany</t>
  </si>
  <si>
    <t>Ghana</t>
  </si>
  <si>
    <t>Greece</t>
  </si>
  <si>
    <t>Guatemala</t>
  </si>
  <si>
    <t>Haiti</t>
  </si>
  <si>
    <t>Honduras</t>
  </si>
  <si>
    <t>Iceland</t>
  </si>
  <si>
    <t>India</t>
  </si>
  <si>
    <t>Indonesia</t>
  </si>
  <si>
    <t>Iran, Islamic Republic of</t>
  </si>
  <si>
    <t>Iraq</t>
  </si>
  <si>
    <t>Ireland</t>
  </si>
  <si>
    <t>Israel</t>
  </si>
  <si>
    <t>Italy</t>
  </si>
  <si>
    <t>Jamaica</t>
  </si>
  <si>
    <t>Jordan</t>
  </si>
  <si>
    <t>Kenya</t>
  </si>
  <si>
    <t>Kuwait</t>
  </si>
  <si>
    <t>Kyrgyzstan</t>
  </si>
  <si>
    <t>Lao People's Democratic Republic</t>
  </si>
  <si>
    <t>Lebanon</t>
  </si>
  <si>
    <t>Lesotho</t>
  </si>
  <si>
    <t>Libyan Arab Jamahiriya</t>
  </si>
  <si>
    <t>Luxembourg</t>
  </si>
  <si>
    <t>Madagascar</t>
  </si>
  <si>
    <t>Malaysia</t>
  </si>
  <si>
    <t>Malta</t>
  </si>
  <si>
    <t>Mauritius</t>
  </si>
  <si>
    <t>Monaco</t>
  </si>
  <si>
    <t>Morocco</t>
  </si>
  <si>
    <t>Mozambique</t>
  </si>
  <si>
    <t>Myanmar</t>
  </si>
  <si>
    <t>Namibia</t>
  </si>
  <si>
    <t>Nepal</t>
  </si>
  <si>
    <t>Netherlands</t>
  </si>
  <si>
    <t>Nicaragua</t>
  </si>
  <si>
    <t>Nigeria</t>
  </si>
  <si>
    <t>Norway</t>
  </si>
  <si>
    <t>Oman</t>
  </si>
  <si>
    <t>Pakistan</t>
  </si>
  <si>
    <t>Panama</t>
  </si>
  <si>
    <t>Paraguay</t>
  </si>
  <si>
    <t>Peru</t>
  </si>
  <si>
    <t>Philippines</t>
  </si>
  <si>
    <t>Portugal</t>
  </si>
  <si>
    <t>Qatar</t>
  </si>
  <si>
    <t>Romania</t>
  </si>
  <si>
    <t>Saint Kitts and Nevis</t>
  </si>
  <si>
    <t>Saint Lucia</t>
  </si>
  <si>
    <t>Samoa</t>
  </si>
  <si>
    <t>Saudi Arabia</t>
  </si>
  <si>
    <t>Senegal</t>
  </si>
  <si>
    <t>Slovakia</t>
  </si>
  <si>
    <t>Slovenia</t>
  </si>
  <si>
    <t>South Africa</t>
  </si>
  <si>
    <t>Spain</t>
  </si>
  <si>
    <t>Sri Lanka</t>
  </si>
  <si>
    <t>Sudan</t>
  </si>
  <si>
    <t>Sweden</t>
  </si>
  <si>
    <t>Switzerland</t>
  </si>
  <si>
    <t>Syrian Arab Republic</t>
  </si>
  <si>
    <t>Thailand</t>
  </si>
  <si>
    <t>Timor-Leste</t>
  </si>
  <si>
    <t>Togo</t>
  </si>
  <si>
    <t>Tonga</t>
  </si>
  <si>
    <t>Trinidad and Tobago</t>
  </si>
  <si>
    <t>Tunisia</t>
  </si>
  <si>
    <t>Uganda</t>
  </si>
  <si>
    <t>Ukraine</t>
  </si>
  <si>
    <t>United Arab Emirates</t>
  </si>
  <si>
    <t>United Kingdom</t>
  </si>
  <si>
    <t>United Republic of Tanzania</t>
  </si>
  <si>
    <t>United States of America</t>
  </si>
  <si>
    <t>Uruguay</t>
  </si>
  <si>
    <t>Uzbekistan</t>
  </si>
  <si>
    <t>Venezuela, Bolivarian Republic of</t>
  </si>
  <si>
    <t>Yemen</t>
  </si>
  <si>
    <t>Zambia</t>
  </si>
  <si>
    <t>Zimbabwe</t>
  </si>
  <si>
    <r>
      <t xml:space="preserve">Figures computed by WHO to ensure comparability; </t>
    </r>
    <r>
      <rPr>
        <sz val="10"/>
        <rFont val="Arial"/>
        <family val="2"/>
      </rPr>
      <t>they are not necessarily the official statistics of Member States, which may use alternative rigorous methods. See explanatory notes for sources and methods.</t>
    </r>
  </si>
  <si>
    <t>MERCURY INVENTORY FOR (INSERT COUNTRY NAME):</t>
  </si>
  <si>
    <t>electricification rate, %</t>
  </si>
  <si>
    <t>o</t>
  </si>
  <si>
    <t>Other non-OECD country</t>
  </si>
  <si>
    <t>Other OECD country</t>
  </si>
  <si>
    <t>Viet Nam*4</t>
  </si>
  <si>
    <t>OECD average of dental density</t>
  </si>
  <si>
    <t>Non-OECD 20% percentile</t>
  </si>
  <si>
    <t>*4: Dental personnel density assumed as average of Lao and Cambodia</t>
  </si>
  <si>
    <t>Montenegro*5</t>
  </si>
  <si>
    <t>For non-OECD countries with dental personnel density values below the 20% percentile for this group in the original data, the 20% percentile was used in calculations in order to eliminate errors of reporting.</t>
  </si>
  <si>
    <t>Dental personnel per 1000 inhabitants</t>
  </si>
  <si>
    <t>Non-OECD average of dental personnel density</t>
  </si>
  <si>
    <t>d</t>
  </si>
  <si>
    <t>o,d</t>
  </si>
  <si>
    <t>For references, see the relevant sections in the Toolkit Reference report.</t>
  </si>
  <si>
    <t>Population (select country below to find population)</t>
  </si>
  <si>
    <t>Electrification rate *2</t>
  </si>
  <si>
    <t>Albania*8</t>
  </si>
  <si>
    <t>Andorra*7</t>
  </si>
  <si>
    <t>Antigua and Barbuda*8</t>
  </si>
  <si>
    <t>Australia*8</t>
  </si>
  <si>
    <t>Azerbaijan*8</t>
  </si>
  <si>
    <t>Bahamas*8</t>
  </si>
  <si>
    <t>Barbados*8</t>
  </si>
  <si>
    <t>Belarus*9</t>
  </si>
  <si>
    <t>Belize*8</t>
  </si>
  <si>
    <t>Bhutan*6</t>
  </si>
  <si>
    <t>Bosnia and Herzegovina*6</t>
  </si>
  <si>
    <t>Bulgaria*8</t>
  </si>
  <si>
    <t>Burundi*6</t>
  </si>
  <si>
    <t>Canada*9</t>
  </si>
  <si>
    <t>Cape Verde*6</t>
  </si>
  <si>
    <t>Central African Republic*6</t>
  </si>
  <si>
    <t>Chad*6</t>
  </si>
  <si>
    <t>Comoros*6</t>
  </si>
  <si>
    <t>Republic of the Congo</t>
  </si>
  <si>
    <t>Cook Islands*8</t>
  </si>
  <si>
    <t>Croatia*8</t>
  </si>
  <si>
    <t>Cyprus*9</t>
  </si>
  <si>
    <t>Czech Republic*8</t>
  </si>
  <si>
    <t>Djibouti*6</t>
  </si>
  <si>
    <t>Dominica*6</t>
  </si>
  <si>
    <t>Estonia*8</t>
  </si>
  <si>
    <t>Gambia*6</t>
  </si>
  <si>
    <t>Georgia*6</t>
  </si>
  <si>
    <t>Grenada*8</t>
  </si>
  <si>
    <t>Guinea*6</t>
  </si>
  <si>
    <t>Guinea-Bissau*6</t>
  </si>
  <si>
    <t>Guyana*6</t>
  </si>
  <si>
    <t>Hungary*8</t>
  </si>
  <si>
    <t>Japan*8</t>
  </si>
  <si>
    <t>Kazakhstan*9</t>
  </si>
  <si>
    <t>Latvia*8</t>
  </si>
  <si>
    <t>Liberia*6</t>
  </si>
  <si>
    <t>Lithuania*8</t>
  </si>
  <si>
    <t>Maldives*6</t>
  </si>
  <si>
    <t>Mali*6</t>
  </si>
  <si>
    <t>Marshall Islands*8</t>
  </si>
  <si>
    <t>Mauritania*8</t>
  </si>
  <si>
    <t>Mexico*8</t>
  </si>
  <si>
    <t>Micronesia, Federated States of*8</t>
  </si>
  <si>
    <t>Mongolia*8</t>
  </si>
  <si>
    <t>New Zealand*8</t>
  </si>
  <si>
    <t>Niger*8</t>
  </si>
  <si>
    <t>Niue*8</t>
  </si>
  <si>
    <t>Palau*8</t>
  </si>
  <si>
    <t>Papua New Guinea*6</t>
  </si>
  <si>
    <t>Poland*8</t>
  </si>
  <si>
    <t>Republic of Korea*8</t>
  </si>
  <si>
    <t>Republic of Moldova*6</t>
  </si>
  <si>
    <t>Russian Federation*8</t>
  </si>
  <si>
    <t>Rwanda*6</t>
  </si>
  <si>
    <t>Saint Vincent and the Grenadines*6</t>
  </si>
  <si>
    <t>San Marino*9</t>
  </si>
  <si>
    <t>Sao Tome and Principe*8</t>
  </si>
  <si>
    <t>Serbia*5*8</t>
  </si>
  <si>
    <t>Seychelles*8</t>
  </si>
  <si>
    <t>Sierra Leone*6</t>
  </si>
  <si>
    <t>Singapore*8</t>
  </si>
  <si>
    <t>Solomon Islands*6</t>
  </si>
  <si>
    <t>Somalia*8</t>
  </si>
  <si>
    <t>Suriname*8</t>
  </si>
  <si>
    <t>Tajikistan*8</t>
  </si>
  <si>
    <t>The former Yugoslav Republic of Macedonia*8</t>
  </si>
  <si>
    <t>Turkey*8</t>
  </si>
  <si>
    <t>Turkmenistan*8</t>
  </si>
  <si>
    <t>Tuvalu*8</t>
  </si>
  <si>
    <t>*1: Source: WHO: World health report 2006, Annex, Table 4: Global distribution of health workers in WHO Member States. Accessed June 2012</t>
  </si>
  <si>
    <t>http://www.who.int/whr/2006/annex/en/index.html</t>
  </si>
  <si>
    <t>*2: Percent of population with access to electricity. Data source: IEA, Electricity access Today – WEO-2011 new Electricity access Database (2009 data country-by-country), accessed June 2012. Except for a few countries; see notes *6, *8 and *9.</t>
  </si>
  <si>
    <t>http://www.worldenergyoutlook.org/resources/energydevelopment/accesstoelectricity/</t>
  </si>
  <si>
    <t>*5: Assumed as Serbia and Montenegro in 2002 (or 2007, see report)</t>
  </si>
  <si>
    <t>http://www.reeep.org/file_upload/296_tmpphpW16ncV.pdf</t>
  </si>
  <si>
    <t xml:space="preserve">*6 Data source for electrification rate: Datamarket.com, accessed Aug. 2012. Data compiled by World Bank staff from households surveys. </t>
  </si>
  <si>
    <t>http://datamarket.com/data/set/1459/household-electrification-rate-of-households#!display=line&amp;ds=1459!g6f=6.12.15.n.g</t>
  </si>
  <si>
    <t>*7 Electrification rate assumed as Spain, Italy and France.</t>
  </si>
  <si>
    <t>*8  Data source for electrification rate: reegle www.regel.info -&gt; Resources &amp; Services (mostly 2000 data)</t>
  </si>
  <si>
    <t>http://www.reegle.info/countries</t>
  </si>
  <si>
    <t>*9  Data source for electrification rate: The U.S. National geophysical data center: If no other data/estimations were available, this source was used. The data are based on areas with electrification, and not by population.</t>
  </si>
  <si>
    <t>http://www.ngdc.noaa.gov/dmsp/pubs/Elvidge_WINTD_20091022.pdf</t>
  </si>
  <si>
    <t>Dental personnel per 1000 inhabitants (adjusted)*1</t>
  </si>
  <si>
    <t>Dental personnel per 1000 inhabitants (original WHO data)</t>
  </si>
  <si>
    <t>Year for dental personnel data*1</t>
  </si>
  <si>
    <t>*10: Assumed = average of (mainland) China and Japan.</t>
  </si>
  <si>
    <t>Chinese Taipei/Taiwan*10</t>
  </si>
  <si>
    <t>*11: Electrification rate assumed as Gabon.</t>
  </si>
  <si>
    <t>Equatorial Guinea*11</t>
  </si>
  <si>
    <t>Kiribati*12</t>
  </si>
  <si>
    <t>*12: Electrification rate assumed as Micronesia, Federated States of.</t>
  </si>
  <si>
    <t>Ethiopia*8*13</t>
  </si>
  <si>
    <t>Non-OECD average, electrification rates</t>
  </si>
  <si>
    <t>1-Click here to select country</t>
  </si>
  <si>
    <t>Tanzania*6*13</t>
  </si>
  <si>
    <t>*13: Dental personnel density assumed as Kenya.</t>
  </si>
  <si>
    <t>Nauru*8*12</t>
  </si>
  <si>
    <t>Malawi*14</t>
  </si>
  <si>
    <t>*14: Dental personnel density assumed as Mozambique.</t>
  </si>
  <si>
    <t>Vanuatu*8*12</t>
  </si>
  <si>
    <t>IMPORTANT NOTE:</t>
  </si>
  <si>
    <r>
      <rPr>
        <b/>
        <sz val="10"/>
        <rFont val="Arial"/>
        <family val="2"/>
      </rPr>
      <t>Compulsory</t>
    </r>
    <r>
      <rPr>
        <sz val="10"/>
        <rFont val="Arial"/>
        <family val="2"/>
      </rPr>
      <t>: Click cell below and select country from list</t>
    </r>
  </si>
  <si>
    <t>Electrification rate, %  of population with access to electricity</t>
  </si>
  <si>
    <t>Enter calculated Hg releases in Kg Hg/y</t>
  </si>
  <si>
    <t>Enter calculated Hg input in Kg Hg/y</t>
  </si>
  <si>
    <t>Hg input</t>
  </si>
  <si>
    <t>If you have calculated inventory results for selected mercury source categories in Inventory Level 2, the results can be entered here to be included in summary result tables (see Inventory Level 1 Guideline for advice).</t>
  </si>
  <si>
    <t>Source Category no.</t>
  </si>
  <si>
    <t>Insert notes (document also in detail in inventory report):</t>
  </si>
  <si>
    <t>(any insertion here will disrupt summary presentation of IL1 results for same source categories).</t>
  </si>
  <si>
    <t>INVENTORY LEVEL 1 (IL1) - INSERTION OF INVENTORY LEVEL2 (IL2) RESULTS, IF ANY</t>
  </si>
  <si>
    <t>Incineration and open burning of medical waste*1</t>
  </si>
  <si>
    <t>Primary ferrous metal production (pig iron production)</t>
  </si>
  <si>
    <t>Aggregates</t>
  </si>
  <si>
    <t>UNIT CONVERSION</t>
  </si>
  <si>
    <t>As a help for the user, the Toolkit provides some examples of convertion rates below with a possibility to calculate conversions here.</t>
  </si>
  <si>
    <t>Source type</t>
  </si>
  <si>
    <t>t zinc produced/y</t>
  </si>
  <si>
    <t>Unit for alternative activity rate (must be exactly this one)</t>
  </si>
  <si>
    <t>Unit of Toolkit activity rate</t>
  </si>
  <si>
    <t>Conversion factor used</t>
  </si>
  <si>
    <t>Enter alternative activity rate data</t>
  </si>
  <si>
    <t>t copper produced/y</t>
  </si>
  <si>
    <t>t lead produced/y</t>
  </si>
  <si>
    <t>t gold produced/y</t>
  </si>
  <si>
    <t>t raw aluminum metal produced/y</t>
  </si>
  <si>
    <t>TJ (Terajoule) gas used/y</t>
  </si>
  <si>
    <t>TJ (Terajoule) gas produced/y</t>
  </si>
  <si>
    <t>Nm3/TJ</t>
  </si>
  <si>
    <t>Nm3 gas used/y</t>
  </si>
  <si>
    <t>Nm3 gas produced/y</t>
  </si>
  <si>
    <t>t bauxit processed/t aluminium metal produced</t>
  </si>
  <si>
    <t>Calculated Toolkit activity rate (copy to relevant cell)</t>
  </si>
  <si>
    <t>References and remarks</t>
  </si>
  <si>
    <t>Unit for conversion factor</t>
  </si>
  <si>
    <t>More than 2/3 (two thirds; 67%) of the general waste is collected and deposited on lined landfills or incinerated with pollution abatement</t>
  </si>
  <si>
    <t>Less than 2/3 (two thirds; 67%) of the general waste is collected and deposited on lined landfills or incinerated with pollution abatement</t>
  </si>
  <si>
    <t>Application, use and disposal of dental amalgam fillings</t>
  </si>
  <si>
    <t>which are not sold in the same country or in the same year.</t>
  </si>
  <si>
    <r>
      <t xml:space="preserve"> informal dumping is included in the total for mercury </t>
    </r>
    <r>
      <rPr>
        <u/>
        <sz val="10"/>
        <rFont val="Arial"/>
        <family val="2"/>
      </rPr>
      <t>inputs.</t>
    </r>
    <r>
      <rPr>
        <sz val="10"/>
        <rFont val="Arial"/>
        <family val="2"/>
      </rPr>
      <t xml:space="preserve"> These 10% represent approximately the mercury input to waste from materials which were not quantified </t>
    </r>
  </si>
  <si>
    <t>individually in Inventory Level 1 of this Toolkit. See Appendix 1 to the Inventory Level1 Guideline for more explanation.</t>
  </si>
  <si>
    <t>Production of products with mercury content*4</t>
  </si>
  <si>
    <t>Production of products with mercury content*1</t>
  </si>
  <si>
    <t>Waste incineration and open waste burning*2</t>
  </si>
  <si>
    <t>Informal dumping of general waste *2*3</t>
  </si>
  <si>
    <t>Waste water system/treatment *4</t>
  </si>
  <si>
    <t>Percent of total releases *3*4</t>
  </si>
  <si>
    <t>*2: To avoid double counting of mercury inputs from waste and products in the input TOTAL, only 10% of the mercury input to waste incineration, waste deposition and</t>
  </si>
  <si>
    <t xml:space="preserve">*3: The estimated quantities include mercury in products which has also been accounted for under each product category. </t>
  </si>
  <si>
    <t xml:space="preserve">*4: The estimated input and release to water include mercury amounts which have also been accounted for under each source category. </t>
  </si>
  <si>
    <t>*5: Total inputs do not necessarily equal total outputs due to corrections for double counting (see notes*1-*3) and because some mercury follows products/metal mercury</t>
  </si>
  <si>
    <t xml:space="preserve"> are included in the input TOTAL.</t>
  </si>
  <si>
    <r>
      <t xml:space="preserve">*1 To avoid double counting of mercury in products produced domestically and sold on the domestic market (including oil and gas), only the part of mercury inputs </t>
    </r>
    <r>
      <rPr>
        <i/>
        <sz val="10"/>
        <rFont val="Arial"/>
        <family val="2"/>
      </rPr>
      <t>released</t>
    </r>
    <r>
      <rPr>
        <sz val="10"/>
        <rFont val="Arial"/>
        <family val="2"/>
      </rPr>
      <t xml:space="preserve"> from production</t>
    </r>
  </si>
  <si>
    <t>Waste deposition*2</t>
  </si>
  <si>
    <t>Total releases *3*4*5</t>
  </si>
  <si>
    <r>
      <t xml:space="preserve">*4 To avoid double counting of mercury in products produced domestically and sold on the domestic market (inlucing oil and gas), only the part of mercury inputs </t>
    </r>
    <r>
      <rPr>
        <i/>
        <sz val="10"/>
        <rFont val="Arial"/>
        <family val="2"/>
      </rPr>
      <t>released</t>
    </r>
    <r>
      <rPr>
        <sz val="10"/>
        <rFont val="Arial"/>
        <family val="2"/>
      </rPr>
      <t xml:space="preserve"> from production are included in the input TOTAL.</t>
    </r>
  </si>
  <si>
    <t>1 - 66</t>
  </si>
  <si>
    <t>5 - 130</t>
  </si>
  <si>
    <t>Smelters with wet gas cleaning and acid plant</t>
  </si>
  <si>
    <t>1-100</t>
  </si>
  <si>
    <t>2-60</t>
  </si>
  <si>
    <t>1 - 30</t>
  </si>
  <si>
    <t>/without  co-incineration of waste</t>
  </si>
  <si>
    <t>/with co-incineration of waste</t>
  </si>
  <si>
    <t>0.004 – 0.5</t>
  </si>
  <si>
    <t>0.06 – 1</t>
  </si>
  <si>
    <t>10 - 200</t>
  </si>
  <si>
    <t>t concentrate used/t zinc produced</t>
  </si>
  <si>
    <t>t concentrate used/t copper produced</t>
  </si>
  <si>
    <t>t concentrate used/t lead produced</t>
  </si>
  <si>
    <t>UNEP/AMAP (2012)</t>
  </si>
  <si>
    <t>kg/item</t>
  </si>
  <si>
    <t>kg</t>
  </si>
  <si>
    <t>This list is not complete, and conversion rates for other source types needs to be found elsewhere, for example on the Internet.</t>
  </si>
  <si>
    <t>1.3</t>
  </si>
  <si>
    <t>Extraction from whole ore (no retort use)</t>
  </si>
  <si>
    <t>Extraction from concentrate  (no retort use)</t>
  </si>
  <si>
    <t>Extraction from concentrate and with use of retorts and mercury recycling</t>
  </si>
  <si>
    <t>Universal maximum</t>
  </si>
  <si>
    <t>Country-specific threshold</t>
  </si>
  <si>
    <t>(threshold times population)</t>
  </si>
  <si>
    <t>Hg input, kg/y</t>
  </si>
  <si>
    <t>Safety factor</t>
  </si>
  <si>
    <t>(general:)</t>
  </si>
  <si>
    <t xml:space="preserve">SKIP - -NO DATA </t>
  </si>
  <si>
    <t>SKIP -no need</t>
  </si>
  <si>
    <t>(custom factors in red based on expert judgement)</t>
  </si>
  <si>
    <t>Resulting generic threshold/per capita</t>
  </si>
  <si>
    <t>Hg input, kg/(capita*y)</t>
  </si>
  <si>
    <t>User input</t>
  </si>
  <si>
    <t>User input within bounds?</t>
  </si>
  <si>
    <t>Notes: See Appendix 1 to Inventory Level 1 Guideline on background for numbers.</t>
  </si>
  <si>
    <t>Note also: Worksheets and workbook are protected with password to avoid un-intentional damages to calculations.</t>
  </si>
  <si>
    <r>
      <rPr>
        <b/>
        <sz val="10"/>
        <rFont val="Arial"/>
        <family val="2"/>
      </rPr>
      <t>Non-country inventories</t>
    </r>
    <r>
      <rPr>
        <sz val="10"/>
        <rFont val="Arial"/>
        <family val="2"/>
      </rPr>
      <t>: In case you make this inventory for a non-country territory (a city, a region, etc.), you should select a country relevant to the conditions prevailing in the territory,</t>
    </r>
  </si>
  <si>
    <t>as this adjusts the calculated estimates according to the conditions. You need however ALSO to enter the population of the territory MANUALLY in cell B6 above (overwrite the automatically stated number).</t>
  </si>
  <si>
    <t>Note that any data and calculations inserted in Steps 1-7 for the same source categories are overruled, by the IL2 results inserted in the current sheet, in all summary and chart sheets.</t>
  </si>
  <si>
    <t>Oil product combusted, t/y</t>
  </si>
  <si>
    <t>Biomass combusted, t/y</t>
  </si>
  <si>
    <t>Charcoal combusted, t/y</t>
  </si>
  <si>
    <t>Crude oil produced, t/y</t>
  </si>
  <si>
    <t>Crude oil refined, t/y</t>
  </si>
  <si>
    <t>Gas produced, Nm³/y</t>
  </si>
  <si>
    <r>
      <t xml:space="preserve">Coal combusted, </t>
    </r>
    <r>
      <rPr>
        <sz val="10"/>
        <rFont val="Arial"/>
        <family val="2"/>
      </rPr>
      <t>t/y</t>
    </r>
    <r>
      <rPr>
        <sz val="8"/>
        <rFont val="Times New Roman"/>
        <family val="1"/>
      </rPr>
      <t> </t>
    </r>
  </si>
  <si>
    <t>Coal used, t/y</t>
  </si>
  <si>
    <t>Gas used, Nm³/y</t>
  </si>
  <si>
    <t>Mercury produced, t/y</t>
  </si>
  <si>
    <t>Concentrate used, t/y</t>
  </si>
  <si>
    <t>Gold ore used, t/y</t>
  </si>
  <si>
    <t>Bauxit processed, t/y</t>
  </si>
  <si>
    <t>Pig iron produced, t/y</t>
  </si>
  <si>
    <t>Gold produced, kg/y</t>
  </si>
  <si>
    <t>Biomass used for production, t/y</t>
  </si>
  <si>
    <r>
      <t>Cl</t>
    </r>
    <r>
      <rPr>
        <vertAlign val="subscript"/>
        <sz val="10"/>
        <rFont val="Arial"/>
        <family val="2"/>
      </rPr>
      <t>2</t>
    </r>
    <r>
      <rPr>
        <sz val="10"/>
        <rFont val="Arial"/>
        <family val="2"/>
      </rPr>
      <t xml:space="preserve"> produced, t/y </t>
    </r>
  </si>
  <si>
    <t xml:space="preserve">VCM produced, t/y </t>
  </si>
  <si>
    <t>Acetaldehyde produced, t/y</t>
  </si>
  <si>
    <t>Mercury used for production, kg/y</t>
  </si>
  <si>
    <t xml:space="preserve">Mercury produced, kg/y </t>
  </si>
  <si>
    <t>Number of vehicles recycled/y</t>
  </si>
  <si>
    <t xml:space="preserve">Waste incinerated, t/y </t>
  </si>
  <si>
    <t>Waste incinerated, t/y</t>
  </si>
  <si>
    <t>Waste landfilled, t/y</t>
  </si>
  <si>
    <t>Waste dumped, t/y</t>
  </si>
  <si>
    <r>
      <t>Waste water, m</t>
    </r>
    <r>
      <rPr>
        <vertAlign val="superscript"/>
        <sz val="10"/>
        <rFont val="Arial"/>
        <family val="2"/>
      </rPr>
      <t>3</t>
    </r>
    <r>
      <rPr>
        <sz val="10"/>
        <rFont val="Arial"/>
        <family val="2"/>
      </rPr>
      <t xml:space="preserve">/y </t>
    </r>
  </si>
  <si>
    <t xml:space="preserve">Waste burned, t/y </t>
  </si>
  <si>
    <t>Number of inhabitants</t>
  </si>
  <si>
    <t>Number of dental personnel per 1000 inhab.</t>
  </si>
  <si>
    <t>Items sold/y</t>
  </si>
  <si>
    <t>Batteries sold, t/y</t>
  </si>
  <si>
    <t>Electricification rate, %</t>
  </si>
  <si>
    <t>Paint sold, t/y</t>
  </si>
  <si>
    <t>Cream or soap sold, t/y</t>
  </si>
  <si>
    <t>Corpses cremated/y</t>
  </si>
  <si>
    <t>Corpses buried/y</t>
  </si>
  <si>
    <t>The designations employed and the presentation of the material in this publication do not imply the expression of any opinion whatsoever on the part of the United Nations Environment Programme concerning the legal status of any country, territory, city or area or of its authorities, or concerning delimitation of its frontiers or boundaries. Moreover, the views expressed do not necessarily represent the decision or the stated policy of the United Nations Environment Programme, nor does citing of trade names or commercial processes constitute endorsement.</t>
  </si>
  <si>
    <t>Source presence (y/n/?) and activity rate data must always be entered in the appropriate Step page in this spreadsheet, also when Inventory Level 2 results are introduced.</t>
  </si>
  <si>
    <t xml:space="preserve">Hg thermometers (medical, air, lab, industrial etc.) </t>
  </si>
  <si>
    <t xml:space="preserve">Electrical switches and relays with mercury </t>
  </si>
  <si>
    <t xml:space="preserve">Light sources with mercury (fluorescent, compact, others: see guideline) </t>
  </si>
  <si>
    <t xml:space="preserve">Batteries with mercury </t>
  </si>
  <si>
    <t xml:space="preserve">Manometers and gauges with mercury </t>
  </si>
  <si>
    <t xml:space="preserve">Biocides and pesticides with mercury </t>
  </si>
  <si>
    <t xml:space="preserve">Paints with mercury </t>
  </si>
  <si>
    <t xml:space="preserve">Skin lightening creams and soaps with mercury chemicals </t>
  </si>
  <si>
    <t>**</t>
  </si>
  <si>
    <t>BACKGROUND DATA NEEDED FOR DEFAULT CALCULATIONS AND RANGE TEST</t>
  </si>
  <si>
    <t>CREMATORIA AND CEMETERIES</t>
  </si>
  <si>
    <t>STANDARD CHARTS TO BE USED IN INVENTORY REPORTING, SEE DEEP BELOW</t>
  </si>
  <si>
    <t>instead of the results shown above for the same source sub-categories. See the sheet "Insert IL2 results" for details.</t>
  </si>
  <si>
    <t>See entered IL2 results in the sheet "Insert IL2 results".</t>
  </si>
  <si>
    <t>Data shown in green font, if any, were entered in the sheet "Insert IL2 results". Such data overrule the calculated IL1 results for the same source sub-categories, and the IL2 data are shown in all summary and chart sheets,</t>
  </si>
  <si>
    <t>Note: Data for some of these source sub-categories were entered in the sheet "Insert IL2 results". The calculations shown above for the same source sub-categories are overruled by the IL2 results, and the IL2 results are shown in all summary and chart sheets.</t>
  </si>
  <si>
    <t>Combustion/use of diesel, gasoil, petroleum, kerosene, LPG and other light to medium distillates</t>
  </si>
  <si>
    <t>IL2 indi-cator</t>
  </si>
  <si>
    <t>/Combustion of coal mix scenario (special for IL1): 1/3 bituminous, 1/3 sub-bituminous and 1/3 lignite</t>
  </si>
  <si>
    <t>Level 0: None</t>
  </si>
  <si>
    <t>Level 1: Particulate matter simple APC: ESP/PS/CYC</t>
  </si>
  <si>
    <t>Level 2: Particulate matter (FF)</t>
  </si>
  <si>
    <t>Level 3: Efficient APC: PM+SDA/wFGD</t>
  </si>
  <si>
    <t>Level 4: Very efficient APC: PM+FGD+SCR</t>
  </si>
  <si>
    <t>Level 5: Mercury specific filters</t>
  </si>
  <si>
    <t>Coal combustion in coal fired industrial boilers</t>
  </si>
  <si>
    <t>5.1.2.1</t>
  </si>
  <si>
    <t>5.1.2.2</t>
  </si>
  <si>
    <t>/Combustion in industrial boilers of coal mix scenario (special for IL1): 1/3 bituminous, 1/3 sub-bituminous and 1/3 lignite</t>
  </si>
  <si>
    <t>Power plants with cESP and FGD</t>
  </si>
  <si>
    <t>Smelter with no filters or only coarse, dry PM retention</t>
  </si>
  <si>
    <t>Smelters with wet gas cleaning</t>
  </si>
  <si>
    <t>Smelters with wet gas cleaning, acid plant and Hg specific filter</t>
  </si>
  <si>
    <t>IL2 Spreadsheet of UNEP Chemicals' Toolkit for identification and quantification of mercury releases</t>
  </si>
  <si>
    <t>IL2 spreadsheet of UNEP Chemicals' Toolkit for identification and quantification of mercury releases</t>
  </si>
  <si>
    <t>With no filters</t>
  </si>
  <si>
    <t>With filters an no filter dust recycling:</t>
  </si>
  <si>
    <t>Simple particle control (ESP / PS / FF)</t>
  </si>
  <si>
    <t>Optimized particle control (FF+SNCR / FF+WS / ESP+FGD / optimized FF)</t>
  </si>
  <si>
    <t>Efficient Hg pollution control (FF+DS / ESP+DS / ESP+WS / ESP+SNCR)</t>
  </si>
  <si>
    <t>Very efficient Hg pollution control (wetFGD+ACI / FF+scrubber+SNCR)</t>
  </si>
  <si>
    <t>With filters and filter dust recycling *2:</t>
  </si>
  <si>
    <t>Very efficient Hg pollution control (wetFGD+ACI/FF+scrubber+SNCR)</t>
  </si>
  <si>
    <t>Petroleum coke (pet coke)</t>
  </si>
  <si>
    <t>0.001-0.008</t>
  </si>
  <si>
    <t>g Hg/ t cement produced with this fuel</t>
  </si>
  <si>
    <t>Cement produced with this fuel as primary fuel, t/y</t>
  </si>
  <si>
    <t>Hard coal (anthrasite, bituminous or coking coal)</t>
  </si>
  <si>
    <t>0.006-0.05</t>
  </si>
  <si>
    <t>Lignite (brown coal)</t>
  </si>
  <si>
    <t>Fuel oil</t>
  </si>
  <si>
    <t>0.001-0.007</t>
  </si>
  <si>
    <t>Natural gas</t>
  </si>
  <si>
    <t>0.000000002-0.00000003</t>
  </si>
  <si>
    <t>Automatically calculated total of cement produced. Must equal cell I19.</t>
  </si>
  <si>
    <t>Kg Hg/y (incl. fossil fuel contributions)</t>
  </si>
  <si>
    <t>0.005-0.04</t>
  </si>
  <si>
    <t>0.008-0.08</t>
  </si>
  <si>
    <t>0.001-0.006</t>
  </si>
  <si>
    <t>Mercury specific absorbents (and downstream FF)</t>
  </si>
  <si>
    <t>t sludge incinerated/y (dry matter basis)</t>
  </si>
  <si>
    <t>Informal waste burning (open fire waste burning on landfills and informally)</t>
  </si>
  <si>
    <t>(Output scenario (a3) is not relevant as PUR is not considered a waste type to be collected separately)</t>
  </si>
  <si>
    <t>Other coal combustion (in IL1 considered 33/33/33% coal mix as for industrial boilers above)</t>
  </si>
  <si>
    <t>0.009-0.04</t>
  </si>
  <si>
    <t>0.0007-0.007</t>
  </si>
  <si>
    <t>- Fossil fuels used in production (in IL1, and equal mix of energy inputs from fossil fuels pet coal, hard coal, lignite, fuel oil and natural gas is assumed)</t>
  </si>
  <si>
    <t>0: No filters used</t>
  </si>
  <si>
    <t>1: Simple particle filters</t>
  </si>
  <si>
    <t>2: Fabric filters</t>
  </si>
  <si>
    <t>3: Efficient APC</t>
  </si>
  <si>
    <t>4: Very efficient APC</t>
  </si>
  <si>
    <t>5: Mercury specific</t>
  </si>
  <si>
    <t>Error: Sum of entered % must not exceed 100</t>
  </si>
  <si>
    <t>Enter per cent of total activity rate per type:</t>
  </si>
  <si>
    <t>Relevant pollution abatement options (guide: click white cells)</t>
  </si>
  <si>
    <t>ESP or scrubber</t>
  </si>
  <si>
    <t>cESP and FGD</t>
  </si>
  <si>
    <t>No filters used</t>
  </si>
  <si>
    <t>Without mercury removal</t>
  </si>
  <si>
    <t>With mercury removal</t>
  </si>
  <si>
    <t>No filters used or coarse, dry PM retention</t>
  </si>
  <si>
    <t>Wet gas cleaning</t>
  </si>
  <si>
    <t>Wet gas cleaning and acid plant</t>
  </si>
  <si>
    <t>Wet gas cleaning, acid plant and Hg specific filter</t>
  </si>
  <si>
    <t>Gold extraction with mercury amalgamation - from whole ore</t>
  </si>
  <si>
    <t>Use of retorts</t>
  </si>
  <si>
    <t>Gold extraction with mercury amalgamation - from concentrate</t>
  </si>
  <si>
    <t>Extraction from whole ore with retort use and mercury recycling</t>
  </si>
  <si>
    <t>No treatment</t>
  </si>
  <si>
    <t>Mechanical and biological treatment; no land application of sludge</t>
  </si>
  <si>
    <t>Include Hg controls in estimation? (y/n)</t>
  </si>
  <si>
    <t>2) NO/LOW WASTE use as fuel; relevant pollution abatement options</t>
  </si>
  <si>
    <t xml:space="preserve">No retorts used </t>
  </si>
  <si>
    <t>Hg unaccounted for under "Sector specific treatment/disposal" (a</t>
  </si>
  <si>
    <t>Hg unaccounted for as releases (a</t>
  </si>
  <si>
    <t>(a: These two possible presentation forms pertain to the way "unaccounted losses" is chosen to be presented - see the Toolkit report section. It is up to the users to decide which one of the release presentations they choose.</t>
  </si>
  <si>
    <t>Acid gas control +  high efficiency FF or ESP PM retention</t>
  </si>
  <si>
    <t>Mercury specific absorbents + FF</t>
  </si>
  <si>
    <t>ERROR: These two questions must be answered. The combination: "no" in cell B4 and "yes" in cell E4 is not valid.</t>
  </si>
  <si>
    <t>These two questions must be answered for product-related mercury releases to be calculated</t>
  </si>
  <si>
    <r>
      <rPr>
        <b/>
        <sz val="10"/>
        <rFont val="Arial"/>
        <family val="2"/>
      </rPr>
      <t>b)</t>
    </r>
    <r>
      <rPr>
        <sz val="10"/>
        <rFont val="Arial"/>
        <family val="2"/>
      </rPr>
      <t xml:space="preserve"> Is more than 1/3 (one third = 33%) of the mercury-added products waste safely collected and treated separately?</t>
    </r>
  </si>
  <si>
    <t>Please answer questions about the current waste treatment set-up in your country:</t>
  </si>
  <si>
    <t>1) WITH WASTE USED as fuel (&gt;3% of energy); relevant pollution abatement options</t>
  </si>
  <si>
    <t>Efficient air pollution control (FF+DS / ESP+DS / ESP+WS / ESP+SNCR)</t>
  </si>
  <si>
    <t>PM reduction, simple ESP, or similar</t>
  </si>
  <si>
    <t xml:space="preserve">NaOH produced, t/y </t>
  </si>
  <si>
    <t>t NaOH/ t Cl2</t>
  </si>
  <si>
    <t>European Commission, 2001b, p.7</t>
  </si>
  <si>
    <t xml:space="preserve">No filters used </t>
  </si>
  <si>
    <t>Calculated total Hg inputs to general waste:</t>
  </si>
  <si>
    <t>Calculated total Hg outputs to general waste from intentional mercury use:</t>
  </si>
  <si>
    <t>Calcuated total Hg input to wastewater treatment:</t>
  </si>
  <si>
    <t>Calculated total Hg outputs to water from intentional mercury use:</t>
  </si>
  <si>
    <t>Test result for general waste (quote in your report):</t>
  </si>
  <si>
    <t>No emissions controls</t>
  </si>
  <si>
    <t>- Fossil fuels used in production (in IL1, and equal mix of energy inputs from fossil fuels pet coke, hard coal, lignite, fuel oil and natural gas is assumed)</t>
  </si>
  <si>
    <r>
      <rPr>
        <b/>
        <sz val="10"/>
        <rFont val="Arial"/>
        <family val="2"/>
      </rPr>
      <t>a)</t>
    </r>
    <r>
      <rPr>
        <sz val="10"/>
        <rFont val="Arial"/>
        <family val="2"/>
      </rPr>
      <t xml:space="preserve"> Is more than 2/3 (two thirds = 67%) of the general waste collected and deposited on lined landfills or incinerated in closed incinerators?</t>
    </r>
  </si>
  <si>
    <t>Mechanical and biological treatment; with &gt;40% of sludge used for land application</t>
  </si>
  <si>
    <t>More than 1/3 (one third = 33%) of the mercury-added products waste is safely collected and treated separately</t>
  </si>
  <si>
    <t>Less than 1/3 (one third = 33%) of the mercury-added products waste is safely collected and treated separately</t>
  </si>
  <si>
    <t>Answer Y or N in cells B4 and E4 in the sheet 'Step5 - Waste treatment + recycling'</t>
  </si>
  <si>
    <t>See Step5 B4, E4</t>
  </si>
  <si>
    <t>Mid-range fossil fuel amounts per t cement produced</t>
  </si>
  <si>
    <t>Calculated fuel inputs</t>
  </si>
  <si>
    <t>t fuel/t cement</t>
  </si>
  <si>
    <t>t fuel/y</t>
  </si>
  <si>
    <t>m³ gas/t cement</t>
  </si>
  <si>
    <t>m³ gas/y</t>
  </si>
  <si>
    <t>Cement production, fossil fuel amounts calculations (a</t>
  </si>
  <si>
    <t>Cement production, fossil fuel Hg inputs and releases with default factors</t>
  </si>
  <si>
    <t>Calculated Hg output from fossil fuels, Kg/y</t>
  </si>
  <si>
    <t>Calculat. Hg input from fossils, kg/y</t>
  </si>
  <si>
    <t>TOTAL of quantified releases *1*2*3*4*5</t>
  </si>
  <si>
    <t>*5 To avoid double counting, fossil fuel mercury contributions to cement production was subtracted automatically in the TOTALS.</t>
  </si>
  <si>
    <t>*3 To avoid double counting, fossil fuel mercury contributions to cement production was subtracted automatically in the TOTALS.</t>
  </si>
  <si>
    <t>TOTAL of quantified releases*1*2*3</t>
  </si>
  <si>
    <t>*4 To avoid double counting, fossil fuel mercury contributions to cement production was subtracted automatically in the TOTALS.</t>
  </si>
  <si>
    <t>TOTAL of quantified inputs*1*2*3*4</t>
  </si>
  <si>
    <t>*8 To avoid double counting, fossil fuel mercury contributions to cement production was subtracted automatically in the TOTALS.</t>
  </si>
  <si>
    <t>Other materials production*5*8</t>
  </si>
  <si>
    <t>*6 To avoid double counting, fossil fuel mercury contributions to cement production was subtracted automatically in the TOTALS.</t>
  </si>
  <si>
    <t>TOTALS (rounded) *1*2*3*4*5*6</t>
  </si>
  <si>
    <t>Other materials production*6</t>
  </si>
  <si>
    <t>You have erased a link here. To re-establish it enter: =B23</t>
  </si>
  <si>
    <t>/From whole ore /with retort use and mercury recycling</t>
  </si>
  <si>
    <t>/From concentrate /with retort use and mercury recycling</t>
  </si>
  <si>
    <t>4.25</t>
  </si>
  <si>
    <t>0.55</t>
  </si>
  <si>
    <t>Incineration / burning of medical waste</t>
  </si>
  <si>
    <t>Disposal (excavations, lost and extracted teeth)</t>
  </si>
  <si>
    <t>Clinics where high efficiency amalgam separators are used</t>
  </si>
  <si>
    <t>Clinics where only simple chair strainers/filters are used</t>
  </si>
  <si>
    <t>Annual consumption /production</t>
  </si>
  <si>
    <t>Sector specific waste treatm. /disposal</t>
  </si>
  <si>
    <t>Annual consumption /population</t>
  </si>
  <si>
    <t>UN Environment's Toolkit for identification and quantification of mercury releases - Inventory Level 1 Calculation Spreadsheet</t>
  </si>
  <si>
    <t>This publication is intended to serve as a guide. While the information provided is believed to be accurate, UN Environment (UNEP) disclaims any responsibility for possible inaccuracies or omissions and consequences that may flow from them. Neither UN Environment (UNEP) nor any individual involved in the preparation of this publication shall be liable for any injury, loss, damage or prejudice of any kind that may be caused by persons who have acted based on their understanding of the information contained in this publication.</t>
  </si>
  <si>
    <t>The Estimated Hg input (or equivalent inserted IL2 results) marked in red colour is very high compared to previous observations. Data may be correct, but please confirm your activity rate data (or inserted IL2 data)</t>
  </si>
  <si>
    <t>The Estimated Hg input (or equivalent inserted IL2 results) marked in red colour is very high compared to previous observations. Data may be correct, but please confirm your activity rate data (or inserted IL2 data).</t>
  </si>
  <si>
    <t>Population in 2015 (or as recent as available data allow; UN DESA, 2017)</t>
  </si>
  <si>
    <t xml:space="preserve">*3: Data source: United Nations, Department of Economic and Social Affairs, Population Division (2017). World Population Prospects: The 2017 Revision, DVD Edition. (Population estimates from year 2015). </t>
  </si>
  <si>
    <t>https://population.un.org/wpp/DataQuery/</t>
  </si>
  <si>
    <t>Eswatini (Swaziland)</t>
  </si>
  <si>
    <t>Number of inhabitants 2015*3</t>
  </si>
  <si>
    <t>Relevant pollution abatement options</t>
  </si>
  <si>
    <t>INVENTORY LEVEL 1 - DEFAULT OUTPUT DISTRIBUTION SCENARIOS</t>
  </si>
  <si>
    <t>The 0, indicated when the source category is not present in the country, cannot be changed</t>
  </si>
  <si>
    <t>y</t>
  </si>
  <si>
    <t>Non-default controls entered here</t>
  </si>
  <si>
    <t>/From whole ore (NO RETORT USE)</t>
  </si>
  <si>
    <t>/From concentrate (NO RETORT USE)</t>
  </si>
  <si>
    <t>Cement clinker production</t>
  </si>
  <si>
    <t>Inventory Level 2 spreadsheet of UN Environment's Toolkit for identification and quantification of mercury releases</t>
  </si>
  <si>
    <t>These conversion rates are approximations, as the involved parameters may vary substantially.</t>
  </si>
  <si>
    <t>hard coal (anthrasite and bituminous)</t>
  </si>
  <si>
    <t>TJ (Terajoule) coal used/y</t>
  </si>
  <si>
    <t>t coal used/y</t>
  </si>
  <si>
    <t>TJ/kt</t>
  </si>
  <si>
    <t>2006 IPCC Guidelines, Volume 2, Chapter 1, pg. 1.12-1.13</t>
  </si>
  <si>
    <t>bituminous (hard) coal</t>
  </si>
  <si>
    <t>sub-bituminous (brown) coal</t>
  </si>
  <si>
    <t>lignite (brown) coal</t>
  </si>
  <si>
    <t>coking coal</t>
  </si>
  <si>
    <t>motor gasoline</t>
  </si>
  <si>
    <t>TJ (Terajoule) gasoline used/y</t>
  </si>
  <si>
    <t>t  gasoline used/y</t>
  </si>
  <si>
    <t>Barrels gasoline used/y</t>
  </si>
  <si>
    <t>Barrel/t</t>
  </si>
  <si>
    <t>https://www.jodidata.org/oil/support/jodi-oil-manual.aspx</t>
  </si>
  <si>
    <t>Litres gasoline used/y</t>
  </si>
  <si>
    <t>litres/t</t>
  </si>
  <si>
    <t>aviation gasoline</t>
  </si>
  <si>
    <t>jet gasoline</t>
  </si>
  <si>
    <t xml:space="preserve">crude oil </t>
  </si>
  <si>
    <t>TJ (Terajoule) crude oil used/y</t>
  </si>
  <si>
    <t>t crude oil used/y</t>
  </si>
  <si>
    <t>Barrel of crude oil used/y</t>
  </si>
  <si>
    <t>Barrel /t</t>
  </si>
  <si>
    <t>Litres of crude oil used/y</t>
  </si>
  <si>
    <t>jet kerosene</t>
  </si>
  <si>
    <t>TJ (Terajoule) kerosene used/y</t>
  </si>
  <si>
    <t>t  kerosene used/y</t>
  </si>
  <si>
    <t>2007 IPCC Guidelines, Volume 2, Chapter 1, pg. 1.12-1.13</t>
  </si>
  <si>
    <t>Barrel kerosene used/y</t>
  </si>
  <si>
    <t>Barrel / t</t>
  </si>
  <si>
    <t>Litres kerosene used/y</t>
  </si>
  <si>
    <t>other kerosene</t>
  </si>
  <si>
    <t>gas/diesel oil</t>
  </si>
  <si>
    <t>TJ (Terajoule) oil used/y</t>
  </si>
  <si>
    <t>t oil used/y</t>
  </si>
  <si>
    <t>Barrel oil used/y</t>
  </si>
  <si>
    <t>Litres oil used/y</t>
  </si>
  <si>
    <t>residual fuel oil</t>
  </si>
  <si>
    <t>liquefied petroleum gases (LPG)</t>
  </si>
  <si>
    <t>TJ (Terajoule) LPG used/y</t>
  </si>
  <si>
    <t>t LPG used/y</t>
  </si>
  <si>
    <t>Barrel LPG used/y</t>
  </si>
  <si>
    <t>Litres LPG used/y</t>
  </si>
  <si>
    <t>shale oil</t>
  </si>
  <si>
    <t>waste oil</t>
  </si>
  <si>
    <t>TJ (Terajoule) peat used/y</t>
  </si>
  <si>
    <t xml:space="preserve">wood/wood waste </t>
  </si>
  <si>
    <t>TJ (Terajoule) wood used/y</t>
  </si>
  <si>
    <t>t  wood used/y</t>
  </si>
  <si>
    <t xml:space="preserve">other primary solid biomass </t>
  </si>
  <si>
    <t>TJ (Terajoule) biomass used/y</t>
  </si>
  <si>
    <t>t  biomass used/y</t>
  </si>
  <si>
    <t xml:space="preserve">charcoal </t>
  </si>
  <si>
    <t>TJ (Terajoule) charcoal used/y</t>
  </si>
  <si>
    <t>t  charcoal used/y</t>
  </si>
  <si>
    <t xml:space="preserve">Natural gas </t>
  </si>
  <si>
    <t>Standard m3</t>
  </si>
  <si>
    <t>NM3/Standard m3</t>
  </si>
  <si>
    <t>http://www.iea.org/stats/docs/statistics_manual.pdf, p182</t>
  </si>
  <si>
    <t>g gold produced per t ore used</t>
  </si>
  <si>
    <t>Data source: Global 2013 gold mine and deposits ranking, http://2oqz471sa19h3vbwa53m33yj.wpengine.netdna-cdn.com/wp-content/uploads/2013/11/global-gold-mine-and-deposit-rankings-2013.pdf)</t>
  </si>
  <si>
    <t xml:space="preserve">Rough assumption for average based on internet research </t>
  </si>
  <si>
    <t>Fluorescent tubes (LFLs, double end)</t>
  </si>
  <si>
    <t>kgitem</t>
  </si>
  <si>
    <t>Weight varies greatly with size. Use this weight if you do not know the sizes of imports (based on product data from various sources on the Internet)</t>
  </si>
  <si>
    <t>Compact fluorescent lamps (CFLs, single end)</t>
  </si>
  <si>
    <t>Based on own measurements and product data examples from the internet</t>
  </si>
  <si>
    <t>batteries, t/y</t>
  </si>
  <si>
    <t>Based on data from Energizer Product datasheets, energizer.com</t>
  </si>
  <si>
    <t>Some useful general unit conversion factors:</t>
  </si>
  <si>
    <t>Multiply</t>
  </si>
  <si>
    <t>By</t>
  </si>
  <si>
    <t>To obtain</t>
  </si>
  <si>
    <t>1 g=0,001 kg</t>
  </si>
  <si>
    <t>centimeter (cm)</t>
  </si>
  <si>
    <t>inch (in.)</t>
  </si>
  <si>
    <t>1 mg=0,001 g</t>
  </si>
  <si>
    <t>gram (g)</t>
  </si>
  <si>
    <t>ounce, avoirdupois (oz)</t>
  </si>
  <si>
    <t>1 μg=0,000 001 g</t>
  </si>
  <si>
    <t>kilogram (kg)</t>
  </si>
  <si>
    <t>pounds</t>
  </si>
  <si>
    <t>1 ng=0,000 000 001 g</t>
  </si>
  <si>
    <t>kilometer (km)</t>
  </si>
  <si>
    <t>mile (mi)</t>
  </si>
  <si>
    <t>1 Mg=1 t (metric ton = tonne)</t>
  </si>
  <si>
    <t>liter (l)</t>
  </si>
  <si>
    <t>ounce, fluid (fl. oz)</t>
  </si>
  <si>
    <t>1 Gg=1 kt = 1000t</t>
  </si>
  <si>
    <t>cubin meters</t>
  </si>
  <si>
    <t>1 GJ=0,001 TJ</t>
  </si>
  <si>
    <t>meter (m)</t>
  </si>
  <si>
    <t>foot (ft)</t>
  </si>
  <si>
    <t>metric ton (t)</t>
  </si>
  <si>
    <t>short ton</t>
  </si>
  <si>
    <t>square kilometer (km2)</t>
  </si>
  <si>
    <t>acre</t>
  </si>
  <si>
    <t>Combustion of biomass:</t>
  </si>
  <si>
    <t xml:space="preserve">Combustion/use  of petrochemical oils: </t>
  </si>
  <si>
    <t>Combustion of coal:</t>
  </si>
  <si>
    <t>Combustion of gasoline:</t>
  </si>
  <si>
    <t>Batteries:</t>
  </si>
  <si>
    <t>AA battery cell (alkaline)</t>
  </si>
  <si>
    <t>AAA battery cell (alkaline)</t>
  </si>
  <si>
    <t>C battery cell (alkaline)</t>
  </si>
  <si>
    <t>D battery cell (alkaline)</t>
  </si>
  <si>
    <t>Based on data from Energizer Product datasheets, energizer.com,  weight of a silver oxide button cell ranges between 0,21 g and 2,3 g</t>
  </si>
  <si>
    <t>button cell (silver oxide)</t>
  </si>
  <si>
    <t>o=OECD countries /d= countries in IEA electrification list</t>
  </si>
  <si>
    <t>Waste default input factor test (see IL1 Guideline Appendix 4):</t>
  </si>
  <si>
    <t>Wastewater default input factor test  (see IL1 Guideline Appendix 4):</t>
  </si>
  <si>
    <r>
      <t xml:space="preserve">ONLY TO BE USED IF  ACTIVITY RATE DATA CANNOT BE OBTAINED IN THE PRESCRIBED UNIT </t>
    </r>
    <r>
      <rPr>
        <u/>
        <sz val="10"/>
        <color rgb="FFFF0000"/>
        <rFont val="Arial"/>
        <family val="2"/>
      </rPr>
      <t>AND IF COUNTRY-SPECIFIC DOCUMENTED CONVERSION FACTORS ARE NOT AVAILABLE</t>
    </r>
    <r>
      <rPr>
        <sz val="10"/>
        <color rgb="FFFF0000"/>
        <rFont val="Arial"/>
        <family val="2"/>
      </rPr>
      <t>.</t>
    </r>
  </si>
  <si>
    <t>2-15</t>
  </si>
  <si>
    <t>1.4-4</t>
  </si>
  <si>
    <t>15-70</t>
  </si>
  <si>
    <t>5-150</t>
  </si>
  <si>
    <t>0.2-4</t>
  </si>
  <si>
    <t>Cement produced from nationally produced clinker, t/y</t>
  </si>
  <si>
    <t>Important note: This sheet is to be used ONLY for inclusion of inventory results calculated in Inventory Level 2, and adequate documentation is required (Inventory Level 2 spreadsheet, data representation in your inventory report, etc.)</t>
  </si>
  <si>
    <t>Cement clinker production*5</t>
  </si>
  <si>
    <t>November, 2019</t>
  </si>
  <si>
    <t>Cement clinker production*4</t>
  </si>
  <si>
    <t>Cement Clinker production*3</t>
  </si>
  <si>
    <r>
      <t xml:space="preserve">Estimated </t>
    </r>
    <r>
      <rPr>
        <b/>
        <sz val="10"/>
        <rFont val="Arial"/>
        <family val="2"/>
      </rPr>
      <t>Hg</t>
    </r>
    <r>
      <rPr>
        <sz val="10"/>
        <rFont val="Arial"/>
        <family val="2"/>
      </rPr>
      <t xml:space="preserve"> </t>
    </r>
    <r>
      <rPr>
        <b/>
        <sz val="10"/>
        <rFont val="Arial"/>
        <family val="2"/>
      </rPr>
      <t>input</t>
    </r>
    <r>
      <rPr>
        <sz val="10"/>
        <rFont val="Arial"/>
        <family val="2"/>
      </rPr>
      <t>, Kg Hg/y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</si>
</sst>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00"/>
    <numFmt numFmtId="165" formatCode="0.0"/>
    <numFmt numFmtId="166" formatCode="#,##0.000"/>
    <numFmt numFmtId="167" formatCode="#,##0.00000"/>
    <numFmt numFmtId="168" formatCode="#,##0.0"/>
    <numFmt numFmtId="169" formatCode="_(* #,##0_);_(* \(#,##0\);_(* &quot;-&quot;??_);_(@_)"/>
    <numFmt numFmtId="170" formatCode="0.0000"/>
    <numFmt numFmtId="171" formatCode="0.0000000000"/>
    <numFmt numFmtId="172" formatCode="_(* #,##0.0000_);_(* \(#,##0.0000\);_(* &quot;-&quot;??_);_(@_)"/>
    <numFmt numFmtId="173" formatCode="_(* #,##0.0_);_(* \(#,##0.0\);_(* &quot;-&quot;??_);_(@_)"/>
    <numFmt numFmtId="174" formatCode="_(* #,##0.000_);_(* \(#,##0.000\);_(* &quot;-&quot;??_);_(@_)"/>
  </numFmts>
  <fonts count="66">
    <font>
      <sz val="10"/>
      <name val="Arial"/>
    </font>
    <font>
      <sz val="11"/>
      <color theme="1"/>
      <name val="Calibri"/>
      <family val="2"/>
      <scheme val="minor"/>
    </font>
    <font>
      <sz val="10"/>
      <name val="Arial"/>
      <family val="2"/>
    </font>
    <font>
      <sz val="8"/>
      <name val="Arial"/>
      <family val="2"/>
    </font>
    <font>
      <b/>
      <sz val="10"/>
      <name val="Arial"/>
      <family val="2"/>
    </font>
    <font>
      <b/>
      <sz val="14"/>
      <name val="Arial"/>
      <family val="2"/>
    </font>
    <font>
      <b/>
      <u/>
      <sz val="10"/>
      <name val="Arial"/>
      <family val="2"/>
    </font>
    <font>
      <sz val="10"/>
      <name val="Arial"/>
      <family val="2"/>
    </font>
    <font>
      <sz val="10"/>
      <name val="Times New Roman"/>
      <family val="1"/>
    </font>
    <font>
      <b/>
      <sz val="10"/>
      <color indexed="10"/>
      <name val="Arial"/>
      <family val="2"/>
    </font>
    <font>
      <sz val="10"/>
      <color indexed="11"/>
      <name val="Arial"/>
      <family val="2"/>
    </font>
    <font>
      <b/>
      <sz val="10"/>
      <name val="Times New Roman"/>
      <family val="1"/>
    </font>
    <font>
      <i/>
      <sz val="10"/>
      <name val="Times New Roman"/>
      <family val="1"/>
    </font>
    <font>
      <b/>
      <sz val="11.5"/>
      <name val="Times New Roman"/>
      <family val="1"/>
    </font>
    <font>
      <b/>
      <sz val="11"/>
      <name val="Times New Roman"/>
      <family val="1"/>
    </font>
    <font>
      <b/>
      <sz val="11"/>
      <color indexed="10"/>
      <name val="Arial"/>
      <family val="2"/>
    </font>
    <font>
      <sz val="10"/>
      <color indexed="10"/>
      <name val="Arial"/>
      <family val="2"/>
    </font>
    <font>
      <u/>
      <sz val="8.5"/>
      <color indexed="12"/>
      <name val="Arial"/>
      <family val="2"/>
    </font>
    <font>
      <b/>
      <sz val="12"/>
      <name val="Arial"/>
      <family val="2"/>
    </font>
    <font>
      <b/>
      <sz val="11"/>
      <name val="Arial"/>
      <family val="2"/>
    </font>
    <font>
      <b/>
      <sz val="14"/>
      <color indexed="10"/>
      <name val="Arial"/>
      <family val="2"/>
    </font>
    <font>
      <b/>
      <sz val="10"/>
      <name val="Arial"/>
      <family val="2"/>
    </font>
    <font>
      <sz val="10"/>
      <name val="Arial"/>
      <family val="2"/>
    </font>
    <font>
      <b/>
      <sz val="10"/>
      <color indexed="10"/>
      <name val="Arial"/>
      <family val="2"/>
    </font>
    <font>
      <i/>
      <sz val="10"/>
      <name val="Arial"/>
      <family val="2"/>
    </font>
    <font>
      <sz val="10"/>
      <name val="Arial"/>
      <family val="2"/>
    </font>
    <font>
      <b/>
      <i/>
      <sz val="10"/>
      <name val="Arial"/>
      <family val="2"/>
    </font>
    <font>
      <u/>
      <sz val="10"/>
      <name val="Arial"/>
      <family val="2"/>
    </font>
    <font>
      <sz val="8"/>
      <color indexed="81"/>
      <name val="Tahoma"/>
      <family val="2"/>
    </font>
    <font>
      <b/>
      <sz val="8"/>
      <color indexed="81"/>
      <name val="Tahoma"/>
      <family val="2"/>
    </font>
    <font>
      <sz val="10"/>
      <name val="Arial"/>
      <family val="2"/>
    </font>
    <font>
      <sz val="11"/>
      <name val="Calibri"/>
      <family val="2"/>
    </font>
    <font>
      <sz val="10"/>
      <name val="Arial"/>
      <family val="2"/>
    </font>
    <font>
      <sz val="8"/>
      <name val="Times New Roman"/>
      <family val="1"/>
    </font>
    <font>
      <vertAlign val="subscript"/>
      <sz val="10"/>
      <name val="Arial"/>
      <family val="2"/>
    </font>
    <font>
      <vertAlign val="superscript"/>
      <sz val="10"/>
      <name val="Arial"/>
      <family val="2"/>
    </font>
    <font>
      <sz val="9"/>
      <color indexed="81"/>
      <name val="Tahoma"/>
      <family val="2"/>
    </font>
    <font>
      <b/>
      <sz val="9"/>
      <color indexed="81"/>
      <name val="Tahoma"/>
      <family val="2"/>
    </font>
    <font>
      <sz val="11"/>
      <color theme="1"/>
      <name val="Calibri"/>
      <family val="2"/>
      <scheme val="minor"/>
    </font>
    <font>
      <b/>
      <sz val="11"/>
      <color theme="1"/>
      <name val="Calibri"/>
      <family val="2"/>
      <scheme val="minor"/>
    </font>
    <font>
      <sz val="11"/>
      <color rgb="FFFF0000"/>
      <name val="Calibri"/>
      <family val="2"/>
      <scheme val="minor"/>
    </font>
    <font>
      <b/>
      <sz val="10"/>
      <color rgb="FFFF0000"/>
      <name val="Arial"/>
      <family val="2"/>
    </font>
    <font>
      <sz val="10"/>
      <color rgb="FFFF0000"/>
      <name val="Arial"/>
      <family val="2"/>
    </font>
    <font>
      <b/>
      <sz val="10"/>
      <color rgb="FFC00000"/>
      <name val="Times New Roman"/>
      <family val="1"/>
    </font>
    <font>
      <b/>
      <sz val="10"/>
      <color rgb="FFC00000"/>
      <name val="Arial"/>
      <family val="2"/>
    </font>
    <font>
      <sz val="10"/>
      <color rgb="FFC00000"/>
      <name val="Arial"/>
      <family val="2"/>
    </font>
    <font>
      <b/>
      <sz val="10"/>
      <color rgb="FFFF0000"/>
      <name val="Times New Roman"/>
      <family val="1"/>
    </font>
    <font>
      <sz val="10"/>
      <color rgb="FF222222"/>
      <name val="Inherit"/>
    </font>
    <font>
      <sz val="10"/>
      <color rgb="FF00B050"/>
      <name val="Arial"/>
      <family val="2"/>
    </font>
    <font>
      <sz val="11"/>
      <name val="Calibri"/>
      <family val="2"/>
      <scheme val="minor"/>
    </font>
    <font>
      <sz val="8"/>
      <color theme="0"/>
      <name val="Arial"/>
      <family val="2"/>
    </font>
    <font>
      <b/>
      <sz val="10"/>
      <color rgb="FF00B050"/>
      <name val="Arial"/>
      <family val="2"/>
    </font>
    <font>
      <sz val="10"/>
      <color rgb="FFFFFFCC"/>
      <name val="Arial"/>
      <family val="2"/>
    </font>
    <font>
      <sz val="10"/>
      <color theme="6" tint="-0.499984740745262"/>
      <name val="Arial"/>
      <family val="2"/>
    </font>
    <font>
      <b/>
      <sz val="10"/>
      <color theme="6" tint="-0.499984740745262"/>
      <name val="Arial"/>
      <family val="2"/>
    </font>
    <font>
      <sz val="10"/>
      <color theme="0"/>
      <name val="Arial"/>
      <family val="2"/>
    </font>
    <font>
      <b/>
      <sz val="11"/>
      <name val="Calibri"/>
      <family val="2"/>
    </font>
    <font>
      <sz val="16"/>
      <color theme="1"/>
      <name val="Times New Roman"/>
      <family val="2"/>
      <charset val="204"/>
    </font>
    <font>
      <b/>
      <sz val="10"/>
      <color theme="1"/>
      <name val="Arial"/>
      <family val="2"/>
      <charset val="238"/>
    </font>
    <font>
      <sz val="10"/>
      <color theme="1"/>
      <name val="Calibri"/>
      <family val="2"/>
      <scheme val="minor"/>
    </font>
    <font>
      <sz val="10"/>
      <color theme="1"/>
      <name val="Times New Roman"/>
      <family val="2"/>
      <charset val="204"/>
    </font>
    <font>
      <sz val="10"/>
      <color theme="1"/>
      <name val="Arial"/>
      <family val="2"/>
      <charset val="238"/>
    </font>
    <font>
      <sz val="10"/>
      <color rgb="FF636466"/>
      <name val="&amp;quot"/>
    </font>
    <font>
      <b/>
      <sz val="12"/>
      <color theme="1"/>
      <name val="Calibri"/>
      <family val="2"/>
      <scheme val="minor"/>
    </font>
    <font>
      <u/>
      <sz val="10"/>
      <color rgb="FFFF0000"/>
      <name val="Arial"/>
      <family val="2"/>
    </font>
    <font>
      <sz val="10"/>
      <color theme="0" tint="-0.14999847407452621"/>
      <name val="Arial"/>
      <family val="2"/>
    </font>
  </fonts>
  <fills count="1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rgb="FFCCFFFF"/>
        <bgColor indexed="64"/>
      </patternFill>
    </fill>
    <fill>
      <patternFill patternType="solid">
        <fgColor rgb="FF92D050"/>
        <bgColor indexed="64"/>
      </patternFill>
    </fill>
    <fill>
      <patternFill patternType="solid">
        <fgColor rgb="FFFFFF66"/>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FFF99"/>
        <bgColor indexed="64"/>
      </patternFill>
    </fill>
    <fill>
      <patternFill patternType="solid">
        <fgColor theme="4" tint="0.79998168889431442"/>
        <bgColor indexed="64"/>
      </patternFill>
    </fill>
  </fills>
  <borders count="49">
    <border>
      <left/>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8">
    <xf numFmtId="0" fontId="0" fillId="0" borderId="0"/>
    <xf numFmtId="43" fontId="2" fillId="0" borderId="0" applyFont="0" applyFill="0" applyBorder="0" applyAlignment="0" applyProtection="0"/>
    <xf numFmtId="0" fontId="17" fillId="0" borderId="0" applyNumberFormat="0" applyFill="0" applyBorder="0" applyAlignment="0" applyProtection="0">
      <alignment vertical="top"/>
      <protection locked="0"/>
    </xf>
    <xf numFmtId="9"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57" fillId="0" borderId="0"/>
  </cellStyleXfs>
  <cellXfs count="873">
    <xf numFmtId="0" fontId="0" fillId="0" borderId="0" xfId="0"/>
    <xf numFmtId="0" fontId="5" fillId="0" borderId="0" xfId="0" applyFont="1"/>
    <xf numFmtId="0" fontId="0" fillId="2" borderId="0" xfId="0" applyFill="1"/>
    <xf numFmtId="0" fontId="0" fillId="0" borderId="0" xfId="0" applyFill="1"/>
    <xf numFmtId="0" fontId="0" fillId="3" borderId="0" xfId="0" applyFill="1"/>
    <xf numFmtId="0" fontId="4" fillId="0" borderId="0" xfId="0" applyFont="1"/>
    <xf numFmtId="0" fontId="0" fillId="0" borderId="0" xfId="0" quotePrefix="1"/>
    <xf numFmtId="0" fontId="4" fillId="0" borderId="0" xfId="0" applyFont="1" applyFill="1"/>
    <xf numFmtId="0" fontId="7" fillId="0" borderId="0" xfId="0" applyFont="1"/>
    <xf numFmtId="0" fontId="0" fillId="0" borderId="0" xfId="0" applyAlignment="1">
      <alignment wrapText="1"/>
    </xf>
    <xf numFmtId="0" fontId="9" fillId="3" borderId="0" xfId="0" applyFont="1" applyFill="1"/>
    <xf numFmtId="0" fontId="0" fillId="0" borderId="0" xfId="0" quotePrefix="1" applyFill="1"/>
    <xf numFmtId="0" fontId="4" fillId="0" borderId="0" xfId="0" applyFont="1" applyAlignment="1">
      <alignment wrapText="1"/>
    </xf>
    <xf numFmtId="0" fontId="0" fillId="0" borderId="1" xfId="0" applyBorder="1"/>
    <xf numFmtId="0" fontId="4" fillId="0" borderId="1" xfId="0" applyFont="1" applyBorder="1"/>
    <xf numFmtId="0" fontId="8" fillId="0" borderId="1" xfId="0" applyFont="1" applyBorder="1" applyAlignment="1">
      <alignment wrapText="1"/>
    </xf>
    <xf numFmtId="0" fontId="4" fillId="0" borderId="1" xfId="0" quotePrefix="1" applyFont="1" applyBorder="1"/>
    <xf numFmtId="0" fontId="8" fillId="0" borderId="0" xfId="0" applyFont="1" applyFill="1" applyBorder="1" applyAlignment="1">
      <alignment vertical="top" wrapText="1"/>
    </xf>
    <xf numFmtId="17" fontId="0" fillId="0" borderId="0" xfId="0" quotePrefix="1" applyNumberFormat="1"/>
    <xf numFmtId="0" fontId="10" fillId="0" borderId="0" xfId="0" applyFont="1" applyFill="1"/>
    <xf numFmtId="3" fontId="10" fillId="0" borderId="0" xfId="0" applyNumberFormat="1" applyFont="1" applyFill="1"/>
    <xf numFmtId="3" fontId="0" fillId="0" borderId="0" xfId="0" applyNumberFormat="1" applyFill="1"/>
    <xf numFmtId="4" fontId="0" fillId="0" borderId="0" xfId="0" applyNumberFormat="1" applyFill="1"/>
    <xf numFmtId="0" fontId="8" fillId="0" borderId="0" xfId="0" applyFont="1" applyFill="1" applyBorder="1" applyAlignment="1">
      <alignment horizontal="right" vertical="top" wrapText="1"/>
    </xf>
    <xf numFmtId="0" fontId="8" fillId="0" borderId="0" xfId="0" applyFont="1" applyFill="1" applyBorder="1" applyAlignment="1">
      <alignment horizontal="left" vertical="top" wrapText="1"/>
    </xf>
    <xf numFmtId="4" fontId="9" fillId="0" borderId="0" xfId="0" applyNumberFormat="1" applyFont="1" applyFill="1"/>
    <xf numFmtId="0" fontId="4" fillId="0" borderId="0" xfId="0" applyFont="1" applyFill="1" applyAlignment="1">
      <alignment wrapText="1"/>
    </xf>
    <xf numFmtId="0" fontId="0" fillId="0" borderId="0" xfId="0" quotePrefix="1" applyNumberFormat="1"/>
    <xf numFmtId="0" fontId="0" fillId="0" borderId="0" xfId="0" applyFill="1" applyBorder="1"/>
    <xf numFmtId="0" fontId="8" fillId="0" borderId="0" xfId="0" applyFont="1" applyFill="1" applyBorder="1" applyAlignment="1">
      <alignment wrapText="1"/>
    </xf>
    <xf numFmtId="0" fontId="4" fillId="0" borderId="0" xfId="0" applyFont="1" applyFill="1" applyBorder="1"/>
    <xf numFmtId="0" fontId="4" fillId="0" borderId="0" xfId="0" quotePrefix="1" applyFont="1" applyFill="1" applyBorder="1"/>
    <xf numFmtId="0" fontId="4" fillId="0" borderId="1" xfId="0" applyFont="1" applyBorder="1" applyAlignment="1">
      <alignment wrapText="1"/>
    </xf>
    <xf numFmtId="0" fontId="0" fillId="0" borderId="1" xfId="0" applyBorder="1" applyAlignment="1">
      <alignment wrapText="1"/>
    </xf>
    <xf numFmtId="0" fontId="4" fillId="0" borderId="1" xfId="0" quotePrefix="1" applyFont="1" applyBorder="1" applyAlignment="1">
      <alignment wrapText="1"/>
    </xf>
    <xf numFmtId="0" fontId="8" fillId="0" borderId="0" xfId="0" applyFont="1" applyBorder="1" applyAlignment="1">
      <alignment wrapText="1"/>
    </xf>
    <xf numFmtId="0" fontId="7" fillId="0" borderId="0" xfId="0" applyFont="1" applyFill="1"/>
    <xf numFmtId="0" fontId="8" fillId="0" borderId="0" xfId="0" applyFont="1" applyBorder="1" applyAlignment="1">
      <alignment horizontal="center" wrapText="1"/>
    </xf>
    <xf numFmtId="0" fontId="8" fillId="0" borderId="1" xfId="0" quotePrefix="1" applyFont="1" applyBorder="1" applyAlignment="1">
      <alignment wrapText="1"/>
    </xf>
    <xf numFmtId="0" fontId="11" fillId="0" borderId="1" xfId="0" applyFont="1" applyBorder="1" applyAlignment="1">
      <alignment wrapText="1"/>
    </xf>
    <xf numFmtId="0" fontId="4" fillId="0" borderId="0" xfId="0" quotePrefix="1" applyFont="1" applyFill="1"/>
    <xf numFmtId="17" fontId="0" fillId="0" borderId="0" xfId="0" quotePrefix="1" applyNumberFormat="1" applyFill="1"/>
    <xf numFmtId="0" fontId="8" fillId="0" borderId="0" xfId="0" applyFont="1" applyBorder="1" applyAlignment="1"/>
    <xf numFmtId="0" fontId="0" fillId="0" borderId="0" xfId="0" quotePrefix="1" applyAlignment="1">
      <alignment horizontal="center"/>
    </xf>
    <xf numFmtId="0" fontId="0" fillId="0" borderId="0" xfId="0" applyAlignment="1">
      <alignment horizontal="center"/>
    </xf>
    <xf numFmtId="0" fontId="0" fillId="0" borderId="0" xfId="0" quotePrefix="1" applyAlignment="1">
      <alignment horizontal="left"/>
    </xf>
    <xf numFmtId="0" fontId="0" fillId="0" borderId="0" xfId="0" quotePrefix="1" applyAlignment="1">
      <alignment horizontal="left" wrapText="1"/>
    </xf>
    <xf numFmtId="0" fontId="0" fillId="0" borderId="0" xfId="0" quotePrefix="1" applyFill="1" applyAlignment="1">
      <alignment horizontal="center"/>
    </xf>
    <xf numFmtId="0" fontId="0" fillId="0" borderId="0" xfId="0" applyBorder="1"/>
    <xf numFmtId="0" fontId="0" fillId="2" borderId="0" xfId="0" applyFill="1" applyBorder="1"/>
    <xf numFmtId="0" fontId="4" fillId="0" borderId="0" xfId="0" applyFont="1" applyBorder="1"/>
    <xf numFmtId="0" fontId="7" fillId="0" borderId="0" xfId="0" applyFont="1" applyBorder="1"/>
    <xf numFmtId="0" fontId="7" fillId="0" borderId="0" xfId="0" applyFont="1" applyBorder="1" applyAlignment="1">
      <alignment horizontal="left"/>
    </xf>
    <xf numFmtId="0" fontId="7" fillId="0" borderId="0" xfId="0" applyFont="1" applyAlignment="1">
      <alignment wrapText="1"/>
    </xf>
    <xf numFmtId="0" fontId="15" fillId="0" borderId="0" xfId="0" applyFont="1"/>
    <xf numFmtId="0" fontId="0" fillId="0" borderId="2" xfId="0" applyBorder="1"/>
    <xf numFmtId="0" fontId="4" fillId="3" borderId="3" xfId="0" applyFont="1" applyFill="1" applyBorder="1"/>
    <xf numFmtId="0" fontId="4" fillId="3" borderId="3" xfId="0" applyFont="1" applyFill="1" applyBorder="1" applyAlignment="1">
      <alignment wrapText="1"/>
    </xf>
    <xf numFmtId="0" fontId="0" fillId="3" borderId="3" xfId="0" applyFill="1" applyBorder="1"/>
    <xf numFmtId="0" fontId="4" fillId="0" borderId="1" xfId="0" quotePrefix="1" applyFont="1" applyFill="1" applyBorder="1"/>
    <xf numFmtId="0" fontId="8" fillId="0" borderId="0" xfId="0" applyFont="1" applyFill="1" applyBorder="1" applyAlignment="1">
      <alignment horizontal="center" wrapText="1"/>
    </xf>
    <xf numFmtId="0" fontId="8" fillId="0" borderId="0" xfId="0" applyFont="1" applyFill="1" applyBorder="1" applyAlignment="1"/>
    <xf numFmtId="0" fontId="8" fillId="0" borderId="1" xfId="0" applyFont="1" applyFill="1" applyBorder="1" applyAlignment="1">
      <alignment wrapText="1"/>
    </xf>
    <xf numFmtId="0" fontId="0" fillId="0" borderId="1" xfId="0" applyFill="1" applyBorder="1"/>
    <xf numFmtId="0" fontId="4" fillId="0" borderId="1" xfId="0" applyFont="1" applyFill="1" applyBorder="1"/>
    <xf numFmtId="0" fontId="4" fillId="2" borderId="0" xfId="0" applyFont="1" applyFill="1"/>
    <xf numFmtId="0" fontId="4" fillId="0" borderId="0" xfId="0" quotePrefix="1" applyFont="1" applyAlignment="1">
      <alignment wrapText="1"/>
    </xf>
    <xf numFmtId="0" fontId="11" fillId="0" borderId="0" xfId="0" applyFont="1" applyBorder="1" applyAlignment="1">
      <alignment wrapText="1"/>
    </xf>
    <xf numFmtId="0" fontId="11" fillId="0" borderId="0" xfId="0" applyFont="1" applyBorder="1" applyAlignment="1">
      <alignment vertical="top" wrapText="1"/>
    </xf>
    <xf numFmtId="0" fontId="4" fillId="0" borderId="0" xfId="0" quotePrefix="1" applyFont="1" applyFill="1" applyAlignment="1">
      <alignment wrapText="1"/>
    </xf>
    <xf numFmtId="0" fontId="13" fillId="0" borderId="0" xfId="0" applyFont="1" applyAlignment="1">
      <alignment wrapText="1"/>
    </xf>
    <xf numFmtId="0" fontId="14" fillId="0" borderId="0" xfId="0" applyFont="1" applyAlignment="1">
      <alignment wrapText="1"/>
    </xf>
    <xf numFmtId="0" fontId="14" fillId="0" borderId="0" xfId="0" applyFont="1" applyBorder="1" applyAlignment="1">
      <alignment vertical="top" wrapText="1"/>
    </xf>
    <xf numFmtId="0" fontId="7" fillId="0" borderId="0" xfId="0" applyFont="1" applyAlignment="1"/>
    <xf numFmtId="0" fontId="4" fillId="0" borderId="0" xfId="0" quotePrefix="1" applyFont="1" applyAlignment="1">
      <alignment horizontal="center"/>
    </xf>
    <xf numFmtId="0" fontId="0" fillId="2" borderId="3" xfId="0" applyFill="1" applyBorder="1"/>
    <xf numFmtId="0" fontId="0" fillId="3" borderId="3" xfId="0" applyFill="1" applyBorder="1" applyAlignment="1">
      <alignment horizontal="center"/>
    </xf>
    <xf numFmtId="0" fontId="4" fillId="3" borderId="4" xfId="0" applyFont="1" applyFill="1" applyBorder="1" applyAlignment="1">
      <alignment horizontal="center"/>
    </xf>
    <xf numFmtId="0" fontId="4" fillId="3" borderId="4" xfId="0" applyFont="1" applyFill="1" applyBorder="1" applyAlignment="1">
      <alignment horizontal="center" wrapText="1"/>
    </xf>
    <xf numFmtId="0" fontId="4" fillId="3" borderId="5" xfId="0" applyFont="1" applyFill="1" applyBorder="1"/>
    <xf numFmtId="0" fontId="0" fillId="3" borderId="5" xfId="0" applyFill="1" applyBorder="1"/>
    <xf numFmtId="0" fontId="4" fillId="3" borderId="6" xfId="0" applyFont="1" applyFill="1" applyBorder="1"/>
    <xf numFmtId="0" fontId="0" fillId="3" borderId="7" xfId="0" applyFill="1" applyBorder="1"/>
    <xf numFmtId="0" fontId="9" fillId="3" borderId="3" xfId="0" applyFont="1" applyFill="1" applyBorder="1" applyAlignment="1">
      <alignment wrapText="1"/>
    </xf>
    <xf numFmtId="1" fontId="0" fillId="3" borderId="3" xfId="0" applyNumberFormat="1" applyFill="1" applyBorder="1" applyAlignment="1">
      <alignment horizontal="center"/>
    </xf>
    <xf numFmtId="1" fontId="0" fillId="3" borderId="3" xfId="0" quotePrefix="1" applyNumberFormat="1" applyFill="1" applyBorder="1" applyAlignment="1">
      <alignment horizontal="center"/>
    </xf>
    <xf numFmtId="165" fontId="0" fillId="3" borderId="3" xfId="0" applyNumberFormat="1" applyFill="1" applyBorder="1" applyAlignment="1">
      <alignment horizontal="center"/>
    </xf>
    <xf numFmtId="0" fontId="0" fillId="0" borderId="8" xfId="0" applyFill="1" applyBorder="1"/>
    <xf numFmtId="0" fontId="4" fillId="0" borderId="8" xfId="0" applyFont="1" applyFill="1" applyBorder="1" applyAlignment="1">
      <alignment wrapText="1"/>
    </xf>
    <xf numFmtId="0" fontId="0" fillId="0" borderId="9" xfId="0" applyBorder="1" applyAlignment="1">
      <alignment wrapText="1"/>
    </xf>
    <xf numFmtId="0" fontId="0" fillId="0" borderId="8" xfId="0" applyBorder="1"/>
    <xf numFmtId="0" fontId="6" fillId="0" borderId="0" xfId="0" applyFont="1" applyFill="1" applyBorder="1"/>
    <xf numFmtId="0" fontId="4" fillId="0" borderId="0" xfId="0" applyFont="1" applyFill="1" applyBorder="1" applyAlignment="1">
      <alignment wrapText="1"/>
    </xf>
    <xf numFmtId="0" fontId="4" fillId="2" borderId="0" xfId="0" applyFont="1" applyFill="1" applyBorder="1"/>
    <xf numFmtId="0" fontId="0" fillId="0" borderId="0" xfId="0" quotePrefix="1" applyBorder="1"/>
    <xf numFmtId="0" fontId="0" fillId="0" borderId="0" xfId="0" applyBorder="1" applyAlignment="1">
      <alignment wrapText="1"/>
    </xf>
    <xf numFmtId="0" fontId="4" fillId="0" borderId="8" xfId="0" applyFont="1" applyBorder="1" applyAlignment="1">
      <alignment wrapText="1"/>
    </xf>
    <xf numFmtId="0" fontId="0" fillId="0" borderId="8" xfId="0" quotePrefix="1" applyBorder="1"/>
    <xf numFmtId="0" fontId="4" fillId="0" borderId="9" xfId="0" quotePrefix="1" applyFont="1" applyBorder="1" applyAlignment="1">
      <alignment wrapText="1"/>
    </xf>
    <xf numFmtId="0" fontId="4" fillId="0" borderId="0" xfId="0" applyFont="1" applyBorder="1" applyAlignment="1">
      <alignment wrapText="1"/>
    </xf>
    <xf numFmtId="0" fontId="0" fillId="0" borderId="10" xfId="0" applyFill="1" applyBorder="1"/>
    <xf numFmtId="43" fontId="0" fillId="0" borderId="0" xfId="1" applyFont="1"/>
    <xf numFmtId="0" fontId="4" fillId="3" borderId="0" xfId="0" applyFont="1" applyFill="1"/>
    <xf numFmtId="0" fontId="0" fillId="0" borderId="2" xfId="0" applyFill="1" applyBorder="1"/>
    <xf numFmtId="0" fontId="0" fillId="0" borderId="2" xfId="0" applyBorder="1" applyAlignment="1">
      <alignment wrapText="1"/>
    </xf>
    <xf numFmtId="0" fontId="0" fillId="0" borderId="2" xfId="0" quotePrefix="1" applyBorder="1"/>
    <xf numFmtId="0" fontId="8" fillId="0" borderId="11" xfId="0" applyFont="1" applyBorder="1" applyAlignment="1">
      <alignment wrapText="1"/>
    </xf>
    <xf numFmtId="0" fontId="4" fillId="0" borderId="11" xfId="0" quotePrefix="1" applyFont="1" applyBorder="1" applyAlignment="1">
      <alignment wrapText="1"/>
    </xf>
    <xf numFmtId="0" fontId="8" fillId="0" borderId="2" xfId="0" applyFont="1" applyFill="1" applyBorder="1" applyAlignment="1">
      <alignment vertical="top" wrapText="1"/>
    </xf>
    <xf numFmtId="0" fontId="4" fillId="0" borderId="11" xfId="0" applyFont="1" applyBorder="1" applyAlignment="1">
      <alignment wrapText="1"/>
    </xf>
    <xf numFmtId="0" fontId="4" fillId="2" borderId="3" xfId="0" applyFont="1" applyFill="1" applyBorder="1"/>
    <xf numFmtId="0" fontId="4" fillId="2" borderId="3" xfId="0" applyFont="1" applyFill="1" applyBorder="1" applyAlignment="1">
      <alignment wrapText="1"/>
    </xf>
    <xf numFmtId="0" fontId="7" fillId="3" borderId="3" xfId="0" applyFont="1" applyFill="1" applyBorder="1"/>
    <xf numFmtId="4" fontId="9" fillId="3" borderId="3" xfId="0" applyNumberFormat="1" applyFont="1" applyFill="1" applyBorder="1"/>
    <xf numFmtId="3" fontId="0" fillId="3" borderId="3" xfId="0" applyNumberFormat="1" applyFill="1" applyBorder="1"/>
    <xf numFmtId="4" fontId="0" fillId="3" borderId="3" xfId="0" applyNumberFormat="1" applyFill="1" applyBorder="1"/>
    <xf numFmtId="0" fontId="8" fillId="2" borderId="3" xfId="0" applyFont="1" applyFill="1" applyBorder="1" applyAlignment="1">
      <alignment horizontal="right" vertical="top" wrapText="1"/>
    </xf>
    <xf numFmtId="0" fontId="8" fillId="2" borderId="3" xfId="0" applyFont="1" applyFill="1" applyBorder="1" applyAlignment="1">
      <alignment horizontal="left" vertical="top" wrapText="1"/>
    </xf>
    <xf numFmtId="0" fontId="0" fillId="2" borderId="4" xfId="0" applyFill="1" applyBorder="1"/>
    <xf numFmtId="0" fontId="4" fillId="2" borderId="4" xfId="0" applyFont="1" applyFill="1" applyBorder="1"/>
    <xf numFmtId="0" fontId="7" fillId="3" borderId="4" xfId="0" applyFont="1" applyFill="1" applyBorder="1"/>
    <xf numFmtId="0" fontId="0" fillId="3" borderId="4" xfId="0" applyFill="1" applyBorder="1"/>
    <xf numFmtId="0" fontId="4" fillId="0" borderId="3" xfId="0" applyFont="1" applyBorder="1"/>
    <xf numFmtId="0" fontId="4" fillId="0" borderId="3" xfId="0" applyFont="1" applyBorder="1" applyAlignment="1">
      <alignment wrapText="1"/>
    </xf>
    <xf numFmtId="0" fontId="4" fillId="0" borderId="3" xfId="0" applyFont="1" applyFill="1" applyBorder="1"/>
    <xf numFmtId="0" fontId="4" fillId="0" borderId="3" xfId="0" applyFont="1" applyFill="1" applyBorder="1" applyAlignment="1">
      <alignment wrapText="1"/>
    </xf>
    <xf numFmtId="0" fontId="0" fillId="2" borderId="3" xfId="0" applyFill="1" applyBorder="1" applyAlignment="1">
      <alignment horizontal="center"/>
    </xf>
    <xf numFmtId="0" fontId="0" fillId="0" borderId="5" xfId="0" applyFill="1" applyBorder="1"/>
    <xf numFmtId="0" fontId="0" fillId="0" borderId="5" xfId="0" applyBorder="1"/>
    <xf numFmtId="0" fontId="8" fillId="2" borderId="3" xfId="0" applyFont="1" applyFill="1" applyBorder="1" applyAlignment="1">
      <alignment horizontal="center" vertical="top" wrapText="1"/>
    </xf>
    <xf numFmtId="0" fontId="8" fillId="2" borderId="3" xfId="0" applyFont="1" applyFill="1" applyBorder="1" applyAlignment="1">
      <alignment horizontal="center" wrapText="1"/>
    </xf>
    <xf numFmtId="0" fontId="0" fillId="2" borderId="4" xfId="0" applyFill="1" applyBorder="1" applyAlignment="1">
      <alignment horizontal="center"/>
    </xf>
    <xf numFmtId="4" fontId="9" fillId="3" borderId="4" xfId="0" applyNumberFormat="1" applyFont="1" applyFill="1" applyBorder="1"/>
    <xf numFmtId="0" fontId="4" fillId="0" borderId="5" xfId="0" applyFont="1" applyBorder="1" applyAlignment="1">
      <alignment wrapText="1"/>
    </xf>
    <xf numFmtId="0" fontId="4" fillId="0" borderId="6" xfId="0" applyFont="1" applyBorder="1"/>
    <xf numFmtId="0" fontId="4" fillId="0" borderId="2" xfId="0" applyFont="1" applyBorder="1" applyAlignment="1">
      <alignment wrapText="1"/>
    </xf>
    <xf numFmtId="0" fontId="4" fillId="0" borderId="2" xfId="0" applyFont="1" applyFill="1" applyBorder="1" applyAlignment="1">
      <alignment wrapText="1"/>
    </xf>
    <xf numFmtId="0" fontId="0" fillId="0" borderId="11" xfId="0" applyBorder="1" applyAlignment="1">
      <alignment wrapText="1"/>
    </xf>
    <xf numFmtId="0" fontId="4" fillId="0" borderId="2" xfId="0" applyFont="1" applyFill="1" applyBorder="1"/>
    <xf numFmtId="0" fontId="4" fillId="0" borderId="6" xfId="0" applyFont="1" applyBorder="1" applyAlignment="1">
      <alignment wrapText="1"/>
    </xf>
    <xf numFmtId="0" fontId="4" fillId="0" borderId="7" xfId="0" applyFont="1" applyBorder="1" applyAlignment="1">
      <alignment wrapText="1"/>
    </xf>
    <xf numFmtId="0" fontId="4" fillId="0" borderId="6" xfId="0" applyFont="1" applyFill="1" applyBorder="1"/>
    <xf numFmtId="0" fontId="4" fillId="0" borderId="5" xfId="0" applyFont="1" applyFill="1" applyBorder="1"/>
    <xf numFmtId="0" fontId="4" fillId="0" borderId="5" xfId="0" applyFont="1" applyBorder="1"/>
    <xf numFmtId="0" fontId="4" fillId="0" borderId="7" xfId="0" applyFont="1" applyFill="1" applyBorder="1"/>
    <xf numFmtId="0" fontId="4" fillId="0" borderId="6" xfId="0" applyFont="1" applyFill="1" applyBorder="1" applyAlignment="1">
      <alignment wrapText="1"/>
    </xf>
    <xf numFmtId="0" fontId="4" fillId="2" borderId="3" xfId="0" applyFont="1" applyFill="1" applyBorder="1" applyAlignment="1">
      <alignment horizontal="center"/>
    </xf>
    <xf numFmtId="0" fontId="4" fillId="2" borderId="3" xfId="0" applyFont="1" applyFill="1" applyBorder="1" applyAlignment="1">
      <alignment horizontal="center" wrapText="1"/>
    </xf>
    <xf numFmtId="0" fontId="0" fillId="0" borderId="2" xfId="0" quotePrefix="1" applyFill="1" applyBorder="1"/>
    <xf numFmtId="0" fontId="0" fillId="0" borderId="2" xfId="0" applyFill="1" applyBorder="1" applyAlignment="1">
      <alignment wrapText="1"/>
    </xf>
    <xf numFmtId="0" fontId="4" fillId="0" borderId="5" xfId="0" applyFont="1" applyFill="1" applyBorder="1" applyAlignment="1">
      <alignment wrapText="1"/>
    </xf>
    <xf numFmtId="0" fontId="6" fillId="0" borderId="2" xfId="0" applyFont="1" applyFill="1" applyBorder="1"/>
    <xf numFmtId="0" fontId="4" fillId="0" borderId="4" xfId="0" applyFont="1" applyFill="1" applyBorder="1"/>
    <xf numFmtId="0" fontId="4" fillId="0" borderId="4" xfId="0" applyFont="1" applyFill="1" applyBorder="1" applyAlignment="1">
      <alignment wrapText="1"/>
    </xf>
    <xf numFmtId="0" fontId="4" fillId="0" borderId="12" xfId="0" applyFont="1" applyFill="1" applyBorder="1"/>
    <xf numFmtId="0" fontId="4" fillId="0" borderId="11" xfId="0" applyFont="1" applyFill="1" applyBorder="1" applyAlignment="1">
      <alignment wrapText="1"/>
    </xf>
    <xf numFmtId="0" fontId="4" fillId="0" borderId="13" xfId="0" applyFont="1" applyBorder="1"/>
    <xf numFmtId="0" fontId="8" fillId="0" borderId="13" xfId="0" applyFont="1" applyBorder="1" applyAlignment="1">
      <alignment wrapText="1"/>
    </xf>
    <xf numFmtId="0" fontId="8" fillId="0" borderId="4" xfId="0" applyFont="1" applyBorder="1" applyAlignment="1">
      <alignment wrapText="1"/>
    </xf>
    <xf numFmtId="0" fontId="0" fillId="0" borderId="4" xfId="0" applyBorder="1"/>
    <xf numFmtId="0" fontId="7" fillId="0" borderId="2" xfId="0" applyFont="1" applyBorder="1" applyAlignment="1">
      <alignment wrapText="1"/>
    </xf>
    <xf numFmtId="0" fontId="0" fillId="0" borderId="11" xfId="0" applyBorder="1"/>
    <xf numFmtId="0" fontId="4" fillId="0" borderId="2" xfId="0" quotePrefix="1" applyFont="1" applyBorder="1" applyAlignment="1">
      <alignment wrapText="1"/>
    </xf>
    <xf numFmtId="0" fontId="4" fillId="0" borderId="11" xfId="0" quotePrefix="1" applyFont="1" applyBorder="1"/>
    <xf numFmtId="0" fontId="4" fillId="0" borderId="2" xfId="0" quotePrefix="1" applyFont="1" applyBorder="1"/>
    <xf numFmtId="17" fontId="8" fillId="2" borderId="3" xfId="0" applyNumberFormat="1" applyFont="1" applyFill="1" applyBorder="1" applyAlignment="1">
      <alignment horizontal="center" vertical="top" wrapText="1"/>
    </xf>
    <xf numFmtId="0" fontId="8" fillId="2" borderId="3" xfId="0" applyFont="1" applyFill="1" applyBorder="1" applyAlignment="1">
      <alignment horizontal="right" wrapText="1"/>
    </xf>
    <xf numFmtId="3" fontId="9" fillId="3" borderId="3" xfId="0" applyNumberFormat="1" applyFont="1" applyFill="1" applyBorder="1"/>
    <xf numFmtId="3" fontId="7" fillId="3" borderId="3" xfId="0" applyNumberFormat="1" applyFont="1" applyFill="1" applyBorder="1"/>
    <xf numFmtId="0" fontId="0" fillId="2" borderId="3" xfId="0" applyFill="1" applyBorder="1" applyAlignment="1">
      <alignment horizontal="right"/>
    </xf>
    <xf numFmtId="4" fontId="7" fillId="3" borderId="3" xfId="0" applyNumberFormat="1" applyFont="1" applyFill="1" applyBorder="1"/>
    <xf numFmtId="3" fontId="2" fillId="3" borderId="3" xfId="0" applyNumberFormat="1" applyFont="1" applyFill="1" applyBorder="1"/>
    <xf numFmtId="0" fontId="2" fillId="3" borderId="3" xfId="0" applyFont="1" applyFill="1" applyBorder="1"/>
    <xf numFmtId="0" fontId="4" fillId="0" borderId="11" xfId="0" applyFont="1" applyBorder="1"/>
    <xf numFmtId="0" fontId="4" fillId="0" borderId="2" xfId="0" quotePrefix="1" applyFont="1" applyFill="1" applyBorder="1" applyAlignment="1">
      <alignment wrapText="1"/>
    </xf>
    <xf numFmtId="0" fontId="13" fillId="0" borderId="2" xfId="0" applyFont="1" applyBorder="1" applyAlignment="1">
      <alignment wrapText="1"/>
    </xf>
    <xf numFmtId="4" fontId="9" fillId="0" borderId="2" xfId="0" applyNumberFormat="1" applyFont="1" applyFill="1" applyBorder="1"/>
    <xf numFmtId="0" fontId="4" fillId="0" borderId="2" xfId="0" quotePrefix="1" applyFont="1" applyFill="1" applyBorder="1"/>
    <xf numFmtId="0" fontId="0" fillId="2" borderId="3" xfId="0" quotePrefix="1" applyFill="1" applyBorder="1"/>
    <xf numFmtId="0" fontId="4" fillId="0" borderId="8" xfId="0" applyFont="1" applyBorder="1"/>
    <xf numFmtId="0" fontId="4" fillId="0" borderId="8" xfId="0" applyFont="1" applyFill="1" applyBorder="1"/>
    <xf numFmtId="0" fontId="4" fillId="0" borderId="9" xfId="0" applyFont="1" applyFill="1" applyBorder="1"/>
    <xf numFmtId="0" fontId="4" fillId="2" borderId="8" xfId="0" applyFont="1" applyFill="1" applyBorder="1"/>
    <xf numFmtId="0" fontId="9" fillId="3" borderId="8" xfId="0" applyFont="1" applyFill="1" applyBorder="1"/>
    <xf numFmtId="0" fontId="4" fillId="3" borderId="8" xfId="0" applyFont="1" applyFill="1" applyBorder="1"/>
    <xf numFmtId="0" fontId="4" fillId="0" borderId="2" xfId="0" applyFont="1" applyBorder="1"/>
    <xf numFmtId="0" fontId="0" fillId="0" borderId="5" xfId="0" applyBorder="1" applyAlignment="1">
      <alignment horizontal="center"/>
    </xf>
    <xf numFmtId="0" fontId="0" fillId="2" borderId="3" xfId="0" quotePrefix="1" applyFill="1" applyBorder="1" applyAlignment="1">
      <alignment horizontal="center"/>
    </xf>
    <xf numFmtId="0" fontId="16" fillId="3" borderId="3" xfId="0" applyFont="1" applyFill="1" applyBorder="1"/>
    <xf numFmtId="3" fontId="16" fillId="3" borderId="3" xfId="0" applyNumberFormat="1" applyFont="1" applyFill="1" applyBorder="1"/>
    <xf numFmtId="0" fontId="9" fillId="3" borderId="3" xfId="0" applyFont="1" applyFill="1" applyBorder="1"/>
    <xf numFmtId="0" fontId="8" fillId="2" borderId="3" xfId="0" quotePrefix="1" applyFont="1" applyFill="1" applyBorder="1" applyAlignment="1">
      <alignment horizontal="center" wrapText="1"/>
    </xf>
    <xf numFmtId="0" fontId="4" fillId="2" borderId="3" xfId="0" quotePrefix="1" applyFont="1" applyFill="1" applyBorder="1" applyAlignment="1">
      <alignment horizontal="center"/>
    </xf>
    <xf numFmtId="3" fontId="0" fillId="3" borderId="3" xfId="0" applyNumberFormat="1" applyFill="1" applyBorder="1" applyAlignment="1">
      <alignment horizontal="right"/>
    </xf>
    <xf numFmtId="0" fontId="0" fillId="0" borderId="0" xfId="0" applyFill="1" applyAlignment="1">
      <alignment horizontal="center"/>
    </xf>
    <xf numFmtId="0" fontId="9" fillId="0" borderId="0" xfId="0" applyFont="1" applyFill="1"/>
    <xf numFmtId="0" fontId="9" fillId="0" borderId="0" xfId="0" applyFont="1" applyFill="1" applyBorder="1"/>
    <xf numFmtId="4" fontId="9" fillId="0" borderId="0" xfId="0" applyNumberFormat="1" applyFont="1" applyFill="1" applyBorder="1"/>
    <xf numFmtId="4" fontId="9" fillId="3" borderId="3" xfId="0" applyNumberFormat="1" applyFont="1" applyFill="1" applyBorder="1" applyAlignment="1">
      <alignment horizontal="center"/>
    </xf>
    <xf numFmtId="4" fontId="9" fillId="3" borderId="3" xfId="0" quotePrefix="1" applyNumberFormat="1" applyFont="1" applyFill="1" applyBorder="1" applyAlignment="1">
      <alignment horizontal="center"/>
    </xf>
    <xf numFmtId="4" fontId="0" fillId="3" borderId="3" xfId="0" applyNumberFormat="1" applyFill="1" applyBorder="1" applyAlignment="1">
      <alignment horizontal="center"/>
    </xf>
    <xf numFmtId="0" fontId="8" fillId="2" borderId="3" xfId="0" applyFont="1" applyFill="1" applyBorder="1" applyAlignment="1">
      <alignment wrapText="1"/>
    </xf>
    <xf numFmtId="0" fontId="0" fillId="4" borderId="0" xfId="0" applyFill="1"/>
    <xf numFmtId="0" fontId="4" fillId="4" borderId="0" xfId="0" applyFont="1" applyFill="1" applyAlignment="1">
      <alignment horizontal="left" vertical="top" wrapText="1"/>
    </xf>
    <xf numFmtId="0" fontId="4" fillId="4" borderId="0" xfId="0" applyFont="1" applyFill="1" applyBorder="1" applyAlignment="1">
      <alignment horizontal="left" vertical="top" wrapText="1"/>
    </xf>
    <xf numFmtId="0" fontId="7" fillId="4" borderId="0" xfId="0" applyFont="1" applyFill="1" applyAlignment="1">
      <alignment horizontal="left" vertical="top" wrapText="1"/>
    </xf>
    <xf numFmtId="0" fontId="7" fillId="4" borderId="0" xfId="0" applyFont="1" applyFill="1" applyBorder="1"/>
    <xf numFmtId="0" fontId="0" fillId="4" borderId="0" xfId="0" applyFill="1" applyAlignment="1">
      <alignment horizontal="left" vertical="top" wrapText="1"/>
    </xf>
    <xf numFmtId="0" fontId="0" fillId="4" borderId="0" xfId="0" applyNumberFormat="1" applyFill="1" applyAlignment="1">
      <alignment horizontal="left" vertical="top" wrapText="1"/>
    </xf>
    <xf numFmtId="0" fontId="20" fillId="4" borderId="2" xfId="0" applyFont="1" applyFill="1" applyBorder="1" applyAlignment="1">
      <alignment horizontal="left" vertical="top" wrapText="1"/>
    </xf>
    <xf numFmtId="0" fontId="18" fillId="4" borderId="2" xfId="0" applyFont="1" applyFill="1" applyBorder="1" applyAlignment="1">
      <alignment horizontal="left" vertical="top" wrapText="1"/>
    </xf>
    <xf numFmtId="0" fontId="19" fillId="4" borderId="2" xfId="0" applyFont="1" applyFill="1" applyBorder="1" applyAlignment="1">
      <alignment horizontal="left" vertical="top" wrapText="1"/>
    </xf>
    <xf numFmtId="0" fontId="4" fillId="4" borderId="0" xfId="0" applyFont="1" applyFill="1" applyAlignment="1">
      <alignment wrapText="1"/>
    </xf>
    <xf numFmtId="0" fontId="7" fillId="4" borderId="0" xfId="0" applyFont="1" applyFill="1" applyAlignment="1">
      <alignment wrapText="1"/>
    </xf>
    <xf numFmtId="0" fontId="4" fillId="3" borderId="3" xfId="0" applyFont="1" applyFill="1" applyBorder="1" applyAlignment="1">
      <alignment horizontal="left" wrapText="1"/>
    </xf>
    <xf numFmtId="0" fontId="4" fillId="2" borderId="7" xfId="0" applyFont="1" applyFill="1" applyBorder="1" applyAlignment="1">
      <alignment wrapText="1"/>
    </xf>
    <xf numFmtId="0" fontId="7" fillId="2" borderId="3" xfId="0" applyFont="1" applyFill="1" applyBorder="1" applyAlignment="1">
      <alignment wrapText="1"/>
    </xf>
    <xf numFmtId="0" fontId="0" fillId="2" borderId="3" xfId="0" applyFill="1" applyBorder="1" applyAlignment="1">
      <alignment wrapText="1"/>
    </xf>
    <xf numFmtId="4" fontId="0" fillId="2" borderId="3" xfId="0" applyNumberFormat="1" applyFill="1" applyBorder="1" applyAlignment="1">
      <alignment wrapText="1"/>
    </xf>
    <xf numFmtId="0" fontId="4" fillId="3" borderId="14" xfId="0" applyFont="1" applyFill="1" applyBorder="1"/>
    <xf numFmtId="0" fontId="4" fillId="0" borderId="15" xfId="0" applyFont="1" applyBorder="1"/>
    <xf numFmtId="0" fontId="4" fillId="3" borderId="16" xfId="0" applyFont="1" applyFill="1" applyBorder="1"/>
    <xf numFmtId="0" fontId="4" fillId="3" borderId="15" xfId="0" applyFont="1" applyFill="1" applyBorder="1"/>
    <xf numFmtId="0" fontId="4" fillId="3" borderId="17" xfId="0" applyFont="1" applyFill="1" applyBorder="1"/>
    <xf numFmtId="0" fontId="4" fillId="2" borderId="17" xfId="0" applyFont="1" applyFill="1" applyBorder="1" applyAlignment="1">
      <alignment wrapText="1"/>
    </xf>
    <xf numFmtId="0" fontId="0" fillId="3" borderId="14" xfId="0" applyFill="1" applyBorder="1" applyAlignment="1">
      <alignment horizontal="center"/>
    </xf>
    <xf numFmtId="0" fontId="0" fillId="2" borderId="14" xfId="0" applyFill="1" applyBorder="1" applyAlignment="1">
      <alignment wrapText="1"/>
    </xf>
    <xf numFmtId="0" fontId="0" fillId="0" borderId="15" xfId="0" applyBorder="1"/>
    <xf numFmtId="0" fontId="4" fillId="3" borderId="17" xfId="0" quotePrefix="1" applyFont="1" applyFill="1" applyBorder="1" applyAlignment="1">
      <alignment horizontal="center"/>
    </xf>
    <xf numFmtId="0" fontId="0" fillId="0" borderId="0" xfId="0" applyAlignment="1"/>
    <xf numFmtId="0" fontId="2" fillId="0" borderId="0" xfId="0" applyFont="1"/>
    <xf numFmtId="0" fontId="2" fillId="0" borderId="0" xfId="0" applyFont="1" applyFill="1"/>
    <xf numFmtId="0" fontId="22" fillId="3" borderId="4" xfId="0" applyFont="1" applyFill="1" applyBorder="1"/>
    <xf numFmtId="3" fontId="22" fillId="3" borderId="3" xfId="0" applyNumberFormat="1" applyFont="1" applyFill="1" applyBorder="1"/>
    <xf numFmtId="0" fontId="22" fillId="3" borderId="3" xfId="0" applyFont="1" applyFill="1" applyBorder="1"/>
    <xf numFmtId="168" fontId="21" fillId="3" borderId="3" xfId="0" applyNumberFormat="1" applyFont="1" applyFill="1" applyBorder="1"/>
    <xf numFmtId="4" fontId="22" fillId="3" borderId="3" xfId="0" applyNumberFormat="1" applyFont="1" applyFill="1" applyBorder="1"/>
    <xf numFmtId="168" fontId="22" fillId="3" borderId="3" xfId="0" applyNumberFormat="1" applyFont="1" applyFill="1" applyBorder="1"/>
    <xf numFmtId="0" fontId="22" fillId="0" borderId="0" xfId="0" applyFont="1" applyFill="1"/>
    <xf numFmtId="0" fontId="22" fillId="0" borderId="0" xfId="0" applyFont="1"/>
    <xf numFmtId="0" fontId="23" fillId="3" borderId="3" xfId="0" applyFont="1" applyFill="1" applyBorder="1" applyAlignment="1">
      <alignment wrapText="1"/>
    </xf>
    <xf numFmtId="4" fontId="21" fillId="3" borderId="4" xfId="0" applyNumberFormat="1" applyFont="1" applyFill="1" applyBorder="1"/>
    <xf numFmtId="3" fontId="22" fillId="3" borderId="4" xfId="0" applyNumberFormat="1" applyFont="1" applyFill="1" applyBorder="1"/>
    <xf numFmtId="4" fontId="9" fillId="3" borderId="3" xfId="0" quotePrefix="1" applyNumberFormat="1" applyFont="1" applyFill="1" applyBorder="1"/>
    <xf numFmtId="0" fontId="21" fillId="2" borderId="3" xfId="0" applyFont="1" applyFill="1" applyBorder="1" applyAlignment="1">
      <alignment wrapText="1"/>
    </xf>
    <xf numFmtId="0" fontId="22" fillId="2" borderId="4" xfId="0" applyFont="1" applyFill="1" applyBorder="1"/>
    <xf numFmtId="0" fontId="22" fillId="2" borderId="3" xfId="0" applyFont="1" applyFill="1" applyBorder="1"/>
    <xf numFmtId="3" fontId="22" fillId="2" borderId="3" xfId="0" applyNumberFormat="1" applyFont="1" applyFill="1" applyBorder="1"/>
    <xf numFmtId="3" fontId="22" fillId="0" borderId="0" xfId="0" applyNumberFormat="1" applyFont="1" applyFill="1"/>
    <xf numFmtId="3" fontId="22" fillId="2" borderId="4" xfId="0" applyNumberFormat="1" applyFont="1" applyFill="1" applyBorder="1"/>
    <xf numFmtId="3" fontId="22" fillId="2" borderId="4" xfId="0" quotePrefix="1" applyNumberFormat="1" applyFont="1" applyFill="1" applyBorder="1" applyAlignment="1">
      <alignment horizontal="center"/>
    </xf>
    <xf numFmtId="3" fontId="22" fillId="2" borderId="3" xfId="0" quotePrefix="1" applyNumberFormat="1" applyFont="1" applyFill="1" applyBorder="1" applyAlignment="1">
      <alignment horizontal="center"/>
    </xf>
    <xf numFmtId="0" fontId="2" fillId="2" borderId="3" xfId="0" applyFont="1" applyFill="1" applyBorder="1"/>
    <xf numFmtId="3" fontId="2" fillId="2" borderId="3" xfId="0" applyNumberFormat="1" applyFont="1" applyFill="1" applyBorder="1"/>
    <xf numFmtId="0" fontId="21" fillId="0" borderId="0" xfId="0" applyFont="1" applyFill="1"/>
    <xf numFmtId="3" fontId="22" fillId="0" borderId="0" xfId="0" applyNumberFormat="1" applyFont="1" applyFill="1" applyBorder="1"/>
    <xf numFmtId="0" fontId="22" fillId="0" borderId="0" xfId="0" applyFont="1" applyFill="1" applyBorder="1"/>
    <xf numFmtId="0" fontId="21" fillId="0" borderId="8" xfId="0" applyFont="1" applyFill="1" applyBorder="1"/>
    <xf numFmtId="0" fontId="22" fillId="2" borderId="3" xfId="0" quotePrefix="1" applyFont="1" applyFill="1" applyBorder="1" applyAlignment="1">
      <alignment horizontal="center"/>
    </xf>
    <xf numFmtId="3" fontId="22" fillId="2" borderId="3" xfId="0" quotePrefix="1" applyNumberFormat="1" applyFont="1" applyFill="1" applyBorder="1"/>
    <xf numFmtId="3" fontId="22" fillId="2" borderId="3" xfId="0" applyNumberFormat="1" applyFont="1" applyFill="1" applyBorder="1" applyAlignment="1">
      <alignment horizontal="center"/>
    </xf>
    <xf numFmtId="0" fontId="7" fillId="5" borderId="3" xfId="0" applyFont="1" applyFill="1" applyBorder="1"/>
    <xf numFmtId="0" fontId="0" fillId="6" borderId="0" xfId="0" applyFill="1"/>
    <xf numFmtId="0" fontId="0" fillId="6" borderId="3" xfId="0" applyFill="1" applyBorder="1" applyAlignment="1">
      <alignment wrapText="1"/>
    </xf>
    <xf numFmtId="0" fontId="7" fillId="6" borderId="3" xfId="0" applyFont="1" applyFill="1" applyBorder="1" applyAlignment="1">
      <alignment horizontal="center" wrapText="1"/>
    </xf>
    <xf numFmtId="0" fontId="4" fillId="6" borderId="3" xfId="0" applyFont="1" applyFill="1" applyBorder="1" applyAlignment="1">
      <alignment wrapText="1"/>
    </xf>
    <xf numFmtId="0" fontId="4" fillId="6" borderId="18" xfId="0" applyFont="1" applyFill="1" applyBorder="1" applyAlignment="1">
      <alignment horizontal="center"/>
    </xf>
    <xf numFmtId="0" fontId="7" fillId="6" borderId="18" xfId="0" applyFont="1" applyFill="1" applyBorder="1" applyAlignment="1">
      <alignment horizontal="center" wrapText="1"/>
    </xf>
    <xf numFmtId="0" fontId="0" fillId="6" borderId="3" xfId="0" applyFill="1" applyBorder="1" applyAlignment="1">
      <alignment horizontal="center" wrapText="1"/>
    </xf>
    <xf numFmtId="0" fontId="7" fillId="6" borderId="3" xfId="0" applyFont="1" applyFill="1" applyBorder="1" applyAlignment="1">
      <alignment horizontal="center"/>
    </xf>
    <xf numFmtId="0" fontId="0" fillId="6" borderId="6" xfId="0" applyFill="1" applyBorder="1" applyAlignment="1">
      <alignment wrapText="1"/>
    </xf>
    <xf numFmtId="0" fontId="0" fillId="6" borderId="7" xfId="0" applyFill="1" applyBorder="1" applyAlignment="1"/>
    <xf numFmtId="0" fontId="0" fillId="6" borderId="3" xfId="0" applyFill="1" applyBorder="1"/>
    <xf numFmtId="0" fontId="7" fillId="6" borderId="3" xfId="0" applyFont="1" applyFill="1" applyBorder="1"/>
    <xf numFmtId="0" fontId="7" fillId="6" borderId="0" xfId="0" applyFont="1" applyFill="1"/>
    <xf numFmtId="0" fontId="7" fillId="6" borderId="6" xfId="0" applyFont="1" applyFill="1" applyBorder="1" applyAlignment="1">
      <alignment wrapText="1"/>
    </xf>
    <xf numFmtId="3" fontId="7" fillId="7" borderId="3" xfId="0" applyNumberFormat="1" applyFont="1" applyFill="1" applyBorder="1" applyProtection="1">
      <protection locked="0"/>
    </xf>
    <xf numFmtId="0" fontId="7" fillId="2" borderId="3" xfId="0" applyFont="1" applyFill="1" applyBorder="1"/>
    <xf numFmtId="0" fontId="7" fillId="0" borderId="0" xfId="0" applyFont="1" applyFill="1" applyBorder="1"/>
    <xf numFmtId="3" fontId="0" fillId="6" borderId="3" xfId="0" applyNumberFormat="1" applyFill="1" applyBorder="1"/>
    <xf numFmtId="168" fontId="0" fillId="6" borderId="3" xfId="0" applyNumberFormat="1" applyFill="1" applyBorder="1"/>
    <xf numFmtId="0" fontId="7" fillId="3" borderId="3" xfId="0" applyFont="1" applyFill="1" applyBorder="1" applyAlignment="1">
      <alignment wrapText="1"/>
    </xf>
    <xf numFmtId="0" fontId="7" fillId="3" borderId="14" xfId="0" applyFont="1" applyFill="1" applyBorder="1"/>
    <xf numFmtId="0" fontId="0" fillId="8" borderId="3" xfId="0" applyFill="1" applyBorder="1"/>
    <xf numFmtId="0" fontId="8" fillId="8" borderId="3" xfId="0" applyFont="1" applyFill="1" applyBorder="1" applyAlignment="1">
      <alignment horizontal="center" wrapText="1"/>
    </xf>
    <xf numFmtId="3" fontId="2" fillId="2" borderId="4" xfId="0" applyNumberFormat="1" applyFont="1" applyFill="1" applyBorder="1"/>
    <xf numFmtId="0" fontId="0" fillId="0" borderId="6" xfId="0" quotePrefix="1" applyBorder="1"/>
    <xf numFmtId="0" fontId="7" fillId="7" borderId="7" xfId="0" applyFont="1" applyFill="1" applyBorder="1"/>
    <xf numFmtId="0" fontId="0" fillId="2" borderId="18" xfId="0" applyFill="1" applyBorder="1"/>
    <xf numFmtId="0" fontId="2" fillId="2" borderId="18" xfId="0" applyFont="1" applyFill="1" applyBorder="1"/>
    <xf numFmtId="3" fontId="7" fillId="3" borderId="18" xfId="0" applyNumberFormat="1" applyFont="1" applyFill="1" applyBorder="1"/>
    <xf numFmtId="3" fontId="7" fillId="3" borderId="4" xfId="0" applyNumberFormat="1" applyFont="1" applyFill="1" applyBorder="1"/>
    <xf numFmtId="0" fontId="2" fillId="2" borderId="4" xfId="0" applyFont="1" applyFill="1" applyBorder="1"/>
    <xf numFmtId="0" fontId="0" fillId="0" borderId="6" xfId="0" applyFill="1" applyBorder="1"/>
    <xf numFmtId="0" fontId="7" fillId="0" borderId="5" xfId="0" applyFont="1" applyFill="1" applyBorder="1"/>
    <xf numFmtId="0" fontId="0" fillId="0" borderId="7" xfId="0" applyBorder="1"/>
    <xf numFmtId="0" fontId="8" fillId="8" borderId="3" xfId="0" applyFont="1" applyFill="1" applyBorder="1" applyAlignment="1">
      <alignment horizontal="right" wrapText="1"/>
    </xf>
    <xf numFmtId="0" fontId="0" fillId="8" borderId="3" xfId="0" applyFill="1" applyBorder="1" applyAlignment="1">
      <alignment horizontal="right"/>
    </xf>
    <xf numFmtId="3" fontId="7" fillId="8" borderId="3" xfId="0" applyNumberFormat="1" applyFont="1" applyFill="1" applyBorder="1"/>
    <xf numFmtId="0" fontId="7" fillId="0" borderId="0" xfId="0" applyFont="1" applyAlignment="1">
      <alignment horizontal="left" wrapText="1"/>
    </xf>
    <xf numFmtId="3" fontId="2" fillId="3" borderId="3" xfId="0" applyNumberFormat="1" applyFont="1" applyFill="1" applyBorder="1" applyAlignment="1">
      <alignment horizontal="right"/>
    </xf>
    <xf numFmtId="3" fontId="7" fillId="3" borderId="3" xfId="0" quotePrefix="1" applyNumberFormat="1" applyFont="1" applyFill="1" applyBorder="1" applyAlignment="1">
      <alignment horizontal="right"/>
    </xf>
    <xf numFmtId="3" fontId="0" fillId="3" borderId="3" xfId="0" quotePrefix="1" applyNumberFormat="1" applyFill="1" applyBorder="1" applyAlignment="1">
      <alignment horizontal="right"/>
    </xf>
    <xf numFmtId="3" fontId="9" fillId="3" borderId="3" xfId="0" applyNumberFormat="1" applyFont="1" applyFill="1" applyBorder="1" applyAlignment="1">
      <alignment horizontal="right"/>
    </xf>
    <xf numFmtId="0" fontId="0" fillId="7" borderId="3" xfId="0" applyFill="1" applyBorder="1" applyAlignment="1">
      <alignment horizontal="center" wrapText="1"/>
    </xf>
    <xf numFmtId="0" fontId="7" fillId="7" borderId="3" xfId="0" applyFont="1" applyFill="1" applyBorder="1"/>
    <xf numFmtId="0" fontId="0" fillId="7" borderId="3" xfId="0" applyFill="1" applyBorder="1"/>
    <xf numFmtId="0" fontId="41" fillId="0" borderId="0" xfId="0" applyFont="1"/>
    <xf numFmtId="0" fontId="7" fillId="7" borderId="3" xfId="0" applyFont="1" applyFill="1" applyBorder="1" applyAlignment="1">
      <alignment horizontal="center" wrapText="1"/>
    </xf>
    <xf numFmtId="4" fontId="42" fillId="3" borderId="3" xfId="0" applyNumberFormat="1" applyFont="1" applyFill="1" applyBorder="1"/>
    <xf numFmtId="43" fontId="7" fillId="0" borderId="0" xfId="1" applyNumberFormat="1" applyFont="1"/>
    <xf numFmtId="0" fontId="43" fillId="0" borderId="0" xfId="0" applyFont="1" applyBorder="1" applyAlignment="1">
      <alignment vertical="top" wrapText="1"/>
    </xf>
    <xf numFmtId="0" fontId="44" fillId="2" borderId="3" xfId="0" applyFont="1" applyFill="1" applyBorder="1"/>
    <xf numFmtId="0" fontId="45" fillId="0" borderId="0" xfId="0" applyFont="1" applyFill="1"/>
    <xf numFmtId="0" fontId="45" fillId="2" borderId="3" xfId="0" applyFont="1" applyFill="1" applyBorder="1"/>
    <xf numFmtId="3" fontId="45" fillId="2" borderId="3" xfId="0" applyNumberFormat="1" applyFont="1" applyFill="1" applyBorder="1"/>
    <xf numFmtId="0" fontId="42" fillId="0" borderId="0" xfId="0" applyFont="1"/>
    <xf numFmtId="0" fontId="42" fillId="0" borderId="0" xfId="0" applyFont="1" applyFill="1"/>
    <xf numFmtId="0" fontId="46" fillId="0" borderId="0" xfId="0" applyFont="1" applyBorder="1" applyAlignment="1">
      <alignment wrapText="1"/>
    </xf>
    <xf numFmtId="0" fontId="41" fillId="2" borderId="3" xfId="0" applyFont="1" applyFill="1" applyBorder="1"/>
    <xf numFmtId="0" fontId="42" fillId="2" borderId="3" xfId="0" applyFont="1" applyFill="1" applyBorder="1"/>
    <xf numFmtId="3" fontId="42" fillId="2" borderId="3" xfId="0" applyNumberFormat="1" applyFont="1" applyFill="1" applyBorder="1"/>
    <xf numFmtId="0" fontId="42" fillId="0" borderId="1" xfId="0" applyFont="1" applyBorder="1" applyAlignment="1">
      <alignment wrapText="1"/>
    </xf>
    <xf numFmtId="0" fontId="7" fillId="7" borderId="0" xfId="0" applyFont="1" applyFill="1"/>
    <xf numFmtId="3" fontId="7" fillId="2" borderId="3" xfId="0" applyNumberFormat="1" applyFont="1" applyFill="1" applyBorder="1"/>
    <xf numFmtId="0" fontId="22" fillId="2" borderId="18" xfId="0" applyFont="1" applyFill="1" applyBorder="1"/>
    <xf numFmtId="0" fontId="0" fillId="3" borderId="18" xfId="0" applyFill="1" applyBorder="1"/>
    <xf numFmtId="3" fontId="22" fillId="2" borderId="18" xfId="0" applyNumberFormat="1" applyFont="1" applyFill="1" applyBorder="1"/>
    <xf numFmtId="4" fontId="0" fillId="3" borderId="18" xfId="0" applyNumberFormat="1" applyFill="1" applyBorder="1"/>
    <xf numFmtId="0" fontId="7" fillId="0" borderId="8" xfId="0" applyFont="1" applyBorder="1"/>
    <xf numFmtId="0" fontId="4" fillId="0" borderId="9" xfId="0" applyFont="1" applyBorder="1"/>
    <xf numFmtId="4" fontId="0" fillId="2" borderId="3" xfId="0" applyNumberFormat="1" applyFill="1" applyBorder="1"/>
    <xf numFmtId="0" fontId="22" fillId="8" borderId="3" xfId="0" applyFont="1" applyFill="1" applyBorder="1"/>
    <xf numFmtId="3" fontId="22" fillId="8" borderId="3" xfId="0" applyNumberFormat="1" applyFont="1" applyFill="1" applyBorder="1"/>
    <xf numFmtId="0" fontId="0" fillId="0" borderId="0" xfId="0" applyFill="1" applyAlignment="1">
      <alignment wrapText="1"/>
    </xf>
    <xf numFmtId="4" fontId="41" fillId="3" borderId="3" xfId="0" applyNumberFormat="1" applyFont="1" applyFill="1" applyBorder="1" applyAlignment="1">
      <alignment horizontal="center"/>
    </xf>
    <xf numFmtId="0" fontId="7" fillId="8" borderId="3" xfId="0" applyFont="1" applyFill="1" applyBorder="1"/>
    <xf numFmtId="0" fontId="8" fillId="8" borderId="3" xfId="0" applyFont="1" applyFill="1" applyBorder="1" applyAlignment="1">
      <alignment horizontal="center" vertical="top" wrapText="1"/>
    </xf>
    <xf numFmtId="0" fontId="0" fillId="8" borderId="4" xfId="0" applyFill="1" applyBorder="1"/>
    <xf numFmtId="0" fontId="0" fillId="7" borderId="0" xfId="0" applyFill="1"/>
    <xf numFmtId="3" fontId="41" fillId="3" borderId="3" xfId="0" applyNumberFormat="1" applyFont="1" applyFill="1" applyBorder="1"/>
    <xf numFmtId="0" fontId="7" fillId="0" borderId="1" xfId="0" applyFont="1" applyBorder="1"/>
    <xf numFmtId="0" fontId="0" fillId="8" borderId="3" xfId="0" applyFill="1" applyBorder="1" applyAlignment="1">
      <alignment horizontal="center"/>
    </xf>
    <xf numFmtId="0" fontId="0" fillId="8" borderId="4" xfId="0" applyFill="1" applyBorder="1" applyAlignment="1">
      <alignment horizontal="center"/>
    </xf>
    <xf numFmtId="0" fontId="4" fillId="6" borderId="3" xfId="0" applyFont="1" applyFill="1" applyBorder="1" applyAlignment="1">
      <alignment horizontal="center"/>
    </xf>
    <xf numFmtId="0" fontId="7" fillId="6" borderId="7" xfId="0" applyFont="1" applyFill="1" applyBorder="1"/>
    <xf numFmtId="0" fontId="0" fillId="6" borderId="18" xfId="0" applyFill="1" applyBorder="1" applyAlignment="1">
      <alignment horizontal="center" wrapText="1"/>
    </xf>
    <xf numFmtId="3" fontId="7" fillId="6" borderId="18" xfId="0" applyNumberFormat="1" applyFont="1" applyFill="1" applyBorder="1" applyProtection="1">
      <protection locked="0"/>
    </xf>
    <xf numFmtId="0" fontId="7" fillId="6" borderId="7" xfId="0" applyFont="1" applyFill="1" applyBorder="1" applyAlignment="1"/>
    <xf numFmtId="0" fontId="0" fillId="6" borderId="4" xfId="0" applyFill="1" applyBorder="1" applyAlignment="1">
      <alignment horizontal="center" wrapText="1"/>
    </xf>
    <xf numFmtId="3" fontId="7" fillId="6" borderId="4" xfId="0" applyNumberFormat="1" applyFont="1" applyFill="1" applyBorder="1" applyProtection="1">
      <protection locked="0"/>
    </xf>
    <xf numFmtId="3" fontId="7" fillId="6" borderId="3" xfId="0" applyNumberFormat="1" applyFont="1" applyFill="1" applyBorder="1" applyAlignment="1">
      <alignment horizontal="center" wrapText="1"/>
    </xf>
    <xf numFmtId="168" fontId="7" fillId="6" borderId="3" xfId="0" applyNumberFormat="1" applyFont="1" applyFill="1" applyBorder="1" applyAlignment="1">
      <alignment horizontal="center"/>
    </xf>
    <xf numFmtId="168" fontId="7" fillId="6" borderId="3" xfId="0" applyNumberFormat="1" applyFont="1" applyFill="1" applyBorder="1" applyAlignment="1">
      <alignment horizontal="center" wrapText="1"/>
    </xf>
    <xf numFmtId="0" fontId="4" fillId="6" borderId="6" xfId="0" applyFont="1" applyFill="1" applyBorder="1" applyAlignment="1">
      <alignment wrapText="1"/>
    </xf>
    <xf numFmtId="0" fontId="0" fillId="6" borderId="7" xfId="0" applyFill="1" applyBorder="1"/>
    <xf numFmtId="0" fontId="4" fillId="7" borderId="0" xfId="0" applyFont="1" applyFill="1"/>
    <xf numFmtId="0" fontId="4" fillId="7" borderId="0" xfId="0" applyFont="1" applyFill="1" applyAlignment="1">
      <alignment horizontal="center"/>
    </xf>
    <xf numFmtId="0" fontId="7" fillId="7" borderId="0" xfId="0" applyFont="1" applyFill="1" applyBorder="1" applyAlignment="1">
      <alignment horizontal="left"/>
    </xf>
    <xf numFmtId="0" fontId="7" fillId="7" borderId="0" xfId="0" applyFont="1" applyFill="1" applyBorder="1" applyAlignment="1">
      <alignment horizontal="center"/>
    </xf>
    <xf numFmtId="0" fontId="0" fillId="7" borderId="0" xfId="0" applyFill="1" applyAlignment="1">
      <alignment horizontal="center"/>
    </xf>
    <xf numFmtId="0" fontId="0" fillId="7" borderId="0" xfId="0" applyFill="1" applyAlignment="1">
      <alignment wrapText="1"/>
    </xf>
    <xf numFmtId="0" fontId="8" fillId="8" borderId="3" xfId="0" applyFont="1" applyFill="1" applyBorder="1" applyAlignment="1">
      <alignment horizontal="right" vertical="top" wrapText="1"/>
    </xf>
    <xf numFmtId="0" fontId="0" fillId="0" borderId="6" xfId="0" applyBorder="1"/>
    <xf numFmtId="3" fontId="21" fillId="3" borderId="3" xfId="0" applyNumberFormat="1" applyFont="1" applyFill="1" applyBorder="1"/>
    <xf numFmtId="0" fontId="7" fillId="6" borderId="6" xfId="0" applyFont="1" applyFill="1" applyBorder="1" applyAlignment="1">
      <alignment horizontal="center" wrapText="1"/>
    </xf>
    <xf numFmtId="0" fontId="7" fillId="7" borderId="3" xfId="0" applyFont="1" applyFill="1" applyBorder="1" applyAlignment="1">
      <alignment horizontal="center"/>
    </xf>
    <xf numFmtId="0" fontId="7" fillId="6" borderId="3" xfId="0" applyFont="1" applyFill="1" applyBorder="1" applyAlignment="1">
      <alignment wrapText="1"/>
    </xf>
    <xf numFmtId="0" fontId="0" fillId="7" borderId="0" xfId="0" applyFill="1" applyAlignment="1">
      <alignment horizontal="left"/>
    </xf>
    <xf numFmtId="0" fontId="0" fillId="7" borderId="0" xfId="0" applyFill="1" applyBorder="1"/>
    <xf numFmtId="0" fontId="7" fillId="7" borderId="0" xfId="0" applyFont="1" applyFill="1" applyBorder="1"/>
    <xf numFmtId="0" fontId="0" fillId="7" borderId="3" xfId="0" applyFill="1" applyBorder="1" applyAlignment="1">
      <alignment wrapText="1"/>
    </xf>
    <xf numFmtId="0" fontId="4" fillId="7" borderId="3" xfId="0" applyFont="1" applyFill="1" applyBorder="1" applyAlignment="1">
      <alignment horizontal="center"/>
    </xf>
    <xf numFmtId="0" fontId="7" fillId="7" borderId="3" xfId="0" applyFont="1" applyFill="1" applyBorder="1" applyAlignment="1">
      <alignment wrapText="1"/>
    </xf>
    <xf numFmtId="0" fontId="4" fillId="6" borderId="3" xfId="0" applyFont="1" applyFill="1" applyBorder="1"/>
    <xf numFmtId="3" fontId="7" fillId="6" borderId="3" xfId="0" applyNumberFormat="1" applyFont="1" applyFill="1" applyBorder="1" applyProtection="1">
      <protection locked="0"/>
    </xf>
    <xf numFmtId="3" fontId="0" fillId="6" borderId="4" xfId="0" applyNumberFormat="1" applyFill="1" applyBorder="1"/>
    <xf numFmtId="3" fontId="7" fillId="7" borderId="21" xfId="0" applyNumberFormat="1" applyFont="1" applyFill="1" applyBorder="1" applyProtection="1">
      <protection locked="0"/>
    </xf>
    <xf numFmtId="3" fontId="7" fillId="7" borderId="23" xfId="0" applyNumberFormat="1" applyFont="1" applyFill="1" applyBorder="1" applyProtection="1">
      <protection locked="0"/>
    </xf>
    <xf numFmtId="3" fontId="0" fillId="7" borderId="23" xfId="0" applyNumberFormat="1" applyFill="1" applyBorder="1" applyProtection="1">
      <protection locked="0"/>
    </xf>
    <xf numFmtId="0" fontId="7" fillId="6" borderId="6" xfId="0" applyFont="1" applyFill="1" applyBorder="1"/>
    <xf numFmtId="3" fontId="0" fillId="6" borderId="18" xfId="0" applyNumberFormat="1" applyFill="1" applyBorder="1"/>
    <xf numFmtId="3" fontId="0" fillId="7" borderId="21" xfId="0" applyNumberFormat="1" applyFill="1" applyBorder="1" applyProtection="1">
      <protection locked="0"/>
    </xf>
    <xf numFmtId="3" fontId="7" fillId="7" borderId="24" xfId="0" applyNumberFormat="1" applyFont="1" applyFill="1" applyBorder="1" applyAlignment="1" applyProtection="1">
      <alignment horizontal="left" wrapText="1"/>
      <protection locked="0"/>
    </xf>
    <xf numFmtId="1" fontId="7" fillId="7" borderId="24" xfId="0" applyNumberFormat="1" applyFont="1" applyFill="1" applyBorder="1" applyAlignment="1" applyProtection="1">
      <alignment horizontal="left" wrapText="1"/>
      <protection locked="0"/>
    </xf>
    <xf numFmtId="3" fontId="7" fillId="7" borderId="25" xfId="0" applyNumberFormat="1" applyFont="1" applyFill="1" applyBorder="1" applyAlignment="1" applyProtection="1">
      <alignment horizontal="left" wrapText="1"/>
      <protection locked="0"/>
    </xf>
    <xf numFmtId="0" fontId="7" fillId="6" borderId="6" xfId="0" applyFont="1" applyFill="1" applyBorder="1" applyAlignment="1">
      <alignment horizontal="left" wrapText="1"/>
    </xf>
    <xf numFmtId="0" fontId="0" fillId="6" borderId="6" xfId="0" applyFill="1" applyBorder="1"/>
    <xf numFmtId="3" fontId="7" fillId="7" borderId="26" xfId="0" applyNumberFormat="1" applyFont="1" applyFill="1" applyBorder="1" applyAlignment="1" applyProtection="1">
      <alignment horizontal="left"/>
      <protection locked="0"/>
    </xf>
    <xf numFmtId="0" fontId="4" fillId="7" borderId="0" xfId="0" applyFont="1" applyFill="1" applyAlignment="1">
      <alignment horizontal="left"/>
    </xf>
    <xf numFmtId="0" fontId="4" fillId="7" borderId="0" xfId="0" applyFont="1" applyFill="1" applyBorder="1" applyAlignment="1"/>
    <xf numFmtId="0" fontId="4" fillId="7" borderId="0" xfId="0" applyFont="1" applyFill="1" applyBorder="1" applyAlignment="1">
      <alignment horizontal="left"/>
    </xf>
    <xf numFmtId="0" fontId="4" fillId="7" borderId="0" xfId="0" applyFont="1" applyFill="1" applyBorder="1" applyAlignment="1">
      <alignment horizontal="center"/>
    </xf>
    <xf numFmtId="0" fontId="4" fillId="7" borderId="3" xfId="0" applyFont="1" applyFill="1" applyBorder="1" applyAlignment="1">
      <alignment wrapText="1"/>
    </xf>
    <xf numFmtId="0" fontId="7" fillId="6" borderId="0" xfId="0" applyFont="1" applyFill="1" applyBorder="1"/>
    <xf numFmtId="0" fontId="0" fillId="6" borderId="0" xfId="0" applyFill="1" applyBorder="1"/>
    <xf numFmtId="0" fontId="4" fillId="6" borderId="0" xfId="0" applyFont="1" applyFill="1" applyBorder="1" applyAlignment="1">
      <alignment horizontal="center"/>
    </xf>
    <xf numFmtId="3" fontId="7" fillId="6" borderId="3" xfId="0" applyNumberFormat="1" applyFont="1" applyFill="1" applyBorder="1"/>
    <xf numFmtId="0" fontId="7" fillId="6" borderId="4" xfId="0" applyFont="1" applyFill="1" applyBorder="1"/>
    <xf numFmtId="3" fontId="7" fillId="6" borderId="4" xfId="0" applyNumberFormat="1" applyFont="1" applyFill="1" applyBorder="1"/>
    <xf numFmtId="3" fontId="7" fillId="7" borderId="27" xfId="0" applyNumberFormat="1" applyFont="1" applyFill="1" applyBorder="1" applyProtection="1">
      <protection locked="0"/>
    </xf>
    <xf numFmtId="0" fontId="0" fillId="6" borderId="13" xfId="0" applyFill="1" applyBorder="1" applyAlignment="1">
      <alignment horizontal="center" wrapText="1"/>
    </xf>
    <xf numFmtId="3" fontId="7" fillId="6" borderId="13" xfId="0" applyNumberFormat="1" applyFont="1" applyFill="1" applyBorder="1" applyProtection="1">
      <protection locked="0"/>
    </xf>
    <xf numFmtId="3" fontId="7" fillId="7" borderId="28" xfId="0" applyNumberFormat="1" applyFont="1" applyFill="1" applyBorder="1" applyProtection="1">
      <protection locked="0"/>
    </xf>
    <xf numFmtId="0" fontId="7" fillId="7" borderId="29" xfId="0" applyFont="1" applyFill="1" applyBorder="1" applyAlignment="1" applyProtection="1">
      <alignment horizontal="center" wrapText="1"/>
      <protection locked="0"/>
    </xf>
    <xf numFmtId="169" fontId="25" fillId="7" borderId="0" xfId="1" applyNumberFormat="1" applyFont="1" applyFill="1"/>
    <xf numFmtId="0" fontId="24" fillId="6" borderId="3" xfId="0" applyFont="1" applyFill="1" applyBorder="1" applyAlignment="1">
      <alignment wrapText="1"/>
    </xf>
    <xf numFmtId="168" fontId="26" fillId="6" borderId="3" xfId="0" applyNumberFormat="1" applyFont="1" applyFill="1" applyBorder="1" applyAlignment="1">
      <alignment horizontal="right"/>
    </xf>
    <xf numFmtId="168" fontId="7" fillId="6" borderId="3" xfId="0" applyNumberFormat="1" applyFont="1" applyFill="1" applyBorder="1"/>
    <xf numFmtId="0" fontId="26" fillId="6" borderId="3" xfId="0" applyFont="1" applyFill="1" applyBorder="1"/>
    <xf numFmtId="3" fontId="0" fillId="5" borderId="6" xfId="0" applyNumberFormat="1" applyFill="1" applyBorder="1"/>
    <xf numFmtId="0" fontId="26" fillId="6" borderId="18" xfId="0" applyFont="1" applyFill="1" applyBorder="1" applyAlignment="1">
      <alignment horizontal="center"/>
    </xf>
    <xf numFmtId="3" fontId="26" fillId="6" borderId="18" xfId="0" applyNumberFormat="1" applyFont="1" applyFill="1" applyBorder="1"/>
    <xf numFmtId="0" fontId="0" fillId="6" borderId="4" xfId="0" applyFill="1" applyBorder="1"/>
    <xf numFmtId="0" fontId="24" fillId="6" borderId="6" xfId="0" applyFont="1" applyFill="1" applyBorder="1" applyAlignment="1">
      <alignment wrapText="1"/>
    </xf>
    <xf numFmtId="3" fontId="7" fillId="6" borderId="7" xfId="0" applyNumberFormat="1" applyFont="1" applyFill="1" applyBorder="1"/>
    <xf numFmtId="0" fontId="7" fillId="6" borderId="18" xfId="0" applyFont="1" applyFill="1" applyBorder="1" applyAlignment="1">
      <alignment horizontal="center"/>
    </xf>
    <xf numFmtId="0" fontId="0" fillId="6" borderId="13" xfId="0" applyFill="1" applyBorder="1"/>
    <xf numFmtId="3" fontId="0" fillId="6" borderId="13" xfId="0" applyNumberFormat="1" applyFill="1" applyBorder="1"/>
    <xf numFmtId="3" fontId="7" fillId="6" borderId="13" xfId="0" applyNumberFormat="1" applyFont="1" applyFill="1" applyBorder="1" applyProtection="1"/>
    <xf numFmtId="0" fontId="7" fillId="6" borderId="4" xfId="0" applyFont="1" applyFill="1" applyBorder="1" applyAlignment="1" applyProtection="1">
      <alignment horizontal="center" wrapText="1"/>
    </xf>
    <xf numFmtId="3" fontId="7" fillId="6" borderId="3" xfId="0" applyNumberFormat="1" applyFont="1" applyFill="1" applyBorder="1" applyProtection="1"/>
    <xf numFmtId="0" fontId="7" fillId="6" borderId="3" xfId="0" applyFont="1" applyFill="1" applyBorder="1" applyAlignment="1" applyProtection="1">
      <alignment horizontal="center"/>
    </xf>
    <xf numFmtId="3" fontId="7" fillId="7" borderId="3" xfId="0" applyNumberFormat="1" applyFont="1" applyFill="1" applyBorder="1" applyAlignment="1">
      <alignment horizontal="center" wrapText="1"/>
    </xf>
    <xf numFmtId="3" fontId="0" fillId="7" borderId="3" xfId="0" applyNumberFormat="1" applyFill="1" applyBorder="1" applyAlignment="1">
      <alignment wrapText="1"/>
    </xf>
    <xf numFmtId="168" fontId="0" fillId="7" borderId="3" xfId="0" applyNumberFormat="1" applyFill="1" applyBorder="1" applyAlignment="1">
      <alignment horizontal="right" wrapText="1"/>
    </xf>
    <xf numFmtId="3" fontId="0" fillId="6" borderId="3" xfId="0" applyNumberFormat="1" applyFill="1" applyBorder="1" applyAlignment="1">
      <alignment wrapText="1"/>
    </xf>
    <xf numFmtId="168" fontId="0" fillId="6" borderId="3" xfId="0" applyNumberFormat="1" applyFill="1" applyBorder="1" applyAlignment="1">
      <alignment horizontal="right" wrapText="1"/>
    </xf>
    <xf numFmtId="0" fontId="4" fillId="6" borderId="3" xfId="0" applyFont="1" applyFill="1" applyBorder="1" applyAlignment="1">
      <alignment horizontal="center" wrapText="1"/>
    </xf>
    <xf numFmtId="3" fontId="4" fillId="6" borderId="3" xfId="0" applyNumberFormat="1" applyFont="1" applyFill="1" applyBorder="1" applyProtection="1">
      <protection locked="0"/>
    </xf>
    <xf numFmtId="3" fontId="4" fillId="6" borderId="3" xfId="0" applyNumberFormat="1" applyFont="1" applyFill="1" applyBorder="1"/>
    <xf numFmtId="0" fontId="0" fillId="6" borderId="10" xfId="0" applyFill="1" applyBorder="1"/>
    <xf numFmtId="0" fontId="0" fillId="6" borderId="18" xfId="0" applyFill="1" applyBorder="1" applyAlignment="1">
      <alignment wrapText="1"/>
    </xf>
    <xf numFmtId="0" fontId="7" fillId="6" borderId="3" xfId="0" applyFont="1" applyFill="1" applyBorder="1" applyAlignment="1">
      <alignment horizontal="center" wrapText="1"/>
    </xf>
    <xf numFmtId="0" fontId="0" fillId="8" borderId="18" xfId="0" applyFill="1" applyBorder="1" applyAlignment="1">
      <alignment horizontal="right"/>
    </xf>
    <xf numFmtId="0" fontId="8" fillId="8" borderId="3" xfId="0" quotePrefix="1" applyFont="1" applyFill="1" applyBorder="1" applyAlignment="1">
      <alignment horizontal="center" wrapText="1"/>
    </xf>
    <xf numFmtId="0" fontId="7" fillId="6" borderId="3" xfId="0" applyFont="1" applyFill="1" applyBorder="1" applyAlignment="1">
      <alignment horizontal="center" wrapText="1"/>
    </xf>
    <xf numFmtId="168" fontId="0" fillId="7" borderId="3" xfId="0" applyNumberFormat="1" applyFill="1" applyBorder="1" applyAlignment="1">
      <alignment horizontal="right"/>
    </xf>
    <xf numFmtId="168" fontId="4" fillId="6" borderId="3" xfId="0" applyNumberFormat="1" applyFont="1" applyFill="1" applyBorder="1" applyAlignment="1">
      <alignment horizontal="right"/>
    </xf>
    <xf numFmtId="3" fontId="0" fillId="6" borderId="3" xfId="0" applyNumberFormat="1" applyFill="1" applyBorder="1" applyAlignment="1">
      <alignment horizontal="right" wrapText="1"/>
    </xf>
    <xf numFmtId="3" fontId="0" fillId="7" borderId="3" xfId="0" applyNumberFormat="1" applyFill="1" applyBorder="1" applyAlignment="1">
      <alignment horizontal="right" wrapText="1"/>
    </xf>
    <xf numFmtId="0" fontId="8" fillId="0" borderId="0" xfId="0" applyFont="1" applyBorder="1" applyAlignment="1">
      <alignment horizontal="center" vertical="top" wrapText="1"/>
    </xf>
    <xf numFmtId="0" fontId="7" fillId="0" borderId="1" xfId="0" applyFont="1" applyBorder="1" applyAlignment="1">
      <alignment wrapText="1"/>
    </xf>
    <xf numFmtId="4" fontId="22" fillId="2" borderId="4" xfId="0" applyNumberFormat="1" applyFont="1" applyFill="1" applyBorder="1" applyAlignment="1">
      <alignment horizontal="center"/>
    </xf>
    <xf numFmtId="167" fontId="22" fillId="2" borderId="3" xfId="0" applyNumberFormat="1" applyFont="1" applyFill="1" applyBorder="1"/>
    <xf numFmtId="0" fontId="8" fillId="0" borderId="0" xfId="0" applyFont="1" applyBorder="1" applyAlignment="1">
      <alignment horizontal="center"/>
    </xf>
    <xf numFmtId="167" fontId="22" fillId="0" borderId="0" xfId="0" applyNumberFormat="1" applyFont="1" applyFill="1" applyBorder="1"/>
    <xf numFmtId="170" fontId="0" fillId="0" borderId="0" xfId="0" applyNumberFormat="1" applyFill="1" applyBorder="1"/>
    <xf numFmtId="0" fontId="0" fillId="0" borderId="0" xfId="0" applyAlignment="1">
      <alignment horizontal="left"/>
    </xf>
    <xf numFmtId="0" fontId="7" fillId="0" borderId="2" xfId="0" applyFont="1" applyBorder="1"/>
    <xf numFmtId="0" fontId="4" fillId="7" borderId="30" xfId="0" applyFont="1" applyFill="1" applyBorder="1" applyAlignment="1" applyProtection="1">
      <alignment horizontal="left" wrapText="1"/>
      <protection locked="0"/>
    </xf>
    <xf numFmtId="168" fontId="22" fillId="2" borderId="3" xfId="0" applyNumberFormat="1" applyFont="1" applyFill="1" applyBorder="1"/>
    <xf numFmtId="168" fontId="0" fillId="0" borderId="3" xfId="0" applyNumberFormat="1" applyFill="1" applyBorder="1" applyAlignment="1">
      <alignment horizontal="right" wrapText="1"/>
    </xf>
    <xf numFmtId="0" fontId="0" fillId="10" borderId="3" xfId="0" applyFill="1" applyBorder="1" applyAlignment="1">
      <alignment wrapText="1"/>
    </xf>
    <xf numFmtId="0" fontId="7" fillId="10" borderId="3" xfId="0" applyFont="1" applyFill="1" applyBorder="1" applyAlignment="1">
      <alignment wrapText="1"/>
    </xf>
    <xf numFmtId="3" fontId="0" fillId="7" borderId="0" xfId="0" applyNumberFormat="1" applyFill="1"/>
    <xf numFmtId="3" fontId="25" fillId="6" borderId="3" xfId="1" applyNumberFormat="1" applyFont="1" applyFill="1" applyBorder="1" applyAlignment="1"/>
    <xf numFmtId="3" fontId="25" fillId="6" borderId="0" xfId="1" applyNumberFormat="1" applyFont="1" applyFill="1" applyAlignment="1"/>
    <xf numFmtId="3" fontId="25" fillId="6" borderId="7" xfId="1" applyNumberFormat="1" applyFont="1" applyFill="1" applyBorder="1" applyAlignment="1"/>
    <xf numFmtId="3" fontId="7" fillId="6" borderId="3" xfId="1" applyNumberFormat="1" applyFont="1" applyFill="1" applyBorder="1" applyAlignment="1"/>
    <xf numFmtId="3" fontId="0" fillId="6" borderId="3" xfId="0" applyNumberFormat="1" applyFill="1" applyBorder="1" applyAlignment="1"/>
    <xf numFmtId="168" fontId="0" fillId="6" borderId="3" xfId="0" applyNumberFormat="1" applyFill="1" applyBorder="1" applyAlignment="1"/>
    <xf numFmtId="0" fontId="7" fillId="5" borderId="0" xfId="0" applyFont="1" applyFill="1" applyAlignment="1">
      <alignment wrapText="1"/>
    </xf>
    <xf numFmtId="0" fontId="0" fillId="7" borderId="0" xfId="0" applyFill="1" applyProtection="1">
      <protection locked="0"/>
    </xf>
    <xf numFmtId="0" fontId="7" fillId="7" borderId="0" xfId="0" applyFont="1" applyFill="1" applyProtection="1">
      <protection locked="0"/>
    </xf>
    <xf numFmtId="0" fontId="0" fillId="7" borderId="0" xfId="0" applyFill="1" applyBorder="1" applyProtection="1">
      <protection locked="0"/>
    </xf>
    <xf numFmtId="0" fontId="0" fillId="7" borderId="0" xfId="0" applyFill="1" applyAlignment="1" applyProtection="1">
      <alignment wrapText="1"/>
      <protection locked="0"/>
    </xf>
    <xf numFmtId="0" fontId="7" fillId="7" borderId="0" xfId="0" applyFont="1" applyFill="1" applyAlignment="1">
      <alignment wrapText="1"/>
    </xf>
    <xf numFmtId="0" fontId="0" fillId="0" borderId="0" xfId="0" applyFill="1" applyProtection="1">
      <protection locked="0"/>
    </xf>
    <xf numFmtId="3" fontId="0" fillId="0" borderId="3" xfId="0" applyNumberFormat="1" applyFill="1" applyBorder="1" applyAlignment="1">
      <alignment horizontal="right" wrapText="1"/>
    </xf>
    <xf numFmtId="9" fontId="30" fillId="7" borderId="3" xfId="3" applyFont="1" applyFill="1" applyBorder="1" applyAlignment="1">
      <alignment horizontal="right" wrapText="1"/>
    </xf>
    <xf numFmtId="9" fontId="4" fillId="6" borderId="3" xfId="3" applyFont="1" applyFill="1" applyBorder="1"/>
    <xf numFmtId="168" fontId="0" fillId="7" borderId="0" xfId="0" applyNumberFormat="1" applyFill="1"/>
    <xf numFmtId="165" fontId="0" fillId="7" borderId="0" xfId="0" applyNumberFormat="1" applyFill="1"/>
    <xf numFmtId="0" fontId="4" fillId="6" borderId="12" xfId="0" applyFont="1" applyFill="1" applyBorder="1" applyAlignment="1">
      <alignment horizontal="left"/>
    </xf>
    <xf numFmtId="0" fontId="4" fillId="6" borderId="32" xfId="0" applyFont="1" applyFill="1" applyBorder="1" applyAlignment="1">
      <alignment horizontal="left"/>
    </xf>
    <xf numFmtId="3" fontId="7" fillId="6" borderId="12" xfId="0" applyNumberFormat="1" applyFont="1" applyFill="1" applyBorder="1" applyAlignment="1">
      <alignment horizontal="left" wrapText="1"/>
    </xf>
    <xf numFmtId="3" fontId="4" fillId="6" borderId="32" xfId="0" applyNumberFormat="1" applyFont="1" applyFill="1" applyBorder="1" applyAlignment="1">
      <alignment horizontal="left"/>
    </xf>
    <xf numFmtId="0" fontId="0" fillId="6" borderId="12" xfId="0" applyFill="1" applyBorder="1" applyAlignment="1">
      <alignment horizontal="left"/>
    </xf>
    <xf numFmtId="0" fontId="4" fillId="6" borderId="32" xfId="0" applyFont="1" applyFill="1" applyBorder="1" applyAlignment="1">
      <alignment horizontal="center"/>
    </xf>
    <xf numFmtId="0" fontId="0" fillId="6" borderId="12" xfId="0" applyFill="1" applyBorder="1" applyAlignment="1">
      <alignment horizontal="center"/>
    </xf>
    <xf numFmtId="0" fontId="0" fillId="6" borderId="12" xfId="0" applyFill="1" applyBorder="1" applyAlignment="1">
      <alignment horizontal="center" wrapText="1"/>
    </xf>
    <xf numFmtId="0" fontId="0" fillId="6" borderId="32" xfId="0" applyFill="1" applyBorder="1" applyAlignment="1">
      <alignment horizontal="center" wrapText="1"/>
    </xf>
    <xf numFmtId="0" fontId="7" fillId="6" borderId="9" xfId="0" applyFont="1" applyFill="1" applyBorder="1" applyAlignment="1">
      <alignment wrapText="1"/>
    </xf>
    <xf numFmtId="0" fontId="4" fillId="6" borderId="1" xfId="0" applyFont="1" applyFill="1" applyBorder="1"/>
    <xf numFmtId="0" fontId="7" fillId="6" borderId="6" xfId="0" applyFont="1" applyFill="1" applyBorder="1" applyAlignment="1">
      <alignment horizontal="left"/>
    </xf>
    <xf numFmtId="0" fontId="7" fillId="6" borderId="2" xfId="0" applyFont="1" applyFill="1" applyBorder="1" applyAlignment="1">
      <alignment horizontal="center"/>
    </xf>
    <xf numFmtId="0" fontId="7" fillId="0" borderId="26" xfId="0" applyFont="1" applyFill="1" applyBorder="1" applyAlignment="1" applyProtection="1">
      <alignment horizontal="center" wrapText="1"/>
      <protection locked="0"/>
    </xf>
    <xf numFmtId="0" fontId="7" fillId="0" borderId="24" xfId="0" applyFont="1" applyFill="1" applyBorder="1" applyAlignment="1" applyProtection="1">
      <alignment horizontal="center" wrapText="1"/>
      <protection locked="0"/>
    </xf>
    <xf numFmtId="0" fontId="7" fillId="0" borderId="25" xfId="0" applyFont="1" applyFill="1" applyBorder="1" applyAlignment="1" applyProtection="1">
      <alignment horizontal="center" wrapText="1"/>
      <protection locked="0"/>
    </xf>
    <xf numFmtId="0" fontId="0" fillId="11" borderId="0" xfId="0" applyFill="1"/>
    <xf numFmtId="0" fontId="0" fillId="7" borderId="0" xfId="0" applyFill="1" applyBorder="1" applyAlignment="1"/>
    <xf numFmtId="1" fontId="7" fillId="0" borderId="0" xfId="0" applyNumberFormat="1" applyFont="1" applyFill="1" applyBorder="1"/>
    <xf numFmtId="170" fontId="7" fillId="0" borderId="0" xfId="0" applyNumberFormat="1" applyFont="1" applyFill="1" applyBorder="1"/>
    <xf numFmtId="165" fontId="7" fillId="0" borderId="0" xfId="0" applyNumberFormat="1" applyFont="1" applyFill="1" applyBorder="1"/>
    <xf numFmtId="168" fontId="7" fillId="6" borderId="7" xfId="0" applyNumberFormat="1" applyFont="1" applyFill="1" applyBorder="1"/>
    <xf numFmtId="164" fontId="7" fillId="6" borderId="7" xfId="0" applyNumberFormat="1" applyFont="1" applyFill="1" applyBorder="1" applyProtection="1"/>
    <xf numFmtId="0" fontId="0" fillId="6" borderId="12" xfId="0" applyFill="1" applyBorder="1"/>
    <xf numFmtId="3" fontId="7" fillId="6" borderId="4" xfId="0" applyNumberFormat="1" applyFont="1" applyFill="1" applyBorder="1" applyProtection="1"/>
    <xf numFmtId="166" fontId="0" fillId="7" borderId="0" xfId="0" applyNumberFormat="1" applyFill="1" applyAlignment="1">
      <alignment horizontal="left"/>
    </xf>
    <xf numFmtId="0" fontId="7" fillId="6" borderId="0" xfId="0" applyFont="1" applyFill="1" applyBorder="1" applyAlignment="1">
      <alignment wrapText="1"/>
    </xf>
    <xf numFmtId="1" fontId="0" fillId="3" borderId="3" xfId="0" applyNumberFormat="1" applyFill="1" applyBorder="1"/>
    <xf numFmtId="0" fontId="0" fillId="0" borderId="3" xfId="0" applyBorder="1"/>
    <xf numFmtId="0" fontId="0" fillId="0" borderId="0" xfId="0" applyAlignment="1">
      <alignment horizontal="right"/>
    </xf>
    <xf numFmtId="169" fontId="31" fillId="0" borderId="3" xfId="1" applyNumberFormat="1" applyFont="1" applyBorder="1" applyAlignment="1">
      <alignment horizontal="right" wrapText="1"/>
    </xf>
    <xf numFmtId="0" fontId="47" fillId="0" borderId="0" xfId="0" applyFont="1" applyAlignment="1">
      <alignment horizontal="left" vertical="top" wrapText="1"/>
    </xf>
    <xf numFmtId="0" fontId="17" fillId="0" borderId="0" xfId="2" applyAlignment="1" applyProtection="1">
      <alignment horizontal="left" vertical="top" wrapText="1"/>
    </xf>
    <xf numFmtId="15" fontId="47" fillId="0" borderId="0" xfId="0" applyNumberFormat="1" applyFont="1" applyAlignment="1">
      <alignment horizontal="left" vertical="top" wrapText="1"/>
    </xf>
    <xf numFmtId="0" fontId="47" fillId="0" borderId="3" xfId="0" applyFont="1" applyBorder="1" applyAlignment="1">
      <alignment horizontal="left" vertical="top" wrapText="1"/>
    </xf>
    <xf numFmtId="0" fontId="4" fillId="0" borderId="3" xfId="0" applyFont="1" applyBorder="1" applyAlignment="1">
      <alignment horizontal="left"/>
    </xf>
    <xf numFmtId="0" fontId="0" fillId="0" borderId="0" xfId="0" applyBorder="1" applyAlignment="1">
      <alignment horizontal="left"/>
    </xf>
    <xf numFmtId="0" fontId="4" fillId="0" borderId="3" xfId="0" applyFont="1" applyBorder="1" applyAlignment="1">
      <alignment horizontal="left" wrapText="1"/>
    </xf>
    <xf numFmtId="3" fontId="7" fillId="7" borderId="26" xfId="0" applyNumberFormat="1" applyFont="1" applyFill="1" applyBorder="1" applyAlignment="1" applyProtection="1">
      <alignment horizontal="left" wrapText="1"/>
      <protection locked="0"/>
    </xf>
    <xf numFmtId="3" fontId="44" fillId="3" borderId="3" xfId="0" applyNumberFormat="1" applyFont="1" applyFill="1" applyBorder="1"/>
    <xf numFmtId="0" fontId="42" fillId="6" borderId="3" xfId="0" applyFont="1" applyFill="1" applyBorder="1"/>
    <xf numFmtId="0" fontId="42" fillId="6" borderId="0" xfId="0" applyFont="1" applyFill="1" applyBorder="1" applyAlignment="1">
      <alignment wrapText="1"/>
    </xf>
    <xf numFmtId="0" fontId="7" fillId="0" borderId="0" xfId="0" applyFont="1" applyFill="1" applyBorder="1" applyAlignment="1">
      <alignment vertical="center"/>
    </xf>
    <xf numFmtId="169" fontId="31" fillId="0" borderId="3" xfId="1" applyNumberFormat="1" applyFont="1" applyFill="1" applyBorder="1" applyAlignment="1">
      <alignment horizontal="right" vertical="center" wrapText="1"/>
    </xf>
    <xf numFmtId="0" fontId="7" fillId="0" borderId="0" xfId="0" applyFont="1" applyFill="1" applyAlignment="1">
      <alignment vertical="center"/>
    </xf>
    <xf numFmtId="0" fontId="17" fillId="0" borderId="0" xfId="2" applyAlignment="1" applyProtection="1"/>
    <xf numFmtId="0" fontId="7" fillId="0" borderId="0" xfId="0" applyFont="1" applyAlignment="1">
      <alignment vertical="center"/>
    </xf>
    <xf numFmtId="0" fontId="7" fillId="0" borderId="3" xfId="0" applyFont="1" applyFill="1" applyBorder="1" applyAlignment="1">
      <alignment vertical="center"/>
    </xf>
    <xf numFmtId="0" fontId="7" fillId="0" borderId="3" xfId="0" applyFont="1" applyFill="1" applyBorder="1"/>
    <xf numFmtId="1" fontId="7" fillId="0" borderId="3" xfId="0" applyNumberFormat="1" applyFont="1" applyFill="1" applyBorder="1" applyAlignment="1">
      <alignment vertical="center"/>
    </xf>
    <xf numFmtId="170" fontId="7" fillId="0" borderId="3" xfId="0" applyNumberFormat="1" applyFont="1" applyFill="1" applyBorder="1"/>
    <xf numFmtId="1" fontId="7" fillId="0" borderId="3" xfId="0" applyNumberFormat="1" applyFont="1" applyFill="1" applyBorder="1"/>
    <xf numFmtId="3" fontId="7" fillId="0" borderId="3" xfId="0" applyNumberFormat="1" applyFont="1" applyFill="1" applyBorder="1"/>
    <xf numFmtId="0" fontId="48" fillId="0" borderId="3" xfId="0" applyFont="1" applyFill="1" applyBorder="1" applyAlignment="1">
      <alignment vertical="center"/>
    </xf>
    <xf numFmtId="169" fontId="31" fillId="0" borderId="3" xfId="1" applyNumberFormat="1" applyFont="1" applyFill="1" applyBorder="1" applyAlignment="1">
      <alignment horizontal="right" wrapText="1"/>
    </xf>
    <xf numFmtId="169" fontId="31" fillId="0" borderId="3" xfId="1" applyNumberFormat="1" applyFont="1" applyBorder="1"/>
    <xf numFmtId="2" fontId="7" fillId="0" borderId="3" xfId="0" applyNumberFormat="1" applyFont="1" applyFill="1" applyBorder="1"/>
    <xf numFmtId="1" fontId="4" fillId="0" borderId="3" xfId="0" applyNumberFormat="1" applyFont="1" applyFill="1" applyBorder="1" applyAlignment="1">
      <alignment horizontal="right"/>
    </xf>
    <xf numFmtId="0" fontId="4" fillId="0" borderId="0" xfId="0" applyFont="1" applyFill="1" applyAlignment="1">
      <alignment horizontal="right"/>
    </xf>
    <xf numFmtId="0" fontId="4" fillId="0" borderId="0" xfId="0" applyFont="1" applyFill="1" applyAlignment="1">
      <alignment horizontal="left"/>
    </xf>
    <xf numFmtId="1" fontId="0" fillId="0" borderId="0" xfId="0" applyNumberFormat="1"/>
    <xf numFmtId="1" fontId="0" fillId="0" borderId="3" xfId="0" applyNumberFormat="1" applyBorder="1"/>
    <xf numFmtId="0" fontId="7" fillId="0" borderId="3" xfId="0" applyFont="1" applyBorder="1" applyAlignment="1">
      <alignment horizontal="left" wrapText="1"/>
    </xf>
    <xf numFmtId="1" fontId="7" fillId="0" borderId="3" xfId="0" applyNumberFormat="1" applyFont="1" applyBorder="1"/>
    <xf numFmtId="0" fontId="4" fillId="6" borderId="3" xfId="0" applyFont="1" applyFill="1" applyBorder="1" applyAlignment="1" applyProtection="1"/>
    <xf numFmtId="0" fontId="7" fillId="6" borderId="3" xfId="0" applyFont="1" applyFill="1" applyBorder="1" applyAlignment="1" applyProtection="1">
      <alignment wrapText="1"/>
    </xf>
    <xf numFmtId="3" fontId="7" fillId="6" borderId="3" xfId="0" applyNumberFormat="1" applyFont="1" applyFill="1" applyBorder="1" applyAlignment="1" applyProtection="1">
      <alignment horizontal="right"/>
    </xf>
    <xf numFmtId="166" fontId="7" fillId="6" borderId="3" xfId="0" applyNumberFormat="1" applyFont="1" applyFill="1" applyBorder="1" applyAlignment="1" applyProtection="1">
      <alignment horizontal="right" wrapText="1"/>
    </xf>
    <xf numFmtId="3" fontId="7" fillId="6" borderId="3" xfId="0" applyNumberFormat="1" applyFont="1" applyFill="1" applyBorder="1" applyAlignment="1" applyProtection="1">
      <alignment horizontal="right" wrapText="1"/>
    </xf>
    <xf numFmtId="0" fontId="41" fillId="7" borderId="0" xfId="0" applyFont="1" applyFill="1"/>
    <xf numFmtId="0" fontId="0" fillId="6" borderId="22" xfId="0" applyFill="1" applyBorder="1" applyAlignment="1">
      <alignment wrapText="1"/>
    </xf>
    <xf numFmtId="0" fontId="0" fillId="6" borderId="20" xfId="0" applyFill="1" applyBorder="1" applyAlignment="1">
      <alignment wrapText="1"/>
    </xf>
    <xf numFmtId="0" fontId="0" fillId="6" borderId="14" xfId="0" applyFill="1" applyBorder="1" applyAlignment="1">
      <alignment wrapText="1"/>
    </xf>
    <xf numFmtId="0" fontId="0" fillId="6" borderId="19" xfId="0" applyFill="1" applyBorder="1" applyAlignment="1">
      <alignment wrapText="1"/>
    </xf>
    <xf numFmtId="0" fontId="0" fillId="6" borderId="33" xfId="0" applyFill="1" applyBorder="1" applyAlignment="1">
      <alignment wrapText="1"/>
    </xf>
    <xf numFmtId="0" fontId="0" fillId="6" borderId="21" xfId="0" applyFill="1" applyBorder="1" applyAlignment="1">
      <alignment wrapText="1"/>
    </xf>
    <xf numFmtId="0" fontId="0" fillId="6" borderId="35" xfId="0" applyFill="1" applyBorder="1"/>
    <xf numFmtId="0" fontId="7" fillId="6" borderId="14" xfId="0" applyFont="1" applyFill="1" applyBorder="1" applyAlignment="1">
      <alignment horizontal="center" wrapText="1"/>
    </xf>
    <xf numFmtId="0" fontId="7" fillId="6" borderId="14" xfId="0" applyFont="1" applyFill="1" applyBorder="1" applyAlignment="1">
      <alignment horizontal="center"/>
    </xf>
    <xf numFmtId="0" fontId="0" fillId="6" borderId="14" xfId="0" applyFill="1" applyBorder="1"/>
    <xf numFmtId="0" fontId="7" fillId="6" borderId="22" xfId="0" applyFont="1" applyFill="1" applyBorder="1" applyAlignment="1">
      <alignment wrapText="1"/>
    </xf>
    <xf numFmtId="0" fontId="7" fillId="6" borderId="20" xfId="0" applyFont="1" applyFill="1" applyBorder="1" applyAlignment="1">
      <alignment wrapText="1"/>
    </xf>
    <xf numFmtId="0" fontId="7" fillId="6" borderId="14" xfId="0" applyFont="1" applyFill="1" applyBorder="1" applyAlignment="1">
      <alignment wrapText="1"/>
    </xf>
    <xf numFmtId="3" fontId="4" fillId="6" borderId="3" xfId="0" applyNumberFormat="1" applyFont="1" applyFill="1" applyBorder="1" applyAlignment="1">
      <alignment wrapText="1"/>
    </xf>
    <xf numFmtId="168" fontId="4" fillId="6" borderId="3" xfId="0" applyNumberFormat="1" applyFont="1" applyFill="1" applyBorder="1" applyAlignment="1">
      <alignment horizontal="right" wrapText="1"/>
    </xf>
    <xf numFmtId="3" fontId="7" fillId="0" borderId="3" xfId="0" applyNumberFormat="1" applyFont="1" applyFill="1" applyBorder="1" applyAlignment="1" applyProtection="1">
      <alignment horizontal="right" wrapText="1"/>
      <protection locked="0"/>
    </xf>
    <xf numFmtId="0" fontId="42" fillId="7" borderId="0" xfId="0" applyFont="1" applyFill="1"/>
    <xf numFmtId="0" fontId="7" fillId="6" borderId="3" xfId="0" applyFont="1" applyFill="1" applyBorder="1" applyAlignment="1">
      <alignment horizontal="center" wrapText="1"/>
    </xf>
    <xf numFmtId="169" fontId="32" fillId="7" borderId="0" xfId="1" applyNumberFormat="1" applyFont="1" applyFill="1"/>
    <xf numFmtId="168" fontId="0" fillId="0" borderId="3" xfId="0" applyNumberFormat="1" applyFill="1" applyBorder="1" applyAlignment="1">
      <alignment horizontal="right"/>
    </xf>
    <xf numFmtId="168" fontId="42" fillId="7" borderId="0" xfId="0" applyNumberFormat="1" applyFont="1" applyFill="1"/>
    <xf numFmtId="0" fontId="7" fillId="0" borderId="0" xfId="0" quotePrefix="1" applyFont="1"/>
    <xf numFmtId="0" fontId="42" fillId="0" borderId="0" xfId="0" applyFont="1" applyAlignment="1">
      <alignment wrapText="1"/>
    </xf>
    <xf numFmtId="0" fontId="7" fillId="0" borderId="0" xfId="0" quotePrefix="1" applyFont="1" applyFill="1"/>
    <xf numFmtId="17" fontId="7" fillId="0" borderId="0" xfId="0" quotePrefix="1" applyNumberFormat="1" applyFont="1"/>
    <xf numFmtId="0" fontId="7" fillId="0" borderId="6" xfId="0" quotePrefix="1" applyFont="1" applyBorder="1"/>
    <xf numFmtId="2" fontId="0" fillId="2" borderId="3" xfId="0" applyNumberFormat="1" applyFill="1" applyBorder="1"/>
    <xf numFmtId="0" fontId="40" fillId="3" borderId="3" xfId="0" applyFont="1" applyFill="1" applyBorder="1" applyAlignment="1">
      <alignment wrapText="1"/>
    </xf>
    <xf numFmtId="0" fontId="0" fillId="11" borderId="3" xfId="0" applyFill="1" applyBorder="1" applyAlignment="1">
      <alignment wrapText="1"/>
    </xf>
    <xf numFmtId="0" fontId="41" fillId="0" borderId="0" xfId="0" applyFont="1" applyAlignment="1">
      <alignment wrapText="1"/>
    </xf>
    <xf numFmtId="171" fontId="0" fillId="0" borderId="0" xfId="0" applyNumberFormat="1" applyFont="1"/>
    <xf numFmtId="0" fontId="39" fillId="0" borderId="0" xfId="0" applyFont="1" applyAlignment="1">
      <alignment wrapText="1"/>
    </xf>
    <xf numFmtId="0" fontId="0" fillId="0" borderId="0" xfId="0" applyFont="1" applyAlignment="1">
      <alignment wrapText="1"/>
    </xf>
    <xf numFmtId="0" fontId="38" fillId="0" borderId="0" xfId="0" applyFont="1" applyAlignment="1">
      <alignment wrapText="1"/>
    </xf>
    <xf numFmtId="169" fontId="0" fillId="0" borderId="0" xfId="1" applyNumberFormat="1" applyFont="1"/>
    <xf numFmtId="0" fontId="48" fillId="0" borderId="0" xfId="0" applyFont="1"/>
    <xf numFmtId="0" fontId="48" fillId="0" borderId="0" xfId="0" applyFont="1" applyAlignment="1">
      <alignment wrapText="1"/>
    </xf>
    <xf numFmtId="0" fontId="49" fillId="3" borderId="3" xfId="0" applyFont="1" applyFill="1" applyBorder="1" applyAlignment="1">
      <alignment wrapText="1"/>
    </xf>
    <xf numFmtId="3" fontId="0" fillId="0" borderId="0" xfId="0" applyNumberFormat="1"/>
    <xf numFmtId="3" fontId="7" fillId="0" borderId="28" xfId="0" applyNumberFormat="1" applyFont="1" applyFill="1" applyBorder="1" applyProtection="1">
      <protection locked="0"/>
    </xf>
    <xf numFmtId="0" fontId="42" fillId="7" borderId="0" xfId="0" applyFont="1" applyFill="1" applyAlignment="1">
      <alignment horizontal="center"/>
    </xf>
    <xf numFmtId="0" fontId="50" fillId="7" borderId="0" xfId="0" applyFont="1" applyFill="1"/>
    <xf numFmtId="0" fontId="48" fillId="7" borderId="0" xfId="0" applyFont="1" applyFill="1"/>
    <xf numFmtId="0" fontId="2" fillId="7" borderId="0" xfId="0" applyFont="1" applyFill="1"/>
    <xf numFmtId="0" fontId="2" fillId="6" borderId="6" xfId="0" applyFont="1" applyFill="1" applyBorder="1" applyAlignment="1">
      <alignment wrapText="1"/>
    </xf>
    <xf numFmtId="0" fontId="7" fillId="6" borderId="34" xfId="0" applyFont="1" applyFill="1" applyBorder="1" applyAlignment="1">
      <alignment horizontal="center" wrapText="1"/>
    </xf>
    <xf numFmtId="0" fontId="0" fillId="7" borderId="34" xfId="0" applyFill="1" applyBorder="1" applyProtection="1">
      <protection locked="0"/>
    </xf>
    <xf numFmtId="0" fontId="0" fillId="7" borderId="6" xfId="0" applyFill="1" applyBorder="1" applyProtection="1">
      <protection locked="0"/>
    </xf>
    <xf numFmtId="0" fontId="0" fillId="7" borderId="39" xfId="0" applyFill="1" applyBorder="1" applyProtection="1">
      <protection locked="0"/>
    </xf>
    <xf numFmtId="0" fontId="7" fillId="6" borderId="39" xfId="0" applyFont="1" applyFill="1" applyBorder="1" applyAlignment="1">
      <alignment wrapText="1"/>
    </xf>
    <xf numFmtId="0" fontId="0" fillId="6" borderId="40" xfId="0" applyFill="1" applyBorder="1" applyAlignment="1">
      <alignment wrapText="1"/>
    </xf>
    <xf numFmtId="0" fontId="0" fillId="6" borderId="41" xfId="0" applyFill="1" applyBorder="1" applyAlignment="1">
      <alignment wrapText="1"/>
    </xf>
    <xf numFmtId="0" fontId="0" fillId="6" borderId="42" xfId="0" applyFill="1" applyBorder="1" applyAlignment="1">
      <alignment wrapText="1"/>
    </xf>
    <xf numFmtId="3" fontId="0" fillId="6" borderId="40" xfId="0" applyNumberFormat="1" applyFill="1" applyBorder="1" applyAlignment="1">
      <alignment wrapText="1"/>
    </xf>
    <xf numFmtId="0" fontId="0" fillId="7" borderId="21" xfId="0" applyFill="1" applyBorder="1" applyProtection="1">
      <protection locked="0"/>
    </xf>
    <xf numFmtId="0" fontId="0" fillId="7" borderId="23" xfId="0" applyFill="1" applyBorder="1" applyProtection="1">
      <protection locked="0"/>
    </xf>
    <xf numFmtId="3" fontId="7" fillId="0" borderId="14" xfId="0" applyNumberFormat="1" applyFont="1" applyFill="1" applyBorder="1" applyAlignment="1" applyProtection="1">
      <alignment horizontal="right" wrapText="1"/>
      <protection locked="0"/>
    </xf>
    <xf numFmtId="0" fontId="0" fillId="7" borderId="27" xfId="0" applyFill="1" applyBorder="1" applyProtection="1">
      <protection locked="0"/>
    </xf>
    <xf numFmtId="0" fontId="2" fillId="6" borderId="40" xfId="0" applyFont="1" applyFill="1" applyBorder="1" applyAlignment="1">
      <alignment wrapText="1"/>
    </xf>
    <xf numFmtId="0" fontId="7" fillId="6" borderId="43" xfId="0" applyFont="1" applyFill="1" applyBorder="1" applyAlignment="1">
      <alignment wrapText="1"/>
    </xf>
    <xf numFmtId="0" fontId="0" fillId="6" borderId="18" xfId="0" applyFill="1" applyBorder="1"/>
    <xf numFmtId="3" fontId="7" fillId="0" borderId="18" xfId="0" applyNumberFormat="1" applyFont="1" applyFill="1" applyBorder="1" applyAlignment="1" applyProtection="1">
      <alignment horizontal="right" wrapText="1"/>
      <protection locked="0"/>
    </xf>
    <xf numFmtId="0" fontId="0" fillId="7" borderId="9" xfId="0" applyFill="1" applyBorder="1" applyProtection="1">
      <protection locked="0"/>
    </xf>
    <xf numFmtId="0" fontId="4" fillId="6" borderId="19" xfId="0" applyFont="1" applyFill="1" applyBorder="1"/>
    <xf numFmtId="0" fontId="4" fillId="6" borderId="33" xfId="0" applyFont="1" applyFill="1" applyBorder="1"/>
    <xf numFmtId="0" fontId="0" fillId="6" borderId="33" xfId="0" applyFill="1" applyBorder="1"/>
    <xf numFmtId="0" fontId="2" fillId="7" borderId="19" xfId="0" applyFont="1" applyFill="1" applyBorder="1" applyAlignment="1" applyProtection="1">
      <alignment horizontal="center" wrapText="1"/>
      <protection locked="0"/>
    </xf>
    <xf numFmtId="0" fontId="2" fillId="7" borderId="20" xfId="0" applyFont="1" applyFill="1" applyBorder="1" applyAlignment="1" applyProtection="1">
      <alignment horizontal="center" wrapText="1"/>
      <protection locked="0"/>
    </xf>
    <xf numFmtId="0" fontId="2" fillId="7" borderId="22" xfId="0" applyFont="1" applyFill="1" applyBorder="1" applyAlignment="1" applyProtection="1">
      <alignment horizontal="center" wrapText="1"/>
      <protection locked="0"/>
    </xf>
    <xf numFmtId="0" fontId="2" fillId="7" borderId="29" xfId="0" applyFont="1" applyFill="1" applyBorder="1" applyAlignment="1" applyProtection="1">
      <alignment horizontal="center" wrapText="1"/>
      <protection locked="0"/>
    </xf>
    <xf numFmtId="0" fontId="2" fillId="0" borderId="19" xfId="0" applyFont="1" applyFill="1" applyBorder="1" applyAlignment="1" applyProtection="1">
      <alignment horizontal="center" wrapText="1"/>
      <protection locked="0"/>
    </xf>
    <xf numFmtId="0" fontId="2" fillId="0" borderId="22" xfId="0" applyFont="1" applyFill="1" applyBorder="1" applyAlignment="1" applyProtection="1">
      <alignment horizontal="center" wrapText="1"/>
      <protection locked="0"/>
    </xf>
    <xf numFmtId="0" fontId="2" fillId="0" borderId="20" xfId="0" applyFont="1" applyFill="1" applyBorder="1" applyAlignment="1" applyProtection="1">
      <alignment horizontal="center" wrapText="1"/>
      <protection locked="0"/>
    </xf>
    <xf numFmtId="0" fontId="2" fillId="0" borderId="31" xfId="0" applyFont="1" applyFill="1" applyBorder="1" applyAlignment="1" applyProtection="1">
      <alignment horizontal="center" wrapText="1"/>
      <protection locked="0"/>
    </xf>
    <xf numFmtId="0" fontId="7" fillId="0" borderId="0" xfId="0" applyFont="1" applyAlignment="1">
      <alignment wrapText="1"/>
    </xf>
    <xf numFmtId="0" fontId="2" fillId="0" borderId="1" xfId="0" applyFont="1" applyBorder="1" applyAlignment="1">
      <alignment wrapText="1"/>
    </xf>
    <xf numFmtId="0" fontId="2" fillId="0" borderId="8" xfId="0" applyFont="1" applyFill="1" applyBorder="1"/>
    <xf numFmtId="0" fontId="4" fillId="0" borderId="32" xfId="0" applyFont="1" applyBorder="1" applyAlignment="1">
      <alignment wrapText="1"/>
    </xf>
    <xf numFmtId="3" fontId="2" fillId="2" borderId="3" xfId="0" quotePrefix="1" applyNumberFormat="1" applyFont="1" applyFill="1" applyBorder="1" applyAlignment="1">
      <alignment horizontal="center"/>
    </xf>
    <xf numFmtId="4" fontId="2" fillId="3" borderId="3" xfId="0" applyNumberFormat="1" applyFont="1" applyFill="1" applyBorder="1"/>
    <xf numFmtId="0" fontId="51" fillId="0" borderId="0" xfId="0" quotePrefix="1" applyFont="1" applyFill="1" applyAlignment="1">
      <alignment wrapText="1"/>
    </xf>
    <xf numFmtId="0" fontId="2" fillId="0" borderId="0" xfId="0" quotePrefix="1" applyFont="1" applyFill="1"/>
    <xf numFmtId="0" fontId="48" fillId="0" borderId="0" xfId="0" applyFont="1" applyFill="1"/>
    <xf numFmtId="0" fontId="2" fillId="8" borderId="3" xfId="0" applyFont="1" applyFill="1" applyBorder="1"/>
    <xf numFmtId="169" fontId="2" fillId="2" borderId="3" xfId="1" applyNumberFormat="1" applyFont="1" applyFill="1" applyBorder="1"/>
    <xf numFmtId="3" fontId="51" fillId="3" borderId="3" xfId="0" applyNumberFormat="1" applyFont="1" applyFill="1" applyBorder="1"/>
    <xf numFmtId="0" fontId="48" fillId="0" borderId="0" xfId="0" quotePrefix="1" applyFont="1" applyFill="1"/>
    <xf numFmtId="0" fontId="48" fillId="0" borderId="0" xfId="0" applyFont="1" applyFill="1" applyAlignment="1">
      <alignment wrapText="1"/>
    </xf>
    <xf numFmtId="0" fontId="48" fillId="8" borderId="3" xfId="0" applyFont="1" applyFill="1" applyBorder="1"/>
    <xf numFmtId="3" fontId="48" fillId="3" borderId="3" xfId="0" applyNumberFormat="1" applyFont="1" applyFill="1" applyBorder="1"/>
    <xf numFmtId="164" fontId="48" fillId="8" borderId="3" xfId="0" applyNumberFormat="1" applyFont="1" applyFill="1" applyBorder="1"/>
    <xf numFmtId="169" fontId="48" fillId="2" borderId="3" xfId="1" applyNumberFormat="1" applyFont="1" applyFill="1" applyBorder="1"/>
    <xf numFmtId="0" fontId="2" fillId="0" borderId="0" xfId="0" applyFont="1" applyFill="1" applyAlignment="1">
      <alignment wrapText="1"/>
    </xf>
    <xf numFmtId="3" fontId="4" fillId="3" borderId="3" xfId="0" applyNumberFormat="1" applyFont="1" applyFill="1" applyBorder="1"/>
    <xf numFmtId="4" fontId="41" fillId="3" borderId="3" xfId="0" applyNumberFormat="1" applyFont="1" applyFill="1" applyBorder="1"/>
    <xf numFmtId="0" fontId="0" fillId="0" borderId="5" xfId="0" applyFill="1" applyBorder="1" applyAlignment="1">
      <alignment wrapText="1"/>
    </xf>
    <xf numFmtId="0" fontId="0" fillId="0" borderId="5" xfId="0" applyBorder="1" applyAlignment="1">
      <alignment wrapText="1"/>
    </xf>
    <xf numFmtId="2" fontId="41" fillId="3" borderId="3" xfId="0" applyNumberFormat="1" applyFont="1" applyFill="1" applyBorder="1"/>
    <xf numFmtId="168" fontId="48" fillId="3" borderId="3" xfId="0" applyNumberFormat="1" applyFont="1" applyFill="1" applyBorder="1"/>
    <xf numFmtId="0" fontId="7" fillId="6" borderId="32" xfId="0" applyFont="1" applyFill="1" applyBorder="1"/>
    <xf numFmtId="3" fontId="0" fillId="6" borderId="18" xfId="0" applyNumberFormat="1" applyFill="1" applyBorder="1" applyAlignment="1"/>
    <xf numFmtId="168" fontId="0" fillId="6" borderId="18" xfId="0" applyNumberFormat="1" applyFill="1" applyBorder="1" applyAlignment="1"/>
    <xf numFmtId="0" fontId="7" fillId="6" borderId="3" xfId="0" applyFont="1" applyFill="1" applyBorder="1" applyAlignment="1" applyProtection="1">
      <alignment horizontal="center" wrapText="1"/>
      <protection locked="0"/>
    </xf>
    <xf numFmtId="0" fontId="7" fillId="6" borderId="4" xfId="0" applyFont="1" applyFill="1" applyBorder="1" applyAlignment="1" applyProtection="1">
      <alignment horizontal="center" wrapText="1"/>
      <protection locked="0"/>
    </xf>
    <xf numFmtId="0" fontId="7" fillId="6" borderId="18" xfId="0" applyFont="1" applyFill="1" applyBorder="1" applyAlignment="1" applyProtection="1">
      <alignment horizontal="center" wrapText="1"/>
      <protection locked="0"/>
    </xf>
    <xf numFmtId="0" fontId="2" fillId="6" borderId="4" xfId="0" applyFont="1" applyFill="1" applyBorder="1" applyAlignment="1" applyProtection="1">
      <alignment horizontal="center" wrapText="1"/>
      <protection locked="0"/>
    </xf>
    <xf numFmtId="0" fontId="2" fillId="6" borderId="18" xfId="0" applyFont="1" applyFill="1" applyBorder="1" applyAlignment="1" applyProtection="1">
      <alignment horizontal="center" wrapText="1"/>
      <protection locked="0"/>
    </xf>
    <xf numFmtId="0" fontId="42" fillId="6" borderId="6" xfId="0" quotePrefix="1" applyFont="1" applyFill="1" applyBorder="1" applyAlignment="1">
      <alignment wrapText="1"/>
    </xf>
    <xf numFmtId="0" fontId="52" fillId="6" borderId="3" xfId="0" quotePrefix="1" applyFont="1" applyFill="1" applyBorder="1" applyAlignment="1">
      <alignment horizontal="left" vertical="top" wrapText="1"/>
    </xf>
    <xf numFmtId="0" fontId="52" fillId="6" borderId="6" xfId="0" quotePrefix="1" applyFont="1" applyFill="1" applyBorder="1" applyAlignment="1">
      <alignment wrapText="1"/>
    </xf>
    <xf numFmtId="0" fontId="52" fillId="6" borderId="3" xfId="0" quotePrefix="1" applyFont="1" applyFill="1" applyBorder="1" applyAlignment="1">
      <alignment horizontal="right" wrapText="1"/>
    </xf>
    <xf numFmtId="0" fontId="2" fillId="0" borderId="0" xfId="0" quotePrefix="1" applyFont="1" applyFill="1" applyAlignment="1">
      <alignment wrapText="1"/>
    </xf>
    <xf numFmtId="0" fontId="7" fillId="6" borderId="32" xfId="0" applyFont="1" applyFill="1" applyBorder="1" applyAlignment="1"/>
    <xf numFmtId="0" fontId="7" fillId="6" borderId="18" xfId="0" applyFont="1" applyFill="1" applyBorder="1"/>
    <xf numFmtId="0" fontId="2" fillId="0" borderId="40" xfId="0" applyFont="1" applyFill="1" applyBorder="1" applyAlignment="1" applyProtection="1">
      <alignment horizontal="center"/>
      <protection locked="0"/>
    </xf>
    <xf numFmtId="0" fontId="52" fillId="6" borderId="3" xfId="0" applyFont="1" applyFill="1" applyBorder="1" applyAlignment="1" applyProtection="1">
      <alignment wrapText="1"/>
      <protection locked="0"/>
    </xf>
    <xf numFmtId="168" fontId="52" fillId="6" borderId="3" xfId="0" quotePrefix="1" applyNumberFormat="1" applyFont="1" applyFill="1" applyBorder="1" applyAlignment="1">
      <alignment horizontal="right" wrapText="1"/>
    </xf>
    <xf numFmtId="168" fontId="2" fillId="6" borderId="3" xfId="0" applyNumberFormat="1" applyFont="1" applyFill="1" applyBorder="1"/>
    <xf numFmtId="0" fontId="2" fillId="6" borderId="3" xfId="0" applyFont="1" applyFill="1" applyBorder="1" applyAlignment="1">
      <alignment wrapText="1"/>
    </xf>
    <xf numFmtId="0" fontId="2" fillId="7" borderId="30" xfId="0" applyFont="1" applyFill="1" applyBorder="1" applyAlignment="1" applyProtection="1">
      <alignment horizontal="center" wrapText="1"/>
      <protection locked="0"/>
    </xf>
    <xf numFmtId="0" fontId="52" fillId="6" borderId="0" xfId="0" applyFont="1" applyFill="1" applyBorder="1" applyAlignment="1">
      <alignment horizontal="left"/>
    </xf>
    <xf numFmtId="0" fontId="2" fillId="0" borderId="30" xfId="0" applyFont="1" applyFill="1" applyBorder="1" applyAlignment="1" applyProtection="1">
      <alignment horizontal="center"/>
      <protection locked="0"/>
    </xf>
    <xf numFmtId="0" fontId="2" fillId="7" borderId="19" xfId="0" applyFont="1" applyFill="1" applyBorder="1" applyAlignment="1" applyProtection="1">
      <alignment horizontal="center"/>
      <protection locked="0"/>
    </xf>
    <xf numFmtId="0" fontId="2" fillId="7" borderId="30" xfId="0" applyFont="1" applyFill="1" applyBorder="1" applyAlignment="1" applyProtection="1">
      <alignment horizontal="center"/>
      <protection locked="0"/>
    </xf>
    <xf numFmtId="0" fontId="2" fillId="6" borderId="7" xfId="0" applyFont="1" applyFill="1" applyBorder="1" applyAlignment="1">
      <alignment wrapText="1"/>
    </xf>
    <xf numFmtId="0" fontId="7" fillId="6" borderId="32" xfId="0" applyFont="1" applyFill="1" applyBorder="1" applyAlignment="1">
      <alignment wrapText="1"/>
    </xf>
    <xf numFmtId="168" fontId="0" fillId="6" borderId="18" xfId="0" applyNumberFormat="1" applyFill="1" applyBorder="1"/>
    <xf numFmtId="0" fontId="7" fillId="6" borderId="4" xfId="0" applyFont="1" applyFill="1" applyBorder="1" applyAlignment="1">
      <alignment wrapText="1"/>
    </xf>
    <xf numFmtId="0" fontId="52" fillId="6" borderId="4" xfId="0" quotePrefix="1" applyFont="1" applyFill="1" applyBorder="1" applyAlignment="1">
      <alignment horizontal="left" vertical="top" wrapText="1"/>
    </xf>
    <xf numFmtId="0" fontId="2" fillId="6" borderId="0" xfId="0" applyFont="1" applyFill="1" applyBorder="1" applyAlignment="1">
      <alignment horizontal="center"/>
    </xf>
    <xf numFmtId="169" fontId="2" fillId="6" borderId="0" xfId="1" applyNumberFormat="1" applyFont="1" applyFill="1" applyBorder="1" applyAlignment="1">
      <alignment horizontal="center"/>
    </xf>
    <xf numFmtId="0" fontId="2" fillId="6" borderId="8" xfId="0" applyFont="1" applyFill="1" applyBorder="1" applyAlignment="1">
      <alignment horizontal="center"/>
    </xf>
    <xf numFmtId="0" fontId="2" fillId="6" borderId="8" xfId="0" applyFont="1" applyFill="1" applyBorder="1"/>
    <xf numFmtId="0" fontId="0" fillId="6" borderId="8" xfId="0" applyFill="1" applyBorder="1"/>
    <xf numFmtId="0" fontId="0" fillId="6" borderId="32" xfId="0" applyFill="1" applyBorder="1"/>
    <xf numFmtId="0" fontId="53" fillId="6" borderId="1" xfId="0" applyFont="1" applyFill="1" applyBorder="1" applyAlignment="1">
      <alignment wrapText="1"/>
    </xf>
    <xf numFmtId="0" fontId="53" fillId="6" borderId="11" xfId="0" applyFont="1" applyFill="1" applyBorder="1" applyAlignment="1">
      <alignment wrapText="1"/>
    </xf>
    <xf numFmtId="0" fontId="0" fillId="6" borderId="2" xfId="0" applyFill="1" applyBorder="1" applyAlignment="1">
      <alignment horizontal="center"/>
    </xf>
    <xf numFmtId="0" fontId="0" fillId="6" borderId="2" xfId="0" applyFill="1" applyBorder="1"/>
    <xf numFmtId="0" fontId="54" fillId="6" borderId="9" xfId="0" applyFont="1" applyFill="1" applyBorder="1"/>
    <xf numFmtId="172" fontId="8" fillId="9" borderId="3" xfId="1" applyNumberFormat="1" applyFont="1" applyFill="1" applyBorder="1" applyAlignment="1">
      <alignment horizontal="center" wrapText="1"/>
    </xf>
    <xf numFmtId="0" fontId="2" fillId="10" borderId="3" xfId="0" applyFont="1" applyFill="1" applyBorder="1" applyAlignment="1">
      <alignment wrapText="1"/>
    </xf>
    <xf numFmtId="0" fontId="0" fillId="5" borderId="0" xfId="0" applyFill="1"/>
    <xf numFmtId="0" fontId="2" fillId="7" borderId="3" xfId="0" applyFont="1" applyFill="1" applyBorder="1" applyAlignment="1">
      <alignment wrapText="1"/>
    </xf>
    <xf numFmtId="0" fontId="7" fillId="7" borderId="3" xfId="0" applyFont="1" applyFill="1" applyBorder="1" applyAlignment="1" applyProtection="1">
      <alignment wrapText="1"/>
    </xf>
    <xf numFmtId="0" fontId="4" fillId="13" borderId="3" xfId="0" applyFont="1" applyFill="1" applyBorder="1" applyProtection="1"/>
    <xf numFmtId="0" fontId="0" fillId="13" borderId="3" xfId="0" applyFill="1" applyBorder="1" applyProtection="1"/>
    <xf numFmtId="0" fontId="2" fillId="13" borderId="3" xfId="0" applyFont="1" applyFill="1" applyBorder="1" applyAlignment="1" applyProtection="1">
      <alignment wrapText="1"/>
    </xf>
    <xf numFmtId="2" fontId="0" fillId="13" borderId="3" xfId="0" applyNumberFormat="1" applyFill="1" applyBorder="1" applyProtection="1"/>
    <xf numFmtId="0" fontId="0" fillId="13" borderId="3" xfId="0" applyFill="1" applyBorder="1" applyAlignment="1" applyProtection="1">
      <alignment wrapText="1"/>
    </xf>
    <xf numFmtId="169" fontId="0" fillId="13" borderId="3" xfId="0" applyNumberFormat="1" applyFill="1" applyBorder="1" applyProtection="1"/>
    <xf numFmtId="0" fontId="2" fillId="13" borderId="3" xfId="0" applyFont="1" applyFill="1" applyBorder="1" applyProtection="1"/>
    <xf numFmtId="0" fontId="52" fillId="6" borderId="3" xfId="0" applyFont="1" applyFill="1" applyBorder="1"/>
    <xf numFmtId="0" fontId="52" fillId="6" borderId="3" xfId="0" applyFont="1" applyFill="1" applyBorder="1" applyAlignment="1"/>
    <xf numFmtId="0" fontId="42" fillId="7" borderId="0" xfId="0" applyFont="1" applyFill="1" applyAlignment="1">
      <alignment wrapText="1"/>
    </xf>
    <xf numFmtId="0" fontId="55" fillId="7" borderId="0" xfId="0" applyFont="1" applyFill="1"/>
    <xf numFmtId="0" fontId="55" fillId="7" borderId="0" xfId="0" applyFont="1" applyFill="1" applyAlignment="1"/>
    <xf numFmtId="0" fontId="7" fillId="6" borderId="3" xfId="0" applyFont="1" applyFill="1" applyBorder="1" applyAlignment="1">
      <alignment horizontal="center" wrapText="1"/>
    </xf>
    <xf numFmtId="0" fontId="0" fillId="6" borderId="11" xfId="0" applyFill="1" applyBorder="1" applyAlignment="1">
      <alignment wrapText="1"/>
    </xf>
    <xf numFmtId="0" fontId="0" fillId="6" borderId="9" xfId="0" applyFill="1" applyBorder="1" applyAlignment="1">
      <alignment wrapText="1"/>
    </xf>
    <xf numFmtId="0" fontId="2" fillId="0" borderId="29" xfId="0" applyFont="1" applyFill="1" applyBorder="1" applyAlignment="1" applyProtection="1">
      <alignment horizontal="center" wrapText="1"/>
      <protection locked="0"/>
    </xf>
    <xf numFmtId="0" fontId="2" fillId="6" borderId="9" xfId="0" applyFont="1" applyFill="1" applyBorder="1" applyAlignment="1">
      <alignment wrapText="1"/>
    </xf>
    <xf numFmtId="0" fontId="0" fillId="6" borderId="4" xfId="0" applyFill="1" applyBorder="1" applyAlignment="1">
      <alignment wrapText="1"/>
    </xf>
    <xf numFmtId="168" fontId="26" fillId="6" borderId="3" xfId="0" applyNumberFormat="1" applyFont="1" applyFill="1" applyBorder="1" applyAlignment="1">
      <alignment horizontal="left"/>
    </xf>
    <xf numFmtId="0" fontId="4" fillId="14" borderId="3" xfId="0" applyFont="1" applyFill="1" applyBorder="1"/>
    <xf numFmtId="0" fontId="4" fillId="14" borderId="32" xfId="0" applyFont="1" applyFill="1" applyBorder="1" applyAlignment="1">
      <alignment horizontal="center"/>
    </xf>
    <xf numFmtId="0" fontId="4" fillId="14" borderId="3" xfId="0" applyFont="1" applyFill="1" applyBorder="1" applyAlignment="1">
      <alignment wrapText="1"/>
    </xf>
    <xf numFmtId="0" fontId="4" fillId="14" borderId="7" xfId="0" applyFont="1" applyFill="1" applyBorder="1" applyAlignment="1">
      <alignment horizontal="center" wrapText="1"/>
    </xf>
    <xf numFmtId="0" fontId="4" fillId="14" borderId="3" xfId="0" applyFont="1" applyFill="1" applyBorder="1" applyAlignment="1">
      <alignment horizontal="center" wrapText="1"/>
    </xf>
    <xf numFmtId="0" fontId="4" fillId="14" borderId="6" xfId="0" applyFont="1" applyFill="1" applyBorder="1" applyAlignment="1">
      <alignment wrapText="1"/>
    </xf>
    <xf numFmtId="0" fontId="4" fillId="14" borderId="6" xfId="0" applyFont="1" applyFill="1" applyBorder="1" applyAlignment="1">
      <alignment horizontal="center" wrapText="1"/>
    </xf>
    <xf numFmtId="0" fontId="4" fillId="14" borderId="18" xfId="0" applyFont="1" applyFill="1" applyBorder="1" applyAlignment="1">
      <alignment horizontal="center" wrapText="1"/>
    </xf>
    <xf numFmtId="0" fontId="4" fillId="14" borderId="3" xfId="0" applyFont="1" applyFill="1" applyBorder="1" applyAlignment="1">
      <alignment horizontal="left" wrapText="1"/>
    </xf>
    <xf numFmtId="0" fontId="4" fillId="14" borderId="3" xfId="0" applyFont="1" applyFill="1" applyBorder="1" applyAlignment="1">
      <alignment horizontal="center"/>
    </xf>
    <xf numFmtId="0" fontId="4" fillId="14" borderId="18" xfId="0" applyFont="1" applyFill="1" applyBorder="1" applyAlignment="1">
      <alignment horizontal="center"/>
    </xf>
    <xf numFmtId="0" fontId="7" fillId="14" borderId="3" xfId="0" applyFont="1" applyFill="1" applyBorder="1"/>
    <xf numFmtId="0" fontId="0" fillId="14" borderId="3" xfId="0" applyFill="1" applyBorder="1"/>
    <xf numFmtId="169" fontId="4" fillId="14" borderId="6" xfId="1" applyNumberFormat="1" applyFont="1" applyFill="1" applyBorder="1" applyAlignment="1">
      <alignment horizontal="center" wrapText="1"/>
    </xf>
    <xf numFmtId="169" fontId="4" fillId="14" borderId="3" xfId="1" applyNumberFormat="1" applyFont="1" applyFill="1" applyBorder="1" applyAlignment="1">
      <alignment horizontal="center" wrapText="1"/>
    </xf>
    <xf numFmtId="0" fontId="2" fillId="4" borderId="0" xfId="0" applyFont="1" applyFill="1" applyAlignment="1">
      <alignment wrapText="1"/>
    </xf>
    <xf numFmtId="0" fontId="2" fillId="7" borderId="3" xfId="0" applyFont="1" applyFill="1" applyBorder="1" applyAlignment="1" applyProtection="1">
      <alignment wrapText="1"/>
    </xf>
    <xf numFmtId="0" fontId="2" fillId="7" borderId="3" xfId="0" applyNumberFormat="1" applyFont="1" applyFill="1" applyBorder="1" applyAlignment="1">
      <alignment wrapText="1"/>
    </xf>
    <xf numFmtId="0" fontId="2" fillId="6" borderId="3" xfId="0" applyFont="1" applyFill="1" applyBorder="1" applyAlignment="1" applyProtection="1">
      <alignment wrapText="1"/>
    </xf>
    <xf numFmtId="0" fontId="2" fillId="0" borderId="0" xfId="0" applyFont="1" applyFill="1" applyBorder="1" applyAlignment="1">
      <alignment vertical="center"/>
    </xf>
    <xf numFmtId="0" fontId="17" fillId="0" borderId="0" xfId="2" applyFill="1" applyBorder="1" applyAlignment="1" applyProtection="1"/>
    <xf numFmtId="0" fontId="2" fillId="0" borderId="3" xfId="0" applyFont="1" applyFill="1" applyBorder="1" applyAlignment="1">
      <alignment vertical="center"/>
    </xf>
    <xf numFmtId="0" fontId="2" fillId="0" borderId="0" xfId="5"/>
    <xf numFmtId="0" fontId="2" fillId="0" borderId="0" xfId="5" applyFill="1"/>
    <xf numFmtId="0" fontId="2" fillId="0" borderId="0" xfId="5" applyAlignment="1">
      <alignment wrapText="1"/>
    </xf>
    <xf numFmtId="0" fontId="2" fillId="6" borderId="0" xfId="5" applyFill="1"/>
    <xf numFmtId="0" fontId="2" fillId="6" borderId="0" xfId="5" applyFill="1" applyAlignment="1">
      <alignment wrapText="1"/>
    </xf>
    <xf numFmtId="0" fontId="2" fillId="0" borderId="0" xfId="5" applyFill="1" applyAlignment="1">
      <alignment wrapText="1"/>
    </xf>
    <xf numFmtId="0" fontId="2" fillId="6" borderId="3" xfId="5" applyFill="1" applyBorder="1" applyAlignment="1">
      <alignment wrapText="1"/>
    </xf>
    <xf numFmtId="0" fontId="4" fillId="12" borderId="3" xfId="5" applyFont="1" applyFill="1" applyBorder="1" applyAlignment="1">
      <alignment wrapText="1"/>
    </xf>
    <xf numFmtId="0" fontId="2" fillId="6" borderId="3" xfId="5" quotePrefix="1" applyFont="1" applyFill="1" applyBorder="1" applyAlignment="1">
      <alignment horizontal="left" vertical="top"/>
    </xf>
    <xf numFmtId="0" fontId="2" fillId="6" borderId="3" xfId="5" applyFont="1" applyFill="1" applyBorder="1"/>
    <xf numFmtId="0" fontId="2" fillId="12" borderId="3" xfId="5" applyFill="1" applyBorder="1" applyAlignment="1">
      <alignment wrapText="1"/>
    </xf>
    <xf numFmtId="0" fontId="2" fillId="6" borderId="4" xfId="5" quotePrefix="1" applyFont="1" applyFill="1" applyBorder="1" applyAlignment="1">
      <alignment horizontal="left" vertical="top"/>
    </xf>
    <xf numFmtId="0" fontId="2" fillId="6" borderId="3" xfId="5" applyFill="1" applyBorder="1"/>
    <xf numFmtId="0" fontId="2" fillId="6" borderId="3" xfId="5" applyFont="1" applyFill="1" applyBorder="1" applyAlignment="1">
      <alignment wrapText="1"/>
    </xf>
    <xf numFmtId="0" fontId="56" fillId="0" borderId="0" xfId="5" applyFont="1" applyAlignment="1">
      <alignment vertical="center"/>
    </xf>
    <xf numFmtId="0" fontId="2" fillId="0" borderId="3" xfId="5" applyFill="1" applyBorder="1"/>
    <xf numFmtId="0" fontId="2" fillId="0" borderId="3" xfId="5" applyFill="1" applyBorder="1" applyAlignment="1">
      <alignment wrapText="1"/>
    </xf>
    <xf numFmtId="0" fontId="2" fillId="0" borderId="1" xfId="0" applyFont="1" applyBorder="1" applyAlignment="1">
      <alignment horizontal="center" wrapText="1"/>
    </xf>
    <xf numFmtId="0" fontId="2" fillId="0" borderId="0" xfId="0" applyFont="1" applyBorder="1" applyAlignment="1">
      <alignment horizontal="center" wrapText="1"/>
    </xf>
    <xf numFmtId="0" fontId="4" fillId="7" borderId="0" xfId="0" applyFont="1" applyFill="1" applyProtection="1"/>
    <xf numFmtId="0" fontId="7" fillId="7" borderId="0" xfId="0" applyFont="1" applyFill="1" applyProtection="1"/>
    <xf numFmtId="0" fontId="0" fillId="7" borderId="0" xfId="0" applyFill="1" applyProtection="1"/>
    <xf numFmtId="0" fontId="41" fillId="7" borderId="0" xfId="0" applyFont="1" applyFill="1" applyProtection="1"/>
    <xf numFmtId="0" fontId="0" fillId="6" borderId="3" xfId="0" applyFill="1" applyBorder="1" applyAlignment="1" applyProtection="1">
      <alignment wrapText="1"/>
    </xf>
    <xf numFmtId="0" fontId="0" fillId="7" borderId="0" xfId="0" applyFill="1" applyAlignment="1" applyProtection="1">
      <alignment wrapText="1"/>
    </xf>
    <xf numFmtId="0" fontId="41" fillId="6" borderId="13" xfId="0" applyFont="1" applyFill="1" applyBorder="1" applyProtection="1"/>
    <xf numFmtId="0" fontId="7" fillId="6" borderId="3" xfId="0" applyFont="1" applyFill="1" applyBorder="1" applyAlignment="1" applyProtection="1">
      <alignment horizontal="center" wrapText="1"/>
    </xf>
    <xf numFmtId="3" fontId="0" fillId="7" borderId="3" xfId="0" applyNumberFormat="1" applyFill="1" applyBorder="1" applyAlignment="1" applyProtection="1">
      <alignment horizontal="right" wrapText="1"/>
    </xf>
    <xf numFmtId="0" fontId="0" fillId="7" borderId="3" xfId="0" applyFill="1" applyBorder="1" applyAlignment="1" applyProtection="1">
      <alignment wrapText="1"/>
    </xf>
    <xf numFmtId="3" fontId="0" fillId="7" borderId="3" xfId="0" applyNumberFormat="1" applyFill="1" applyBorder="1" applyAlignment="1" applyProtection="1">
      <alignment horizontal="right"/>
    </xf>
    <xf numFmtId="0" fontId="4" fillId="6" borderId="3" xfId="0" applyFont="1" applyFill="1" applyBorder="1" applyAlignment="1" applyProtection="1">
      <alignment wrapText="1"/>
    </xf>
    <xf numFmtId="3" fontId="4" fillId="6" borderId="3" xfId="0" applyNumberFormat="1" applyFont="1" applyFill="1" applyBorder="1" applyProtection="1"/>
    <xf numFmtId="0" fontId="4" fillId="7" borderId="0" xfId="0" applyFont="1" applyFill="1" applyBorder="1" applyAlignment="1" applyProtection="1">
      <alignment wrapText="1"/>
    </xf>
    <xf numFmtId="168" fontId="4" fillId="7" borderId="0" xfId="0" applyNumberFormat="1" applyFont="1" applyFill="1" applyBorder="1" applyProtection="1"/>
    <xf numFmtId="0" fontId="2" fillId="7" borderId="0" xfId="0" applyFont="1" applyFill="1" applyProtection="1"/>
    <xf numFmtId="0" fontId="2" fillId="0" borderId="0" xfId="0" applyFont="1" applyFill="1" applyProtection="1">
      <protection locked="0"/>
    </xf>
    <xf numFmtId="0" fontId="2" fillId="0" borderId="0" xfId="0" applyFont="1" applyFill="1" applyBorder="1"/>
    <xf numFmtId="0" fontId="2" fillId="7" borderId="29" xfId="0" quotePrefix="1" applyFont="1" applyFill="1" applyBorder="1" applyAlignment="1" applyProtection="1">
      <alignment horizontal="center" wrapText="1"/>
      <protection locked="0"/>
    </xf>
    <xf numFmtId="0" fontId="2" fillId="6" borderId="3" xfId="0" applyFont="1" applyFill="1" applyBorder="1" applyAlignment="1" applyProtection="1">
      <alignment wrapText="1"/>
      <protection locked="0"/>
    </xf>
    <xf numFmtId="0" fontId="2" fillId="0" borderId="0" xfId="0" applyFont="1" applyFill="1" applyAlignment="1">
      <alignment vertical="center"/>
    </xf>
    <xf numFmtId="3" fontId="22" fillId="9" borderId="3" xfId="0" applyNumberFormat="1" applyFont="1" applyFill="1" applyBorder="1"/>
    <xf numFmtId="0" fontId="2" fillId="9" borderId="3" xfId="0" applyFont="1" applyFill="1" applyBorder="1"/>
    <xf numFmtId="3" fontId="2" fillId="9" borderId="3" xfId="0" quotePrefix="1" applyNumberFormat="1" applyFont="1" applyFill="1" applyBorder="1" applyAlignment="1">
      <alignment horizontal="center"/>
    </xf>
    <xf numFmtId="168" fontId="0" fillId="3" borderId="3" xfId="0" applyNumberFormat="1" applyFill="1" applyBorder="1" applyAlignment="1">
      <alignment horizontal="right"/>
    </xf>
    <xf numFmtId="0" fontId="4" fillId="7" borderId="30" xfId="0" applyFont="1" applyFill="1" applyBorder="1" applyAlignment="1" applyProtection="1">
      <alignment horizontal="center"/>
      <protection locked="0"/>
    </xf>
    <xf numFmtId="0" fontId="5" fillId="7" borderId="0" xfId="6" applyFont="1" applyFill="1"/>
    <xf numFmtId="0" fontId="2" fillId="7" borderId="0" xfId="5" applyFill="1"/>
    <xf numFmtId="0" fontId="1" fillId="0" borderId="0" xfId="6"/>
    <xf numFmtId="0" fontId="4" fillId="7" borderId="0" xfId="5" applyFont="1" applyFill="1"/>
    <xf numFmtId="0" fontId="42" fillId="7" borderId="0" xfId="5" applyFont="1" applyFill="1"/>
    <xf numFmtId="0" fontId="4" fillId="6" borderId="3" xfId="5" applyFont="1" applyFill="1" applyBorder="1" applyAlignment="1">
      <alignment wrapText="1"/>
    </xf>
    <xf numFmtId="0" fontId="2" fillId="6" borderId="32" xfId="5" applyFill="1" applyBorder="1" applyAlignment="1">
      <alignment horizontal="center" wrapText="1"/>
    </xf>
    <xf numFmtId="0" fontId="2" fillId="6" borderId="7" xfId="5" applyFill="1" applyBorder="1" applyAlignment="1">
      <alignment horizontal="center" wrapText="1"/>
    </xf>
    <xf numFmtId="0" fontId="41" fillId="13" borderId="7" xfId="5" applyFont="1" applyFill="1" applyBorder="1" applyAlignment="1">
      <alignment horizontal="center" wrapText="1"/>
    </xf>
    <xf numFmtId="0" fontId="2" fillId="6" borderId="7" xfId="5" applyFill="1" applyBorder="1" applyAlignment="1">
      <alignment wrapText="1"/>
    </xf>
    <xf numFmtId="0" fontId="2" fillId="6" borderId="6" xfId="5" applyFill="1" applyBorder="1" applyAlignment="1">
      <alignment wrapText="1"/>
    </xf>
    <xf numFmtId="169" fontId="2" fillId="0" borderId="26" xfId="4" applyNumberFormat="1" applyBorder="1" applyAlignment="1" applyProtection="1">
      <alignment horizontal="center" wrapText="1"/>
      <protection locked="0"/>
    </xf>
    <xf numFmtId="0" fontId="2" fillId="6" borderId="7" xfId="5" applyFill="1" applyBorder="1"/>
    <xf numFmtId="172" fontId="2" fillId="13" borderId="7" xfId="5" applyNumberFormat="1" applyFill="1" applyBorder="1" applyAlignment="1">
      <alignment horizontal="center" wrapText="1"/>
    </xf>
    <xf numFmtId="0" fontId="2" fillId="6" borderId="6" xfId="5" applyFill="1" applyBorder="1" applyAlignment="1">
      <alignment horizontal="left" wrapText="1" indent="2"/>
    </xf>
    <xf numFmtId="169" fontId="2" fillId="0" borderId="36" xfId="4" applyNumberFormat="1" applyBorder="1" applyAlignment="1" applyProtection="1">
      <alignment horizontal="center" wrapText="1"/>
      <protection locked="0"/>
    </xf>
    <xf numFmtId="169" fontId="2" fillId="13" borderId="7" xfId="5" applyNumberFormat="1" applyFill="1" applyBorder="1" applyAlignment="1">
      <alignment horizontal="center" wrapText="1"/>
    </xf>
    <xf numFmtId="0" fontId="2" fillId="6" borderId="7" xfId="5" applyFill="1" applyBorder="1" applyAlignment="1">
      <alignment horizontal="left" wrapText="1"/>
    </xf>
    <xf numFmtId="0" fontId="2" fillId="6" borderId="6" xfId="5" applyFill="1" applyBorder="1" applyAlignment="1">
      <alignment vertical="top" wrapText="1"/>
    </xf>
    <xf numFmtId="173" fontId="2" fillId="13" borderId="7" xfId="5" applyNumberFormat="1" applyFill="1" applyBorder="1" applyAlignment="1">
      <alignment horizontal="center" wrapText="1"/>
    </xf>
    <xf numFmtId="43" fontId="2" fillId="13" borderId="7" xfId="5" applyNumberFormat="1" applyFill="1" applyBorder="1" applyAlignment="1">
      <alignment horizontal="center" wrapText="1"/>
    </xf>
    <xf numFmtId="2" fontId="2" fillId="6" borderId="7" xfId="5" applyNumberFormat="1" applyFill="1" applyBorder="1"/>
    <xf numFmtId="1" fontId="2" fillId="6" borderId="7" xfId="5" applyNumberFormat="1" applyFill="1" applyBorder="1"/>
    <xf numFmtId="0" fontId="2" fillId="6" borderId="7" xfId="5" applyFill="1" applyBorder="1" applyAlignment="1">
      <alignment horizontal="right"/>
    </xf>
    <xf numFmtId="0" fontId="2" fillId="6" borderId="6" xfId="5" applyFill="1" applyBorder="1" applyAlignment="1">
      <alignment horizontal="left" vertical="top" wrapText="1" indent="2"/>
    </xf>
    <xf numFmtId="169" fontId="2" fillId="13" borderId="3" xfId="5" applyNumberFormat="1" applyFill="1" applyBorder="1" applyAlignment="1">
      <alignment horizontal="center" wrapText="1"/>
    </xf>
    <xf numFmtId="169" fontId="2" fillId="13" borderId="7" xfId="4" applyNumberFormat="1" applyFill="1" applyBorder="1"/>
    <xf numFmtId="173" fontId="2" fillId="13" borderId="7" xfId="4" applyNumberFormat="1" applyFill="1" applyBorder="1"/>
    <xf numFmtId="169" fontId="2" fillId="0" borderId="24" xfId="4" applyNumberFormat="1" applyBorder="1" applyAlignment="1" applyProtection="1">
      <alignment horizontal="center" wrapText="1"/>
      <protection locked="0"/>
    </xf>
    <xf numFmtId="173" fontId="2" fillId="13" borderId="7" xfId="4" applyNumberFormat="1" applyFill="1" applyBorder="1" applyAlignment="1">
      <alignment wrapText="1"/>
    </xf>
    <xf numFmtId="2" fontId="2" fillId="6" borderId="7" xfId="5" applyNumberFormat="1" applyFill="1" applyBorder="1" applyAlignment="1">
      <alignment wrapText="1"/>
    </xf>
    <xf numFmtId="169" fontId="2" fillId="13" borderId="7" xfId="4" applyNumberFormat="1" applyFill="1" applyBorder="1" applyAlignment="1">
      <alignment wrapText="1"/>
    </xf>
    <xf numFmtId="43" fontId="2" fillId="6" borderId="7" xfId="4" applyFill="1" applyBorder="1" applyAlignment="1">
      <alignment wrapText="1"/>
    </xf>
    <xf numFmtId="0" fontId="2" fillId="6" borderId="6" xfId="6" applyFont="1" applyFill="1" applyBorder="1" applyAlignment="1">
      <alignment wrapText="1"/>
    </xf>
    <xf numFmtId="0" fontId="2" fillId="6" borderId="7" xfId="6" applyFont="1" applyFill="1" applyBorder="1"/>
    <xf numFmtId="0" fontId="2" fillId="6" borderId="7" xfId="6" applyFont="1" applyFill="1" applyBorder="1" applyAlignment="1">
      <alignment horizontal="center" wrapText="1"/>
    </xf>
    <xf numFmtId="0" fontId="2" fillId="6" borderId="7" xfId="6" applyFont="1" applyFill="1" applyBorder="1" applyAlignment="1">
      <alignment wrapText="1"/>
    </xf>
    <xf numFmtId="43" fontId="2" fillId="13" borderId="7" xfId="4" applyFill="1" applyBorder="1"/>
    <xf numFmtId="0" fontId="1" fillId="6" borderId="7" xfId="6" applyFill="1" applyBorder="1"/>
    <xf numFmtId="0" fontId="2" fillId="6" borderId="6" xfId="5" applyFill="1" applyBorder="1" applyAlignment="1">
      <alignment horizontal="left" wrapText="1"/>
    </xf>
    <xf numFmtId="0" fontId="2" fillId="6" borderId="7" xfId="6" applyFont="1" applyFill="1" applyBorder="1" applyAlignment="1">
      <alignment vertical="top" wrapText="1"/>
    </xf>
    <xf numFmtId="0" fontId="2" fillId="6" borderId="6" xfId="5" applyFill="1" applyBorder="1" applyAlignment="1">
      <alignment horizontal="left" wrapText="1" indent="1"/>
    </xf>
    <xf numFmtId="169" fontId="2" fillId="0" borderId="48" xfId="4" applyNumberFormat="1" applyBorder="1" applyAlignment="1" applyProtection="1">
      <alignment horizontal="center" wrapText="1"/>
      <protection locked="0"/>
    </xf>
    <xf numFmtId="174" fontId="2" fillId="13" borderId="7" xfId="4" applyNumberFormat="1" applyFill="1" applyBorder="1"/>
    <xf numFmtId="169" fontId="2" fillId="0" borderId="25" xfId="4" applyNumberFormat="1" applyBorder="1" applyAlignment="1" applyProtection="1">
      <alignment horizontal="center" wrapText="1"/>
      <protection locked="0"/>
    </xf>
    <xf numFmtId="0" fontId="4" fillId="6" borderId="6" xfId="5" applyFont="1" applyFill="1" applyBorder="1" applyAlignment="1">
      <alignment vertical="top" wrapText="1"/>
    </xf>
    <xf numFmtId="0" fontId="4" fillId="6" borderId="6" xfId="5" applyFont="1" applyFill="1" applyBorder="1" applyAlignment="1">
      <alignment horizontal="left" vertical="top" wrapText="1"/>
    </xf>
    <xf numFmtId="0" fontId="4" fillId="6" borderId="6" xfId="5" applyFont="1" applyFill="1" applyBorder="1" applyAlignment="1">
      <alignment wrapText="1"/>
    </xf>
    <xf numFmtId="0" fontId="58" fillId="0" borderId="3" xfId="6" applyFont="1" applyBorder="1" applyAlignment="1">
      <alignment horizontal="center" vertical="center" wrapText="1"/>
    </xf>
    <xf numFmtId="0" fontId="59" fillId="0" borderId="0" xfId="6" applyFont="1"/>
    <xf numFmtId="0" fontId="60" fillId="0" borderId="0" xfId="7" applyFont="1"/>
    <xf numFmtId="0" fontId="61" fillId="0" borderId="3" xfId="6" applyFont="1" applyBorder="1" applyAlignment="1">
      <alignment horizontal="center" vertical="center" wrapText="1"/>
    </xf>
    <xf numFmtId="170" fontId="61" fillId="0" borderId="3" xfId="6" applyNumberFormat="1" applyFont="1" applyBorder="1" applyAlignment="1">
      <alignment horizontal="center" vertical="center" wrapText="1"/>
    </xf>
    <xf numFmtId="164" fontId="61" fillId="0" borderId="3" xfId="6" applyNumberFormat="1" applyFont="1" applyBorder="1" applyAlignment="1">
      <alignment horizontal="center" vertical="center" wrapText="1"/>
    </xf>
    <xf numFmtId="0" fontId="62" fillId="0" borderId="0" xfId="6" applyFont="1" applyAlignment="1">
      <alignment horizontal="left" vertical="center" wrapText="1"/>
    </xf>
    <xf numFmtId="0" fontId="63" fillId="0" borderId="0" xfId="6" applyFont="1"/>
    <xf numFmtId="164" fontId="7" fillId="6" borderId="3" xfId="0" applyNumberFormat="1" applyFont="1" applyFill="1" applyBorder="1"/>
    <xf numFmtId="17" fontId="2" fillId="0" borderId="0" xfId="0" quotePrefix="1" applyNumberFormat="1" applyFont="1"/>
    <xf numFmtId="0" fontId="2" fillId="0" borderId="0" xfId="0" quotePrefix="1" applyFont="1"/>
    <xf numFmtId="0" fontId="52" fillId="7" borderId="0" xfId="0" applyFont="1" applyFill="1" applyProtection="1">
      <protection locked="0"/>
    </xf>
    <xf numFmtId="0" fontId="2" fillId="7" borderId="0" xfId="0" applyFont="1" applyFill="1" applyAlignment="1">
      <alignment wrapText="1"/>
    </xf>
    <xf numFmtId="0" fontId="65" fillId="7" borderId="0" xfId="0" applyFont="1" applyFill="1"/>
    <xf numFmtId="0" fontId="4" fillId="14" borderId="6" xfId="0" applyFont="1" applyFill="1" applyBorder="1" applyAlignment="1">
      <alignment horizontal="center" wrapText="1"/>
    </xf>
    <xf numFmtId="0" fontId="4" fillId="14" borderId="5" xfId="0" applyFont="1" applyFill="1" applyBorder="1" applyAlignment="1">
      <alignment horizontal="center" wrapText="1"/>
    </xf>
    <xf numFmtId="0" fontId="4" fillId="14" borderId="7" xfId="0" applyFont="1" applyFill="1" applyBorder="1" applyAlignment="1">
      <alignment horizontal="center" wrapText="1"/>
    </xf>
    <xf numFmtId="0" fontId="4" fillId="7" borderId="6" xfId="0" applyFont="1" applyFill="1" applyBorder="1" applyAlignment="1">
      <alignment horizontal="left" wrapText="1"/>
    </xf>
    <xf numFmtId="0" fontId="4" fillId="7" borderId="5" xfId="0" applyFont="1" applyFill="1" applyBorder="1" applyAlignment="1">
      <alignment horizontal="left" wrapText="1"/>
    </xf>
    <xf numFmtId="0" fontId="4" fillId="7" borderId="7" xfId="0" applyFont="1" applyFill="1" applyBorder="1" applyAlignment="1">
      <alignment horizontal="left" wrapText="1"/>
    </xf>
    <xf numFmtId="0" fontId="4" fillId="14" borderId="3" xfId="0" applyFont="1" applyFill="1" applyBorder="1" applyAlignment="1">
      <alignment horizontal="center" wrapText="1"/>
    </xf>
    <xf numFmtId="0" fontId="4" fillId="7" borderId="0" xfId="0" applyFont="1" applyFill="1" applyAlignment="1">
      <alignment horizontal="left" wrapText="1"/>
    </xf>
    <xf numFmtId="0" fontId="41" fillId="6" borderId="44" xfId="0" applyFont="1" applyFill="1" applyBorder="1" applyAlignment="1">
      <alignment wrapText="1"/>
    </xf>
    <xf numFmtId="0" fontId="42" fillId="0" borderId="7" xfId="0" applyFont="1" applyBorder="1" applyAlignment="1">
      <alignment wrapText="1"/>
    </xf>
    <xf numFmtId="0" fontId="7" fillId="5" borderId="3" xfId="0" applyFont="1" applyFill="1" applyBorder="1" applyAlignment="1">
      <alignment horizontal="center" wrapText="1"/>
    </xf>
    <xf numFmtId="3" fontId="0" fillId="5" borderId="6" xfId="0" applyNumberFormat="1" applyFill="1" applyBorder="1" applyAlignment="1">
      <alignment horizontal="left" wrapText="1"/>
    </xf>
    <xf numFmtId="3" fontId="0" fillId="5" borderId="5" xfId="0" applyNumberFormat="1" applyFill="1" applyBorder="1" applyAlignment="1">
      <alignment horizontal="left" wrapText="1"/>
    </xf>
    <xf numFmtId="3" fontId="0" fillId="5" borderId="7" xfId="0" applyNumberFormat="1" applyFill="1" applyBorder="1" applyAlignment="1">
      <alignment horizontal="left" wrapText="1"/>
    </xf>
    <xf numFmtId="0" fontId="7" fillId="6" borderId="34" xfId="0" applyFont="1" applyFill="1" applyBorder="1" applyAlignment="1">
      <alignment horizontal="center" wrapText="1"/>
    </xf>
    <xf numFmtId="0" fontId="7" fillId="6" borderId="37" xfId="0" applyFont="1" applyFill="1" applyBorder="1" applyAlignment="1">
      <alignment horizontal="center" wrapText="1"/>
    </xf>
    <xf numFmtId="0" fontId="7" fillId="6" borderId="38" xfId="0" applyFont="1" applyFill="1" applyBorder="1" applyAlignment="1">
      <alignment horizontal="center" wrapText="1"/>
    </xf>
    <xf numFmtId="0" fontId="48" fillId="7" borderId="0" xfId="0" applyFont="1" applyFill="1" applyAlignment="1">
      <alignment wrapText="1"/>
    </xf>
    <xf numFmtId="0" fontId="2" fillId="6" borderId="45" xfId="5" applyFill="1" applyBorder="1" applyAlignment="1">
      <alignment horizontal="left" vertical="center" wrapText="1" indent="2"/>
    </xf>
    <xf numFmtId="0" fontId="2" fillId="6" borderId="46" xfId="5" applyFill="1" applyBorder="1" applyAlignment="1">
      <alignment horizontal="left" vertical="center" wrapText="1" indent="2"/>
    </xf>
    <xf numFmtId="0" fontId="2" fillId="6" borderId="47" xfId="5" applyFill="1" applyBorder="1" applyAlignment="1">
      <alignment horizontal="left" vertical="center" wrapText="1" indent="2"/>
    </xf>
    <xf numFmtId="0" fontId="2" fillId="6" borderId="18" xfId="0" applyFont="1" applyFill="1" applyBorder="1" applyAlignment="1">
      <alignment horizontal="center" vertical="top" wrapText="1"/>
    </xf>
    <xf numFmtId="0" fontId="7" fillId="6" borderId="4" xfId="0" applyFont="1" applyFill="1" applyBorder="1" applyAlignment="1">
      <alignment horizontal="center" vertical="top" wrapText="1"/>
    </xf>
    <xf numFmtId="0" fontId="7" fillId="6" borderId="6" xfId="0" applyFont="1" applyFill="1" applyBorder="1" applyAlignment="1">
      <alignment horizontal="center" vertical="top" wrapText="1"/>
    </xf>
    <xf numFmtId="0" fontId="7" fillId="6" borderId="5" xfId="0" applyFont="1" applyFill="1" applyBorder="1" applyAlignment="1">
      <alignment horizontal="center" vertical="top" wrapText="1"/>
    </xf>
    <xf numFmtId="0" fontId="7" fillId="6" borderId="7" xfId="0" applyFont="1" applyFill="1" applyBorder="1" applyAlignment="1">
      <alignment horizontal="center" vertical="top" wrapText="1"/>
    </xf>
    <xf numFmtId="0" fontId="7" fillId="6" borderId="18" xfId="0" applyFont="1" applyFill="1" applyBorder="1" applyAlignment="1">
      <alignment horizontal="center" vertical="top" wrapText="1"/>
    </xf>
    <xf numFmtId="0" fontId="7" fillId="6" borderId="18" xfId="0" applyFont="1" applyFill="1" applyBorder="1" applyAlignment="1" applyProtection="1">
      <alignment horizontal="center" vertical="top" wrapText="1"/>
    </xf>
    <xf numFmtId="0" fontId="7" fillId="6" borderId="4" xfId="0" applyFont="1" applyFill="1" applyBorder="1" applyAlignment="1" applyProtection="1">
      <alignment horizontal="center" vertical="top" wrapText="1"/>
    </xf>
    <xf numFmtId="0" fontId="7" fillId="6" borderId="6" xfId="0" applyFont="1" applyFill="1" applyBorder="1" applyAlignment="1" applyProtection="1">
      <alignment horizontal="center" wrapText="1"/>
    </xf>
    <xf numFmtId="0" fontId="7" fillId="6" borderId="5" xfId="0" applyFont="1" applyFill="1" applyBorder="1" applyAlignment="1" applyProtection="1">
      <alignment horizontal="center" wrapText="1"/>
    </xf>
    <xf numFmtId="0" fontId="7" fillId="6" borderId="7" xfId="0" applyFont="1" applyFill="1" applyBorder="1" applyAlignment="1" applyProtection="1">
      <alignment horizontal="center" wrapText="1"/>
    </xf>
    <xf numFmtId="0" fontId="7" fillId="6" borderId="6" xfId="0" applyFont="1" applyFill="1" applyBorder="1" applyAlignment="1">
      <alignment horizontal="center" wrapText="1"/>
    </xf>
    <xf numFmtId="0" fontId="7" fillId="6" borderId="5" xfId="0" applyFont="1" applyFill="1" applyBorder="1" applyAlignment="1">
      <alignment horizontal="center" wrapText="1"/>
    </xf>
    <xf numFmtId="0" fontId="7" fillId="6" borderId="7" xfId="0" applyFont="1" applyFill="1" applyBorder="1" applyAlignment="1">
      <alignment horizontal="center" wrapText="1"/>
    </xf>
    <xf numFmtId="0" fontId="7" fillId="0" borderId="0" xfId="0" applyFont="1" applyAlignment="1">
      <alignment wrapText="1"/>
    </xf>
  </cellXfs>
  <cellStyles count="8">
    <cellStyle name="Comma" xfId="1" builtinId="3"/>
    <cellStyle name="Comma 2" xfId="4" xr:uid="{00000000-0005-0000-0000-000001000000}"/>
    <cellStyle name="Hyperlink" xfId="2" builtinId="8"/>
    <cellStyle name="Normal" xfId="0" builtinId="0"/>
    <cellStyle name="Normal 2" xfId="5" xr:uid="{00000000-0005-0000-0000-000004000000}"/>
    <cellStyle name="Normal 3" xfId="6" xr:uid="{18954759-E963-4F5D-B095-FF3B197291F5}"/>
    <cellStyle name="Percent" xfId="3" builtinId="5"/>
    <cellStyle name="Обычный 3" xfId="7" xr:uid="{C18151F3-CD31-4B42-969A-5444394C88F5}"/>
  </cellStyles>
  <dxfs count="147">
    <dxf>
      <numFmt numFmtId="175" formatCode="&quot;N&quot;"/>
    </dxf>
    <dxf>
      <numFmt numFmtId="176" formatCode="&quot;Y&quot;"/>
    </dxf>
    <dxf>
      <font>
        <color theme="1"/>
      </font>
      <fill>
        <patternFill>
          <bgColor theme="6" tint="0.39994506668294322"/>
        </patternFill>
      </fill>
    </dxf>
    <dxf>
      <font>
        <color rgb="FF00B050"/>
      </font>
    </dxf>
    <dxf>
      <font>
        <color rgb="FF00B050"/>
      </font>
    </dxf>
    <dxf>
      <font>
        <color rgb="FFFF0000"/>
      </font>
    </dxf>
    <dxf>
      <fill>
        <patternFill>
          <bgColor rgb="FFFF0000"/>
        </patternFill>
      </fill>
    </dxf>
    <dxf>
      <fill>
        <patternFill>
          <bgColor rgb="FFFF0000"/>
        </patternFill>
      </fill>
    </dxf>
    <dxf>
      <font>
        <color rgb="FFFF0000"/>
      </font>
    </dxf>
    <dxf>
      <font>
        <color theme="1"/>
      </font>
      <fill>
        <patternFill>
          <bgColor rgb="FFFFFFCC"/>
        </patternFill>
      </fill>
    </dxf>
    <dxf>
      <font>
        <color theme="0"/>
      </font>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rgb="FFFF0000"/>
      </font>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0"/>
      </font>
    </dxf>
    <dxf>
      <font>
        <color theme="0"/>
      </font>
    </dxf>
    <dxf>
      <font>
        <color theme="0"/>
      </font>
    </dxf>
    <dxf>
      <font>
        <color theme="0"/>
      </font>
    </dxf>
    <dxf>
      <font>
        <b/>
        <i val="0"/>
        <color theme="1"/>
      </font>
      <fill>
        <patternFill>
          <bgColor rgb="FFFFC000"/>
        </patternFill>
      </fill>
    </dxf>
    <dxf>
      <font>
        <b/>
        <i val="0"/>
        <color theme="1"/>
      </font>
      <fill>
        <patternFill>
          <bgColor rgb="FFFFC000"/>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rgb="FFFF0000"/>
      </font>
    </dxf>
    <dxf>
      <fill>
        <patternFill>
          <bgColor rgb="FFFF0000"/>
        </patternFill>
      </fill>
    </dxf>
    <dxf>
      <fill>
        <patternFill>
          <bgColor rgb="FFFF0000"/>
        </patternFill>
      </fill>
    </dxf>
    <dxf>
      <font>
        <color rgb="FFFF0000"/>
      </font>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0"/>
      </font>
    </dxf>
    <dxf>
      <font>
        <color theme="0"/>
      </font>
    </dxf>
    <dxf>
      <font>
        <color theme="0"/>
      </font>
    </dxf>
    <dxf>
      <font>
        <color theme="0"/>
      </font>
    </dxf>
    <dxf>
      <font>
        <color theme="0"/>
      </font>
    </dxf>
    <dxf>
      <font>
        <color theme="0"/>
      </font>
    </dxf>
    <dxf>
      <font>
        <color theme="0"/>
      </font>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b/>
        <i val="0"/>
        <color theme="1"/>
      </font>
      <fill>
        <patternFill>
          <bgColor rgb="FFFFC000"/>
        </patternFill>
      </fill>
    </dxf>
    <dxf>
      <font>
        <color theme="1"/>
      </font>
      <fill>
        <patternFill>
          <bgColor theme="6" tint="0.39994506668294322"/>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patternType="none">
          <bgColor auto="1"/>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strike val="0"/>
        <color theme="1"/>
      </font>
      <fill>
        <patternFill>
          <bgColor rgb="FFFFFFCC"/>
        </patternFill>
      </fill>
    </dxf>
    <dxf>
      <font>
        <color rgb="FFFF0000"/>
      </font>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1"/>
      </font>
      <fill>
        <patternFill>
          <bgColor rgb="FFFFFFCC"/>
        </patternFill>
      </fill>
    </dxf>
    <dxf>
      <font>
        <color theme="0"/>
      </font>
    </dxf>
    <dxf>
      <font>
        <color theme="0"/>
      </font>
    </dxf>
    <dxf>
      <font>
        <color theme="0"/>
      </font>
    </dxf>
    <dxf>
      <font>
        <color theme="0"/>
      </font>
    </dxf>
    <dxf>
      <font>
        <color theme="0"/>
      </font>
    </dxf>
    <dxf>
      <font>
        <color theme="1"/>
      </font>
      <fill>
        <patternFill>
          <bgColor theme="6" tint="0.39994506668294322"/>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ill>
        <patternFill>
          <bgColor rgb="FFFF0000"/>
        </patternFill>
      </fill>
    </dxf>
    <dxf>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s>
  <tableStyles count="0" defaultTableStyle="TableStyleMedium9" defaultPivotStyle="PivotStyleLight16"/>
  <colors>
    <mruColors>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22594142259417"/>
          <c:y val="2.4263431542461005E-2"/>
          <c:w val="0.53417015341701535"/>
          <c:h val="0.84402079722703638"/>
        </c:manualLayout>
      </c:layout>
      <c:barChart>
        <c:barDir val="bar"/>
        <c:grouping val="clustered"/>
        <c:varyColors val="0"/>
        <c:ser>
          <c:idx val="0"/>
          <c:order val="0"/>
          <c:invertIfNegative val="0"/>
          <c:cat>
            <c:strRef>
              <c:f>'Level 1-Charts'!$A$8:$A$24</c:f>
              <c:strCache>
                <c:ptCount val="17"/>
                <c:pt idx="0">
                  <c:v>Coal combustion and other coal use</c:v>
                </c:pt>
                <c:pt idx="1">
                  <c:v>Other fossil fuel and biomass combustion*4</c:v>
                </c:pt>
                <c:pt idx="2">
                  <c:v>Oil and gas production</c:v>
                </c:pt>
                <c:pt idx="3">
                  <c:v>Primary metal production (excl. gold production by amalgamation)</c:v>
                </c:pt>
                <c:pt idx="4">
                  <c:v>Gold extraction with mercury amalgamation</c:v>
                </c:pt>
                <c:pt idx="5">
                  <c:v>Other materials production*5*8</c:v>
                </c:pt>
                <c:pt idx="6">
                  <c:v>Chlor-alkali production with mercury-cells</c:v>
                </c:pt>
                <c:pt idx="7">
                  <c:v>Other production of chemicals and polymers*6</c:v>
                </c:pt>
                <c:pt idx="8">
                  <c:v>Production of products with mercury content</c:v>
                </c:pt>
                <c:pt idx="9">
                  <c:v>Use and disposal of dental amalgam fillings</c:v>
                </c:pt>
                <c:pt idx="10">
                  <c:v>Use and disposal of other products*7</c:v>
                </c:pt>
                <c:pt idx="11">
                  <c:v>Production of recycled metals</c:v>
                </c:pt>
                <c:pt idx="12">
                  <c:v>Waste incineration and open waste burning*1</c:v>
                </c:pt>
                <c:pt idx="13">
                  <c:v>Waste deposition*1</c:v>
                </c:pt>
                <c:pt idx="14">
                  <c:v>Informal dumping of general waste *1*2</c:v>
                </c:pt>
                <c:pt idx="15">
                  <c:v>Waste water system/treatment *3</c:v>
                </c:pt>
                <c:pt idx="16">
                  <c:v>Crematoria and cemeteries</c:v>
                </c:pt>
              </c:strCache>
            </c:strRef>
          </c:cat>
          <c:val>
            <c:numRef>
              <c:f>'Level 1-Charts'!$B$8:$B$24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7FBE-471F-AD80-705487779EB0}"/>
            </c:ext>
          </c:extLst>
        </c:ser>
        <c:dLbls>
          <c:showLegendKey val="0"/>
          <c:showVal val="0"/>
          <c:showCatName val="0"/>
          <c:showSerName val="0"/>
          <c:showPercent val="0"/>
          <c:showBubbleSize val="0"/>
        </c:dLbls>
        <c:gapWidth val="150"/>
        <c:axId val="281449056"/>
        <c:axId val="284179944"/>
      </c:barChart>
      <c:catAx>
        <c:axId val="2814490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9944"/>
        <c:crosses val="autoZero"/>
        <c:auto val="1"/>
        <c:lblAlgn val="ctr"/>
        <c:lblOffset val="100"/>
        <c:noMultiLvlLbl val="0"/>
      </c:catAx>
      <c:valAx>
        <c:axId val="284179944"/>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Estimated mercury inputs (Kg Hg/y)</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1449056"/>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307371349095967"/>
          <c:y val="2.2690437601296597E-2"/>
          <c:w val="0.54381084840055638"/>
          <c:h val="0.85413290113452189"/>
        </c:manualLayout>
      </c:layout>
      <c:barChart>
        <c:barDir val="bar"/>
        <c:grouping val="clustered"/>
        <c:varyColors val="0"/>
        <c:ser>
          <c:idx val="1"/>
          <c:order val="0"/>
          <c:invertIfNegative val="0"/>
          <c:cat>
            <c:strRef>
              <c:f>'Level 1-Charts'!$A$8:$A$24</c:f>
              <c:strCache>
                <c:ptCount val="17"/>
                <c:pt idx="0">
                  <c:v>Coal combustion and other coal use</c:v>
                </c:pt>
                <c:pt idx="1">
                  <c:v>Other fossil fuel and biomass combustion*4</c:v>
                </c:pt>
                <c:pt idx="2">
                  <c:v>Oil and gas production</c:v>
                </c:pt>
                <c:pt idx="3">
                  <c:v>Primary metal production (excl. gold production by amalgamation)</c:v>
                </c:pt>
                <c:pt idx="4">
                  <c:v>Gold extraction with mercury amalgamation</c:v>
                </c:pt>
                <c:pt idx="5">
                  <c:v>Other materials production*5*8</c:v>
                </c:pt>
                <c:pt idx="6">
                  <c:v>Chlor-alkali production with mercury-cells</c:v>
                </c:pt>
                <c:pt idx="7">
                  <c:v>Other production of chemicals and polymers*6</c:v>
                </c:pt>
                <c:pt idx="8">
                  <c:v>Production of products with mercury content</c:v>
                </c:pt>
                <c:pt idx="9">
                  <c:v>Use and disposal of dental amalgam fillings</c:v>
                </c:pt>
                <c:pt idx="10">
                  <c:v>Use and disposal of other products*7</c:v>
                </c:pt>
                <c:pt idx="11">
                  <c:v>Production of recycled metals</c:v>
                </c:pt>
                <c:pt idx="12">
                  <c:v>Waste incineration and open waste burning*1</c:v>
                </c:pt>
                <c:pt idx="13">
                  <c:v>Waste deposition*1</c:v>
                </c:pt>
                <c:pt idx="14">
                  <c:v>Informal dumping of general waste *1*2</c:v>
                </c:pt>
                <c:pt idx="15">
                  <c:v>Waste water system/treatment *3</c:v>
                </c:pt>
                <c:pt idx="16">
                  <c:v>Crematoria and cemeteries</c:v>
                </c:pt>
              </c:strCache>
            </c:strRef>
          </c:cat>
          <c:val>
            <c:numRef>
              <c:f>'Level 1-Charts'!$C$8:$C$24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9B22-4336-90A1-4D3B8F59D118}"/>
            </c:ext>
          </c:extLst>
        </c:ser>
        <c:dLbls>
          <c:showLegendKey val="0"/>
          <c:showVal val="0"/>
          <c:showCatName val="0"/>
          <c:showSerName val="0"/>
          <c:showPercent val="0"/>
          <c:showBubbleSize val="0"/>
        </c:dLbls>
        <c:gapWidth val="150"/>
        <c:axId val="284184648"/>
        <c:axId val="284184256"/>
      </c:barChart>
      <c:catAx>
        <c:axId val="2841846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256"/>
        <c:crosses val="autoZero"/>
        <c:auto val="1"/>
        <c:lblAlgn val="ctr"/>
        <c:lblOffset val="100"/>
        <c:noMultiLvlLbl val="0"/>
      </c:catAx>
      <c:valAx>
        <c:axId val="28418425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Estimated mercury releases to air (Kg Hg/y)</a:t>
                </a:r>
              </a:p>
            </c:rich>
          </c:tx>
          <c:layout>
            <c:manualLayout>
              <c:xMode val="edge"/>
              <c:yMode val="edge"/>
              <c:x val="0.3495483301026871"/>
              <c:y val="0.92093007822968642"/>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64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249999999999998"/>
          <c:y val="2.113821138211382E-2"/>
          <c:w val="0.5444444444444444"/>
          <c:h val="0.8552845528455284"/>
        </c:manualLayout>
      </c:layout>
      <c:barChart>
        <c:barDir val="bar"/>
        <c:grouping val="clustered"/>
        <c:varyColors val="0"/>
        <c:ser>
          <c:idx val="0"/>
          <c:order val="0"/>
          <c:spPr>
            <a:solidFill>
              <a:srgbClr val="9BBB59">
                <a:lumMod val="75000"/>
              </a:srgbClr>
            </a:solidFill>
          </c:spPr>
          <c:invertIfNegative val="0"/>
          <c:cat>
            <c:strRef>
              <c:f>'Level 1-Charts'!$A$8:$A$24</c:f>
              <c:strCache>
                <c:ptCount val="17"/>
                <c:pt idx="0">
                  <c:v>Coal combustion and other coal use</c:v>
                </c:pt>
                <c:pt idx="1">
                  <c:v>Other fossil fuel and biomass combustion*4</c:v>
                </c:pt>
                <c:pt idx="2">
                  <c:v>Oil and gas production</c:v>
                </c:pt>
                <c:pt idx="3">
                  <c:v>Primary metal production (excl. gold production by amalgamation)</c:v>
                </c:pt>
                <c:pt idx="4">
                  <c:v>Gold extraction with mercury amalgamation</c:v>
                </c:pt>
                <c:pt idx="5">
                  <c:v>Other materials production*5*8</c:v>
                </c:pt>
                <c:pt idx="6">
                  <c:v>Chlor-alkali production with mercury-cells</c:v>
                </c:pt>
                <c:pt idx="7">
                  <c:v>Other production of chemicals and polymers*6</c:v>
                </c:pt>
                <c:pt idx="8">
                  <c:v>Production of products with mercury content</c:v>
                </c:pt>
                <c:pt idx="9">
                  <c:v>Use and disposal of dental amalgam fillings</c:v>
                </c:pt>
                <c:pt idx="10">
                  <c:v>Use and disposal of other products*7</c:v>
                </c:pt>
                <c:pt idx="11">
                  <c:v>Production of recycled metals</c:v>
                </c:pt>
                <c:pt idx="12">
                  <c:v>Waste incineration and open waste burning*1</c:v>
                </c:pt>
                <c:pt idx="13">
                  <c:v>Waste deposition*1</c:v>
                </c:pt>
                <c:pt idx="14">
                  <c:v>Informal dumping of general waste *1*2</c:v>
                </c:pt>
                <c:pt idx="15">
                  <c:v>Waste water system/treatment *3</c:v>
                </c:pt>
                <c:pt idx="16">
                  <c:v>Crematoria and cemeteries</c:v>
                </c:pt>
              </c:strCache>
            </c:strRef>
          </c:cat>
          <c:val>
            <c:numRef>
              <c:f>'Level 1-Charts'!$E$8:$E$24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C6D8-407C-B6F2-37CC3E71D733}"/>
            </c:ext>
          </c:extLst>
        </c:ser>
        <c:dLbls>
          <c:showLegendKey val="0"/>
          <c:showVal val="0"/>
          <c:showCatName val="0"/>
          <c:showSerName val="0"/>
          <c:showPercent val="0"/>
          <c:showBubbleSize val="0"/>
        </c:dLbls>
        <c:gapWidth val="150"/>
        <c:axId val="284183864"/>
        <c:axId val="284180336"/>
      </c:barChart>
      <c:catAx>
        <c:axId val="28418386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336"/>
        <c:crosses val="autoZero"/>
        <c:auto val="1"/>
        <c:lblAlgn val="ctr"/>
        <c:lblOffset val="100"/>
        <c:noMultiLvlLbl val="0"/>
      </c:catAx>
      <c:valAx>
        <c:axId val="28418033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Estimated mercury releases to land (Kg Hg/y)</a:t>
                </a:r>
              </a:p>
            </c:rich>
          </c:tx>
          <c:layout>
            <c:manualLayout>
              <c:xMode val="edge"/>
              <c:yMode val="edge"/>
              <c:x val="0.34954841061533976"/>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386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113821138211382E-2"/>
          <c:w val="0.53675450762829402"/>
          <c:h val="0.8552845528455284"/>
        </c:manualLayout>
      </c:layout>
      <c:barChart>
        <c:barDir val="bar"/>
        <c:grouping val="clustered"/>
        <c:varyColors val="0"/>
        <c:ser>
          <c:idx val="1"/>
          <c:order val="0"/>
          <c:spPr>
            <a:solidFill>
              <a:schemeClr val="bg2">
                <a:lumMod val="50000"/>
              </a:schemeClr>
            </a:solidFill>
          </c:spPr>
          <c:invertIfNegative val="0"/>
          <c:cat>
            <c:strRef>
              <c:f>'Level 1-Charts'!$A$8:$A$24</c:f>
              <c:strCache>
                <c:ptCount val="17"/>
                <c:pt idx="0">
                  <c:v>Coal combustion and other coal use</c:v>
                </c:pt>
                <c:pt idx="1">
                  <c:v>Other fossil fuel and biomass combustion*4</c:v>
                </c:pt>
                <c:pt idx="2">
                  <c:v>Oil and gas production</c:v>
                </c:pt>
                <c:pt idx="3">
                  <c:v>Primary metal production (excl. gold production by amalgamation)</c:v>
                </c:pt>
                <c:pt idx="4">
                  <c:v>Gold extraction with mercury amalgamation</c:v>
                </c:pt>
                <c:pt idx="5">
                  <c:v>Other materials production*5*8</c:v>
                </c:pt>
                <c:pt idx="6">
                  <c:v>Chlor-alkali production with mercury-cells</c:v>
                </c:pt>
                <c:pt idx="7">
                  <c:v>Other production of chemicals and polymers*6</c:v>
                </c:pt>
                <c:pt idx="8">
                  <c:v>Production of products with mercury content</c:v>
                </c:pt>
                <c:pt idx="9">
                  <c:v>Use and disposal of dental amalgam fillings</c:v>
                </c:pt>
                <c:pt idx="10">
                  <c:v>Use and disposal of other products*7</c:v>
                </c:pt>
                <c:pt idx="11">
                  <c:v>Production of recycled metals</c:v>
                </c:pt>
                <c:pt idx="12">
                  <c:v>Waste incineration and open waste burning*1</c:v>
                </c:pt>
                <c:pt idx="13">
                  <c:v>Waste deposition*1</c:v>
                </c:pt>
                <c:pt idx="14">
                  <c:v>Informal dumping of general waste *1*2</c:v>
                </c:pt>
                <c:pt idx="15">
                  <c:v>Waste water system/treatment *3</c:v>
                </c:pt>
                <c:pt idx="16">
                  <c:v>Crematoria and cemeteries</c:v>
                </c:pt>
              </c:strCache>
            </c:strRef>
          </c:cat>
          <c:val>
            <c:numRef>
              <c:f>'Level 1-Charts'!$D$8:$D$24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6736-4C2E-825D-C42D0FA3EF0D}"/>
            </c:ext>
          </c:extLst>
        </c:ser>
        <c:dLbls>
          <c:showLegendKey val="0"/>
          <c:showVal val="0"/>
          <c:showCatName val="0"/>
          <c:showSerName val="0"/>
          <c:showPercent val="0"/>
          <c:showBubbleSize val="0"/>
        </c:dLbls>
        <c:gapWidth val="150"/>
        <c:axId val="284180728"/>
        <c:axId val="284182688"/>
      </c:barChart>
      <c:catAx>
        <c:axId val="2841807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2688"/>
        <c:crosses val="autoZero"/>
        <c:auto val="1"/>
        <c:lblAlgn val="ctr"/>
        <c:lblOffset val="100"/>
        <c:noMultiLvlLbl val="0"/>
      </c:catAx>
      <c:valAx>
        <c:axId val="284182688"/>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Estimated mercury releases to water (Kg Hg/y)</a:t>
                </a:r>
              </a:p>
            </c:rich>
          </c:tx>
          <c:layout>
            <c:manualLayout>
              <c:xMode val="edge"/>
              <c:yMode val="edge"/>
              <c:x val="0.33623466969541432"/>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72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179620034542316E-2"/>
          <c:w val="0.5409153952843273"/>
          <c:h val="0.79447322970639034"/>
        </c:manualLayout>
      </c:layout>
      <c:barChart>
        <c:barDir val="bar"/>
        <c:grouping val="clustered"/>
        <c:varyColors val="0"/>
        <c:ser>
          <c:idx val="1"/>
          <c:order val="0"/>
          <c:spPr>
            <a:solidFill>
              <a:srgbClr val="F79646">
                <a:lumMod val="75000"/>
              </a:srgbClr>
            </a:solidFill>
          </c:spPr>
          <c:invertIfNegative val="0"/>
          <c:cat>
            <c:strRef>
              <c:f>'Level 1-Charts'!$A$8:$A$24</c:f>
              <c:strCache>
                <c:ptCount val="17"/>
                <c:pt idx="0">
                  <c:v>Coal combustion and other coal use</c:v>
                </c:pt>
                <c:pt idx="1">
                  <c:v>Other fossil fuel and biomass combustion*4</c:v>
                </c:pt>
                <c:pt idx="2">
                  <c:v>Oil and gas production</c:v>
                </c:pt>
                <c:pt idx="3">
                  <c:v>Primary metal production (excl. gold production by amalgamation)</c:v>
                </c:pt>
                <c:pt idx="4">
                  <c:v>Gold extraction with mercury amalgamation</c:v>
                </c:pt>
                <c:pt idx="5">
                  <c:v>Other materials production*5*8</c:v>
                </c:pt>
                <c:pt idx="6">
                  <c:v>Chlor-alkali production with mercury-cells</c:v>
                </c:pt>
                <c:pt idx="7">
                  <c:v>Other production of chemicals and polymers*6</c:v>
                </c:pt>
                <c:pt idx="8">
                  <c:v>Production of products with mercury content</c:v>
                </c:pt>
                <c:pt idx="9">
                  <c:v>Use and disposal of dental amalgam fillings</c:v>
                </c:pt>
                <c:pt idx="10">
                  <c:v>Use and disposal of other products*7</c:v>
                </c:pt>
                <c:pt idx="11">
                  <c:v>Production of recycled metals</c:v>
                </c:pt>
                <c:pt idx="12">
                  <c:v>Waste incineration and open waste burning*1</c:v>
                </c:pt>
                <c:pt idx="13">
                  <c:v>Waste deposition*1</c:v>
                </c:pt>
                <c:pt idx="14">
                  <c:v>Informal dumping of general waste *1*2</c:v>
                </c:pt>
                <c:pt idx="15">
                  <c:v>Waste water system/treatment *3</c:v>
                </c:pt>
                <c:pt idx="16">
                  <c:v>Crematoria and cemeteries</c:v>
                </c:pt>
              </c:strCache>
            </c:strRef>
          </c:cat>
          <c:val>
            <c:numRef>
              <c:f>'Level 1-Charts'!$F$8:$F$24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348-4B77-9663-A25488444D74}"/>
            </c:ext>
          </c:extLst>
        </c:ser>
        <c:dLbls>
          <c:showLegendKey val="0"/>
          <c:showVal val="0"/>
          <c:showCatName val="0"/>
          <c:showSerName val="0"/>
          <c:showPercent val="0"/>
          <c:showBubbleSize val="0"/>
        </c:dLbls>
        <c:gapWidth val="150"/>
        <c:axId val="284177984"/>
        <c:axId val="284177592"/>
      </c:barChart>
      <c:catAx>
        <c:axId val="28417798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592"/>
        <c:crosses val="autoZero"/>
        <c:auto val="1"/>
        <c:lblAlgn val="ctr"/>
        <c:lblOffset val="100"/>
        <c:noMultiLvlLbl val="0"/>
      </c:catAx>
      <c:valAx>
        <c:axId val="284177592"/>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Estimated mercury outputs to by-products and impurities (Kg Hg/y)</a:t>
                </a:r>
              </a:p>
            </c:rich>
          </c:tx>
          <c:layout>
            <c:manualLayout>
              <c:xMode val="edge"/>
              <c:yMode val="edge"/>
              <c:x val="0.32594741191331666"/>
              <c:y val="0.8899824568561054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98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347826086956521E-2"/>
          <c:w val="0.5409153952843273"/>
          <c:h val="0.84347826086956523"/>
        </c:manualLayout>
      </c:layout>
      <c:barChart>
        <c:barDir val="bar"/>
        <c:grouping val="clustered"/>
        <c:varyColors val="0"/>
        <c:ser>
          <c:idx val="0"/>
          <c:order val="0"/>
          <c:spPr>
            <a:solidFill>
              <a:srgbClr val="6C4B7B"/>
            </a:solidFill>
          </c:spPr>
          <c:invertIfNegative val="0"/>
          <c:cat>
            <c:strRef>
              <c:f>'Level 1-Charts'!$A$8:$A$24</c:f>
              <c:strCache>
                <c:ptCount val="17"/>
                <c:pt idx="0">
                  <c:v>Coal combustion and other coal use</c:v>
                </c:pt>
                <c:pt idx="1">
                  <c:v>Other fossil fuel and biomass combustion*4</c:v>
                </c:pt>
                <c:pt idx="2">
                  <c:v>Oil and gas production</c:v>
                </c:pt>
                <c:pt idx="3">
                  <c:v>Primary metal production (excl. gold production by amalgamation)</c:v>
                </c:pt>
                <c:pt idx="4">
                  <c:v>Gold extraction with mercury amalgamation</c:v>
                </c:pt>
                <c:pt idx="5">
                  <c:v>Other materials production*5*8</c:v>
                </c:pt>
                <c:pt idx="6">
                  <c:v>Chlor-alkali production with mercury-cells</c:v>
                </c:pt>
                <c:pt idx="7">
                  <c:v>Other production of chemicals and polymers*6</c:v>
                </c:pt>
                <c:pt idx="8">
                  <c:v>Production of products with mercury content</c:v>
                </c:pt>
                <c:pt idx="9">
                  <c:v>Use and disposal of dental amalgam fillings</c:v>
                </c:pt>
                <c:pt idx="10">
                  <c:v>Use and disposal of other products*7</c:v>
                </c:pt>
                <c:pt idx="11">
                  <c:v>Production of recycled metals</c:v>
                </c:pt>
                <c:pt idx="12">
                  <c:v>Waste incineration and open waste burning*1</c:v>
                </c:pt>
                <c:pt idx="13">
                  <c:v>Waste deposition*1</c:v>
                </c:pt>
                <c:pt idx="14">
                  <c:v>Informal dumping of general waste *1*2</c:v>
                </c:pt>
                <c:pt idx="15">
                  <c:v>Waste water system/treatment *3</c:v>
                </c:pt>
                <c:pt idx="16">
                  <c:v>Crematoria and cemeteries</c:v>
                </c:pt>
              </c:strCache>
            </c:strRef>
          </c:cat>
          <c:val>
            <c:numRef>
              <c:f>'Level 1-Charts'!$G$8:$G$24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3E0D-4613-87D3-BAAFE4D577CA}"/>
            </c:ext>
          </c:extLst>
        </c:ser>
        <c:dLbls>
          <c:showLegendKey val="0"/>
          <c:showVal val="0"/>
          <c:showCatName val="0"/>
          <c:showSerName val="0"/>
          <c:showPercent val="0"/>
          <c:showBubbleSize val="0"/>
        </c:dLbls>
        <c:gapWidth val="150"/>
        <c:axId val="285433568"/>
        <c:axId val="285435920"/>
      </c:barChart>
      <c:catAx>
        <c:axId val="28543356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5920"/>
        <c:crosses val="autoZero"/>
        <c:auto val="1"/>
        <c:lblAlgn val="ctr"/>
        <c:lblOffset val="100"/>
        <c:noMultiLvlLbl val="0"/>
      </c:catAx>
      <c:valAx>
        <c:axId val="285435920"/>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Estimated mercury releases to general waste (Kg Hg/y)</a:t>
                </a:r>
              </a:p>
            </c:rich>
          </c:tx>
          <c:layout>
            <c:manualLayout>
              <c:xMode val="edge"/>
              <c:yMode val="edge"/>
              <c:x val="0.23388891922490271"/>
              <c:y val="0.8932195823348169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356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 l="0.70000000000000062" r="0.70000000000000062" t="0.75000000000000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64788732394366E-2"/>
          <c:w val="0.5409153952843273"/>
          <c:h val="0.84154929577464788"/>
        </c:manualLayout>
      </c:layout>
      <c:barChart>
        <c:barDir val="bar"/>
        <c:grouping val="clustered"/>
        <c:varyColors val="0"/>
        <c:ser>
          <c:idx val="0"/>
          <c:order val="0"/>
          <c:spPr>
            <a:solidFill>
              <a:schemeClr val="bg1">
                <a:lumMod val="65000"/>
              </a:schemeClr>
            </a:solidFill>
          </c:spPr>
          <c:invertIfNegative val="0"/>
          <c:cat>
            <c:strRef>
              <c:f>'Level 1-Charts'!$A$8:$A$24</c:f>
              <c:strCache>
                <c:ptCount val="17"/>
                <c:pt idx="0">
                  <c:v>Coal combustion and other coal use</c:v>
                </c:pt>
                <c:pt idx="1">
                  <c:v>Other fossil fuel and biomass combustion*4</c:v>
                </c:pt>
                <c:pt idx="2">
                  <c:v>Oil and gas production</c:v>
                </c:pt>
                <c:pt idx="3">
                  <c:v>Primary metal production (excl. gold production by amalgamation)</c:v>
                </c:pt>
                <c:pt idx="4">
                  <c:v>Gold extraction with mercury amalgamation</c:v>
                </c:pt>
                <c:pt idx="5">
                  <c:v>Other materials production*5*8</c:v>
                </c:pt>
                <c:pt idx="6">
                  <c:v>Chlor-alkali production with mercury-cells</c:v>
                </c:pt>
                <c:pt idx="7">
                  <c:v>Other production of chemicals and polymers*6</c:v>
                </c:pt>
                <c:pt idx="8">
                  <c:v>Production of products with mercury content</c:v>
                </c:pt>
                <c:pt idx="9">
                  <c:v>Use and disposal of dental amalgam fillings</c:v>
                </c:pt>
                <c:pt idx="10">
                  <c:v>Use and disposal of other products*7</c:v>
                </c:pt>
                <c:pt idx="11">
                  <c:v>Production of recycled metals</c:v>
                </c:pt>
                <c:pt idx="12">
                  <c:v>Waste incineration and open waste burning*1</c:v>
                </c:pt>
                <c:pt idx="13">
                  <c:v>Waste deposition*1</c:v>
                </c:pt>
                <c:pt idx="14">
                  <c:v>Informal dumping of general waste *1*2</c:v>
                </c:pt>
                <c:pt idx="15">
                  <c:v>Waste water system/treatment *3</c:v>
                </c:pt>
                <c:pt idx="16">
                  <c:v>Crematoria and cemeteries</c:v>
                </c:pt>
              </c:strCache>
            </c:strRef>
          </c:cat>
          <c:val>
            <c:numRef>
              <c:f>'Level 1-Charts'!$H$8:$H$24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56F1-4A32-93CA-980BC4C924D6}"/>
            </c:ext>
          </c:extLst>
        </c:ser>
        <c:dLbls>
          <c:showLegendKey val="0"/>
          <c:showVal val="0"/>
          <c:showCatName val="0"/>
          <c:showSerName val="0"/>
          <c:showPercent val="0"/>
          <c:showBubbleSize val="0"/>
        </c:dLbls>
        <c:gapWidth val="150"/>
        <c:axId val="285435528"/>
        <c:axId val="285432392"/>
      </c:barChart>
      <c:catAx>
        <c:axId val="2854355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2392"/>
        <c:crosses val="autoZero"/>
        <c:auto val="1"/>
        <c:lblAlgn val="ctr"/>
        <c:lblOffset val="100"/>
        <c:noMultiLvlLbl val="0"/>
      </c:catAx>
      <c:valAx>
        <c:axId val="285432392"/>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Estimated mercury releases, sector spec. waste (Kg Hg/y)</a:t>
                </a:r>
              </a:p>
            </c:rich>
          </c:tx>
          <c:layout>
            <c:manualLayout>
              <c:xMode val="edge"/>
              <c:yMode val="edge"/>
              <c:x val="0.20236708275543228"/>
              <c:y val="0.893219659162322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552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45</xdr:row>
      <xdr:rowOff>66675</xdr:rowOff>
    </xdr:from>
    <xdr:to>
      <xdr:col>4</xdr:col>
      <xdr:colOff>666750</xdr:colOff>
      <xdr:row>79</xdr:row>
      <xdr:rowOff>57150</xdr:rowOff>
    </xdr:to>
    <xdr:graphicFrame macro="">
      <xdr:nvGraphicFramePr>
        <xdr:cNvPr id="6572851" name="Chart 2">
          <a:extLst>
            <a:ext uri="{FF2B5EF4-FFF2-40B4-BE49-F238E27FC236}">
              <a16:creationId xmlns:a16="http://schemas.microsoft.com/office/drawing/2014/main" id="{00000000-0008-0000-1500-000033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81</xdr:row>
      <xdr:rowOff>9525</xdr:rowOff>
    </xdr:from>
    <xdr:to>
      <xdr:col>4</xdr:col>
      <xdr:colOff>685800</xdr:colOff>
      <xdr:row>117</xdr:row>
      <xdr:rowOff>57150</xdr:rowOff>
    </xdr:to>
    <xdr:graphicFrame macro="">
      <xdr:nvGraphicFramePr>
        <xdr:cNvPr id="6572852" name="Chart 3">
          <a:extLst>
            <a:ext uri="{FF2B5EF4-FFF2-40B4-BE49-F238E27FC236}">
              <a16:creationId xmlns:a16="http://schemas.microsoft.com/office/drawing/2014/main" id="{00000000-0008-0000-1500-000034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157</xdr:row>
      <xdr:rowOff>38100</xdr:rowOff>
    </xdr:from>
    <xdr:to>
      <xdr:col>4</xdr:col>
      <xdr:colOff>695325</xdr:colOff>
      <xdr:row>193</xdr:row>
      <xdr:rowOff>66675</xdr:rowOff>
    </xdr:to>
    <xdr:graphicFrame macro="">
      <xdr:nvGraphicFramePr>
        <xdr:cNvPr id="6572853" name="Chart 9">
          <a:extLst>
            <a:ext uri="{FF2B5EF4-FFF2-40B4-BE49-F238E27FC236}">
              <a16:creationId xmlns:a16="http://schemas.microsoft.com/office/drawing/2014/main" id="{00000000-0008-0000-1500-000035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119</xdr:row>
      <xdr:rowOff>66675</xdr:rowOff>
    </xdr:from>
    <xdr:to>
      <xdr:col>4</xdr:col>
      <xdr:colOff>704850</xdr:colOff>
      <xdr:row>155</xdr:row>
      <xdr:rowOff>95250</xdr:rowOff>
    </xdr:to>
    <xdr:graphicFrame macro="">
      <xdr:nvGraphicFramePr>
        <xdr:cNvPr id="6572854" name="Chart 10">
          <a:extLst>
            <a:ext uri="{FF2B5EF4-FFF2-40B4-BE49-F238E27FC236}">
              <a16:creationId xmlns:a16="http://schemas.microsoft.com/office/drawing/2014/main" id="{00000000-0008-0000-1500-000036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195</xdr:row>
      <xdr:rowOff>114300</xdr:rowOff>
    </xdr:from>
    <xdr:to>
      <xdr:col>4</xdr:col>
      <xdr:colOff>704850</xdr:colOff>
      <xdr:row>229</xdr:row>
      <xdr:rowOff>123825</xdr:rowOff>
    </xdr:to>
    <xdr:graphicFrame macro="">
      <xdr:nvGraphicFramePr>
        <xdr:cNvPr id="6572855" name="Chart 16">
          <a:extLst>
            <a:ext uri="{FF2B5EF4-FFF2-40B4-BE49-F238E27FC236}">
              <a16:creationId xmlns:a16="http://schemas.microsoft.com/office/drawing/2014/main" id="{00000000-0008-0000-1500-000037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231</xdr:row>
      <xdr:rowOff>152400</xdr:rowOff>
    </xdr:from>
    <xdr:to>
      <xdr:col>4</xdr:col>
      <xdr:colOff>704850</xdr:colOff>
      <xdr:row>265</xdr:row>
      <xdr:rowOff>123825</xdr:rowOff>
    </xdr:to>
    <xdr:graphicFrame macro="">
      <xdr:nvGraphicFramePr>
        <xdr:cNvPr id="6572856" name="Chart 17">
          <a:extLst>
            <a:ext uri="{FF2B5EF4-FFF2-40B4-BE49-F238E27FC236}">
              <a16:creationId xmlns:a16="http://schemas.microsoft.com/office/drawing/2014/main" id="{00000000-0008-0000-1500-000038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267</xdr:row>
      <xdr:rowOff>66675</xdr:rowOff>
    </xdr:from>
    <xdr:to>
      <xdr:col>4</xdr:col>
      <xdr:colOff>704850</xdr:colOff>
      <xdr:row>300</xdr:row>
      <xdr:rowOff>133350</xdr:rowOff>
    </xdr:to>
    <xdr:graphicFrame macro="">
      <xdr:nvGraphicFramePr>
        <xdr:cNvPr id="6572857" name="Chart 17">
          <a:extLst>
            <a:ext uri="{FF2B5EF4-FFF2-40B4-BE49-F238E27FC236}">
              <a16:creationId xmlns:a16="http://schemas.microsoft.com/office/drawing/2014/main" id="{00000000-0008-0000-1500-000039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C:/C:/Users/Ronkainen/OneDrive%20-%20United%20Nations/UNEP/ToolkitTranslations/French/NEW_Toolkit%20in%20French/FinalVersions/Toolkit-inventaire-niveau%201-Feuille%20de%20calcul-Janvier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C:/C:/C:/Users/Ronkainen/Downloads/Hg-Toolkit-Inventory%20Level%20%201-Calculation-Spreadsheet-January2017%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ape 1-Données pays"/>
      <sheetName val="Etape 2-Energie"/>
      <sheetName val="5-1 Fuels"/>
      <sheetName val="Etape 3-Métaux-MatPre"/>
      <sheetName val="5-2 Prim metal"/>
      <sheetName val="5-3 Other min + mat"/>
      <sheetName val="Etape 4-Utilis. Industrielle Hg"/>
      <sheetName val="5-4 Int Hg in Industry"/>
      <sheetName val="Etape5-Trait.+recyclage déchets"/>
      <sheetName val="5-8 Waste incin"/>
      <sheetName val="5-9 Waste depo and water treatm"/>
      <sheetName val="5-7 Recycl metals"/>
      <sheetName val="Etape6-Produits-substances Hg"/>
      <sheetName val="Countrydata"/>
      <sheetName val="5-5 Cons prod"/>
      <sheetName val="5-6 Other int use"/>
      <sheetName val="Etape7-Crématoriums-cimetières"/>
      <sheetName val="Etape8-Autres sources Hg"/>
      <sheetName val="Insérer résultats IN2"/>
      <sheetName val="Range-thresholds"/>
      <sheetName val="Unités de conversion"/>
      <sheetName val="Niveau 1-SommExec"/>
      <sheetName val="Niveau 1-Graphiques"/>
      <sheetName val="Niveau1- sources Hg identifiées"/>
      <sheetName val="Niveau 1-Sommaire des entréesHg"/>
      <sheetName val="Niveau 1-Sommaire des rejets"/>
      <sheetName val="Niveau 1- Sommaire général"/>
      <sheetName val="Level 2-introduction"/>
      <sheetName val="Level 2-summary"/>
      <sheetName val="Contrôles par défaut"/>
      <sheetName val="Feuille1"/>
      <sheetName val="Translation note"/>
      <sheetName val="5-10 Cremat and c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A8" t="str">
            <v>Cliquez ici pour sélectionner le pays</v>
          </cell>
        </row>
        <row r="9">
          <cell r="A9" t="str">
            <v>Afghanistan</v>
          </cell>
        </row>
        <row r="10">
          <cell r="A10" t="str">
            <v>Albania*8</v>
          </cell>
        </row>
        <row r="11">
          <cell r="A11" t="str">
            <v>Algeria</v>
          </cell>
        </row>
        <row r="12">
          <cell r="A12" t="str">
            <v>Andorra*7</v>
          </cell>
        </row>
        <row r="13">
          <cell r="A13" t="str">
            <v>Angola</v>
          </cell>
        </row>
        <row r="14">
          <cell r="A14" t="str">
            <v>Antigua and Barbuda*8</v>
          </cell>
        </row>
        <row r="15">
          <cell r="A15" t="str">
            <v>Argentina</v>
          </cell>
        </row>
        <row r="16">
          <cell r="A16" t="str">
            <v>Armenia</v>
          </cell>
        </row>
        <row r="17">
          <cell r="A17" t="str">
            <v>Australia*8</v>
          </cell>
        </row>
        <row r="18">
          <cell r="A18" t="str">
            <v>Austria</v>
          </cell>
        </row>
        <row r="19">
          <cell r="A19" t="str">
            <v>Azerbaijan*8</v>
          </cell>
        </row>
        <row r="20">
          <cell r="A20" t="str">
            <v>Bahamas*8</v>
          </cell>
        </row>
        <row r="21">
          <cell r="A21" t="str">
            <v>Bahrain</v>
          </cell>
        </row>
        <row r="22">
          <cell r="A22" t="str">
            <v>Bangladesh</v>
          </cell>
        </row>
        <row r="23">
          <cell r="A23" t="str">
            <v>Barbados*8</v>
          </cell>
        </row>
        <row r="24">
          <cell r="A24" t="str">
            <v>Belarus*9</v>
          </cell>
        </row>
        <row r="25">
          <cell r="A25" t="str">
            <v>Belgium</v>
          </cell>
        </row>
        <row r="26">
          <cell r="A26" t="str">
            <v>Belize*8</v>
          </cell>
        </row>
        <row r="27">
          <cell r="A27" t="str">
            <v>Benin</v>
          </cell>
        </row>
        <row r="28">
          <cell r="A28" t="str">
            <v>Bhutan*6</v>
          </cell>
        </row>
        <row r="29">
          <cell r="A29" t="str">
            <v>Bolivia</v>
          </cell>
        </row>
        <row r="30">
          <cell r="A30" t="str">
            <v>Bosnia and Herzegovina*6</v>
          </cell>
        </row>
        <row r="31">
          <cell r="A31" t="str">
            <v>Botswana</v>
          </cell>
        </row>
        <row r="32">
          <cell r="A32" t="str">
            <v>Brazil</v>
          </cell>
        </row>
        <row r="33">
          <cell r="A33" t="str">
            <v>Brunei Darussalam</v>
          </cell>
        </row>
        <row r="34">
          <cell r="A34" t="str">
            <v>Bulgaria*8</v>
          </cell>
        </row>
        <row r="35">
          <cell r="A35" t="str">
            <v>Burkina Faso</v>
          </cell>
        </row>
        <row r="36">
          <cell r="A36" t="str">
            <v>Burundi*6</v>
          </cell>
        </row>
        <row r="37">
          <cell r="A37" t="str">
            <v>Cambodia</v>
          </cell>
        </row>
        <row r="38">
          <cell r="A38" t="str">
            <v>Cameroon</v>
          </cell>
        </row>
        <row r="39">
          <cell r="A39" t="str">
            <v>Canada*9</v>
          </cell>
        </row>
        <row r="40">
          <cell r="A40" t="str">
            <v>Cape Verde*6</v>
          </cell>
        </row>
        <row r="41">
          <cell r="A41" t="str">
            <v>Central African Republic*6</v>
          </cell>
        </row>
        <row r="42">
          <cell r="A42" t="str">
            <v>Chad*6</v>
          </cell>
        </row>
        <row r="43">
          <cell r="A43" t="str">
            <v>Chile</v>
          </cell>
        </row>
        <row r="44">
          <cell r="A44" t="str">
            <v>China</v>
          </cell>
        </row>
        <row r="45">
          <cell r="A45" t="str">
            <v>Chinese Taipei/Taiwan*10</v>
          </cell>
        </row>
        <row r="46">
          <cell r="A46" t="str">
            <v>Colombia</v>
          </cell>
        </row>
        <row r="47">
          <cell r="A47" t="str">
            <v>Comoros*6</v>
          </cell>
        </row>
        <row r="48">
          <cell r="A48" t="str">
            <v>Cook Islands*8</v>
          </cell>
        </row>
        <row r="49">
          <cell r="A49" t="str">
            <v>Costa Rica</v>
          </cell>
        </row>
        <row r="50">
          <cell r="A50" t="str">
            <v>Côte d'Ivoire</v>
          </cell>
        </row>
        <row r="51">
          <cell r="A51" t="str">
            <v>Croatia*8</v>
          </cell>
        </row>
        <row r="52">
          <cell r="A52" t="str">
            <v>Cuba</v>
          </cell>
        </row>
        <row r="53">
          <cell r="A53" t="str">
            <v>Cyprus*9</v>
          </cell>
        </row>
        <row r="54">
          <cell r="A54" t="str">
            <v>Czech Republic*8</v>
          </cell>
        </row>
        <row r="55">
          <cell r="A55" t="str">
            <v>Democratic People's Republic of Korea</v>
          </cell>
        </row>
        <row r="56">
          <cell r="A56" t="str">
            <v>Democratic Republic of the Congo</v>
          </cell>
        </row>
        <row r="57">
          <cell r="A57" t="str">
            <v>Denmark</v>
          </cell>
        </row>
        <row r="58">
          <cell r="A58" t="str">
            <v>Djibouti*6</v>
          </cell>
        </row>
        <row r="59">
          <cell r="A59" t="str">
            <v>Dominica*6</v>
          </cell>
        </row>
        <row r="60">
          <cell r="A60" t="str">
            <v>Dominican Republic</v>
          </cell>
        </row>
        <row r="61">
          <cell r="A61" t="str">
            <v>Ecuador</v>
          </cell>
        </row>
        <row r="62">
          <cell r="A62" t="str">
            <v>Egypt</v>
          </cell>
        </row>
        <row r="63">
          <cell r="A63" t="str">
            <v>El Salvador</v>
          </cell>
        </row>
        <row r="64">
          <cell r="A64" t="str">
            <v>Equatorial Guinea*11</v>
          </cell>
        </row>
        <row r="65">
          <cell r="A65" t="str">
            <v>Eritrea</v>
          </cell>
        </row>
        <row r="66">
          <cell r="A66" t="str">
            <v>Estonia*8</v>
          </cell>
        </row>
        <row r="67">
          <cell r="A67" t="str">
            <v>Eswatini (Swaziland)</v>
          </cell>
        </row>
        <row r="68">
          <cell r="A68" t="str">
            <v>Ethiopia*8*13</v>
          </cell>
        </row>
        <row r="69">
          <cell r="A69" t="str">
            <v>Fiji</v>
          </cell>
        </row>
        <row r="70">
          <cell r="A70" t="str">
            <v>Finland</v>
          </cell>
        </row>
        <row r="71">
          <cell r="A71" t="str">
            <v>France</v>
          </cell>
        </row>
        <row r="72">
          <cell r="A72" t="str">
            <v>Gabon</v>
          </cell>
        </row>
        <row r="73">
          <cell r="A73" t="str">
            <v>Gambia*6</v>
          </cell>
        </row>
        <row r="74">
          <cell r="A74" t="str">
            <v>Georgia*6</v>
          </cell>
        </row>
        <row r="75">
          <cell r="A75" t="str">
            <v>Germany</v>
          </cell>
        </row>
        <row r="76">
          <cell r="A76" t="str">
            <v>Ghana</v>
          </cell>
        </row>
        <row r="77">
          <cell r="A77" t="str">
            <v>Greece</v>
          </cell>
        </row>
        <row r="78">
          <cell r="A78" t="str">
            <v>Grenada*8</v>
          </cell>
        </row>
        <row r="79">
          <cell r="A79" t="str">
            <v>Guatemala</v>
          </cell>
        </row>
        <row r="80">
          <cell r="A80" t="str">
            <v>Guinea*6</v>
          </cell>
        </row>
        <row r="81">
          <cell r="A81" t="str">
            <v>Guinea-Bissau*6</v>
          </cell>
        </row>
        <row r="82">
          <cell r="A82" t="str">
            <v>Guyana*6</v>
          </cell>
        </row>
        <row r="83">
          <cell r="A83" t="str">
            <v>Haiti</v>
          </cell>
        </row>
        <row r="84">
          <cell r="A84" t="str">
            <v>Honduras</v>
          </cell>
        </row>
        <row r="85">
          <cell r="A85" t="str">
            <v>Hungary*8</v>
          </cell>
        </row>
        <row r="86">
          <cell r="A86" t="str">
            <v>Iceland</v>
          </cell>
        </row>
        <row r="87">
          <cell r="A87" t="str">
            <v>India</v>
          </cell>
        </row>
        <row r="88">
          <cell r="A88" t="str">
            <v>Indonesia</v>
          </cell>
        </row>
        <row r="89">
          <cell r="A89" t="str">
            <v>Iran, Islamic Republic of</v>
          </cell>
        </row>
        <row r="90">
          <cell r="A90" t="str">
            <v>Iraq</v>
          </cell>
        </row>
        <row r="91">
          <cell r="A91" t="str">
            <v>Ireland</v>
          </cell>
        </row>
        <row r="92">
          <cell r="A92" t="str">
            <v>Israel</v>
          </cell>
        </row>
        <row r="93">
          <cell r="A93" t="str">
            <v>Italy</v>
          </cell>
        </row>
        <row r="94">
          <cell r="A94" t="str">
            <v>Jamaica</v>
          </cell>
        </row>
        <row r="95">
          <cell r="A95" t="str">
            <v>Japan*8</v>
          </cell>
        </row>
        <row r="96">
          <cell r="A96" t="str">
            <v>Jordan</v>
          </cell>
        </row>
        <row r="97">
          <cell r="A97" t="str">
            <v>Kazakhstan*9</v>
          </cell>
        </row>
        <row r="98">
          <cell r="A98" t="str">
            <v>Kenya</v>
          </cell>
        </row>
        <row r="99">
          <cell r="A99" t="str">
            <v>Kiribati*12</v>
          </cell>
        </row>
        <row r="100">
          <cell r="A100" t="str">
            <v>Kuwait</v>
          </cell>
        </row>
        <row r="101">
          <cell r="A101" t="str">
            <v>Kyrgyzstan</v>
          </cell>
        </row>
        <row r="102">
          <cell r="A102" t="str">
            <v>Lao People's Democratic Republic</v>
          </cell>
        </row>
        <row r="103">
          <cell r="A103" t="str">
            <v>Latvia*8</v>
          </cell>
        </row>
        <row r="104">
          <cell r="A104" t="str">
            <v>Lebanon</v>
          </cell>
        </row>
        <row r="105">
          <cell r="A105" t="str">
            <v>Lesotho</v>
          </cell>
        </row>
        <row r="106">
          <cell r="A106" t="str">
            <v>Liberia*6</v>
          </cell>
        </row>
        <row r="107">
          <cell r="A107" t="str">
            <v>Libyan Arab Jamahiriya</v>
          </cell>
        </row>
        <row r="108">
          <cell r="A108" t="str">
            <v>Lithuania*8</v>
          </cell>
        </row>
        <row r="109">
          <cell r="A109" t="str">
            <v>Luxembourg</v>
          </cell>
        </row>
        <row r="110">
          <cell r="A110" t="str">
            <v>Madagascar</v>
          </cell>
        </row>
        <row r="111">
          <cell r="A111" t="str">
            <v>Malawi*14</v>
          </cell>
        </row>
        <row r="112">
          <cell r="A112" t="str">
            <v>Malaysia</v>
          </cell>
        </row>
        <row r="113">
          <cell r="A113" t="str">
            <v>Maldives*6</v>
          </cell>
        </row>
        <row r="114">
          <cell r="A114" t="str">
            <v>Mali*6</v>
          </cell>
        </row>
        <row r="115">
          <cell r="A115" t="str">
            <v>Malta</v>
          </cell>
        </row>
        <row r="116">
          <cell r="A116" t="str">
            <v>Marshall Islands*8</v>
          </cell>
        </row>
        <row r="117">
          <cell r="A117" t="str">
            <v>Mauritania*8</v>
          </cell>
        </row>
        <row r="118">
          <cell r="A118" t="str">
            <v>Mauritius</v>
          </cell>
        </row>
        <row r="119">
          <cell r="A119" t="str">
            <v>Mexico*8</v>
          </cell>
        </row>
        <row r="120">
          <cell r="A120" t="str">
            <v>Micronesia, Federated States of*8</v>
          </cell>
        </row>
        <row r="121">
          <cell r="A121" t="str">
            <v>Monaco</v>
          </cell>
        </row>
        <row r="122">
          <cell r="A122" t="str">
            <v>Mongolia*8</v>
          </cell>
        </row>
        <row r="123">
          <cell r="A123" t="str">
            <v>Montenegro*5</v>
          </cell>
        </row>
        <row r="124">
          <cell r="A124" t="str">
            <v>Morocco</v>
          </cell>
        </row>
        <row r="125">
          <cell r="A125" t="str">
            <v>Mozambique</v>
          </cell>
        </row>
        <row r="126">
          <cell r="A126" t="str">
            <v>Myanmar</v>
          </cell>
        </row>
        <row r="127">
          <cell r="A127" t="str">
            <v>Namibia</v>
          </cell>
        </row>
        <row r="128">
          <cell r="A128" t="str">
            <v>Nauru*8*12</v>
          </cell>
        </row>
        <row r="129">
          <cell r="A129" t="str">
            <v>Nepal</v>
          </cell>
        </row>
        <row r="130">
          <cell r="A130" t="str">
            <v>Netherlands</v>
          </cell>
        </row>
        <row r="131">
          <cell r="A131" t="str">
            <v>New Zealand*8</v>
          </cell>
        </row>
        <row r="132">
          <cell r="A132" t="str">
            <v>Nicaragua</v>
          </cell>
        </row>
        <row r="133">
          <cell r="A133" t="str">
            <v>Niger*8</v>
          </cell>
        </row>
        <row r="134">
          <cell r="A134" t="str">
            <v>Nigeria</v>
          </cell>
        </row>
        <row r="135">
          <cell r="A135" t="str">
            <v>Niue*8</v>
          </cell>
        </row>
        <row r="136">
          <cell r="A136" t="str">
            <v>Norway</v>
          </cell>
        </row>
        <row r="137">
          <cell r="A137" t="str">
            <v>Oman</v>
          </cell>
        </row>
        <row r="138">
          <cell r="A138" t="str">
            <v>Pakistan</v>
          </cell>
        </row>
        <row r="139">
          <cell r="A139" t="str">
            <v>Palau*8</v>
          </cell>
        </row>
        <row r="140">
          <cell r="A140" t="str">
            <v>Panama</v>
          </cell>
        </row>
        <row r="141">
          <cell r="A141" t="str">
            <v>Papua New Guinea*6</v>
          </cell>
        </row>
        <row r="142">
          <cell r="A142" t="str">
            <v>Paraguay</v>
          </cell>
        </row>
        <row r="143">
          <cell r="A143" t="str">
            <v>Peru</v>
          </cell>
        </row>
        <row r="144">
          <cell r="A144" t="str">
            <v>Philippines</v>
          </cell>
        </row>
        <row r="145">
          <cell r="A145" t="str">
            <v>Poland*8</v>
          </cell>
        </row>
        <row r="146">
          <cell r="A146" t="str">
            <v>Portugal</v>
          </cell>
        </row>
        <row r="147">
          <cell r="A147" t="str">
            <v>Qatar</v>
          </cell>
        </row>
        <row r="148">
          <cell r="A148" t="str">
            <v>Republic of Korea*8</v>
          </cell>
        </row>
        <row r="149">
          <cell r="A149" t="str">
            <v>Republic of Moldova*6</v>
          </cell>
        </row>
        <row r="150">
          <cell r="A150" t="str">
            <v>Republic of the Congo</v>
          </cell>
        </row>
        <row r="151">
          <cell r="A151" t="str">
            <v>Romania</v>
          </cell>
        </row>
        <row r="152">
          <cell r="A152" t="str">
            <v>Russian Federation*8</v>
          </cell>
        </row>
        <row r="153">
          <cell r="A153" t="str">
            <v>Rwanda*6</v>
          </cell>
        </row>
        <row r="154">
          <cell r="A154" t="str">
            <v>Saint Kitts and Nevis</v>
          </cell>
        </row>
        <row r="155">
          <cell r="A155" t="str">
            <v>Saint Lucia</v>
          </cell>
        </row>
        <row r="156">
          <cell r="A156" t="str">
            <v>Saint Vincent and the Grenadines*6</v>
          </cell>
        </row>
        <row r="157">
          <cell r="A157" t="str">
            <v>Samoa</v>
          </cell>
        </row>
        <row r="158">
          <cell r="A158" t="str">
            <v>San Marino*9</v>
          </cell>
        </row>
        <row r="159">
          <cell r="A159" t="str">
            <v>Sao Tome and Principe*8</v>
          </cell>
        </row>
        <row r="160">
          <cell r="A160" t="str">
            <v>Saudi Arabia</v>
          </cell>
        </row>
        <row r="161">
          <cell r="A161" t="str">
            <v>Senegal</v>
          </cell>
        </row>
        <row r="162">
          <cell r="A162" t="str">
            <v>Serbia*5*8</v>
          </cell>
        </row>
        <row r="163">
          <cell r="A163" t="str">
            <v>Seychelles*8</v>
          </cell>
        </row>
        <row r="164">
          <cell r="A164" t="str">
            <v>Sierra Leone*6</v>
          </cell>
        </row>
        <row r="165">
          <cell r="A165" t="str">
            <v>Singapore*8</v>
          </cell>
        </row>
        <row r="166">
          <cell r="A166" t="str">
            <v>Slovakia</v>
          </cell>
        </row>
        <row r="167">
          <cell r="A167" t="str">
            <v>Slovenia</v>
          </cell>
        </row>
        <row r="168">
          <cell r="A168" t="str">
            <v>Solomon Islands*6</v>
          </cell>
        </row>
        <row r="169">
          <cell r="A169" t="str">
            <v>Somalia*8</v>
          </cell>
        </row>
        <row r="170">
          <cell r="A170" t="str">
            <v>South Africa</v>
          </cell>
        </row>
        <row r="171">
          <cell r="A171" t="str">
            <v>Spain</v>
          </cell>
        </row>
        <row r="172">
          <cell r="A172" t="str">
            <v>Sri Lanka</v>
          </cell>
        </row>
        <row r="173">
          <cell r="A173" t="str">
            <v>Sudan</v>
          </cell>
        </row>
        <row r="174">
          <cell r="A174" t="str">
            <v>Suriname*8</v>
          </cell>
        </row>
        <row r="175">
          <cell r="A175" t="str">
            <v>Sweden</v>
          </cell>
        </row>
        <row r="176">
          <cell r="A176" t="str">
            <v>Switzerland</v>
          </cell>
        </row>
        <row r="177">
          <cell r="A177" t="str">
            <v>Syrian Arab Republic</v>
          </cell>
        </row>
        <row r="178">
          <cell r="A178" t="str">
            <v>Tajikistan*8</v>
          </cell>
        </row>
        <row r="179">
          <cell r="A179" t="str">
            <v>Tanzania*6*13</v>
          </cell>
        </row>
        <row r="180">
          <cell r="A180" t="str">
            <v>Thailand</v>
          </cell>
        </row>
        <row r="181">
          <cell r="A181" t="str">
            <v>The former Yugoslav Republic of Macedonia*8</v>
          </cell>
        </row>
        <row r="182">
          <cell r="A182" t="str">
            <v>Timor-Leste</v>
          </cell>
        </row>
        <row r="183">
          <cell r="A183" t="str">
            <v>Timor-Leste</v>
          </cell>
        </row>
        <row r="184">
          <cell r="A184" t="str">
            <v>Togo</v>
          </cell>
        </row>
        <row r="185">
          <cell r="A185" t="str">
            <v>Tonga</v>
          </cell>
        </row>
        <row r="186">
          <cell r="A186" t="str">
            <v>Trinidad and Tobago</v>
          </cell>
        </row>
        <row r="187">
          <cell r="A187" t="str">
            <v>Tunisia</v>
          </cell>
        </row>
        <row r="188">
          <cell r="A188" t="str">
            <v>Turkey*8</v>
          </cell>
        </row>
        <row r="189">
          <cell r="A189" t="str">
            <v>Turkmenistan*8</v>
          </cell>
        </row>
        <row r="190">
          <cell r="A190" t="str">
            <v>Tuvalu*8</v>
          </cell>
        </row>
        <row r="191">
          <cell r="A191" t="str">
            <v>Uganda</v>
          </cell>
        </row>
        <row r="192">
          <cell r="A192" t="str">
            <v>Ukraine</v>
          </cell>
        </row>
        <row r="193">
          <cell r="A193" t="str">
            <v>United Arab Emirates</v>
          </cell>
        </row>
        <row r="194">
          <cell r="A194" t="str">
            <v>United Kingdom</v>
          </cell>
        </row>
        <row r="195">
          <cell r="A195" t="str">
            <v>United Republic of Tanzania</v>
          </cell>
        </row>
        <row r="196">
          <cell r="A196" t="str">
            <v>United States of America</v>
          </cell>
        </row>
        <row r="197">
          <cell r="A197" t="str">
            <v>Uruguay</v>
          </cell>
        </row>
        <row r="198">
          <cell r="A198" t="str">
            <v>Uzbekistan</v>
          </cell>
        </row>
        <row r="199">
          <cell r="A199" t="str">
            <v>Vanuatu*8*12</v>
          </cell>
        </row>
        <row r="200">
          <cell r="A200" t="str">
            <v>Venezuela, Bolivarian Republic of</v>
          </cell>
        </row>
        <row r="201">
          <cell r="A201" t="str">
            <v>Viet Nam*4</v>
          </cell>
        </row>
        <row r="202">
          <cell r="A202" t="str">
            <v>Yemen</v>
          </cell>
        </row>
        <row r="203">
          <cell r="A203" t="str">
            <v>Zambia</v>
          </cell>
        </row>
        <row r="204">
          <cell r="A204" t="str">
            <v>Zimbabwe</v>
          </cell>
        </row>
        <row r="205">
          <cell r="A205" t="str">
            <v>Other OECD country</v>
          </cell>
        </row>
        <row r="206">
          <cell r="A206" t="str">
            <v>Other non-OECD country</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
          <cell r="B3" t="str">
            <v>Présent ?</v>
          </cell>
        </row>
        <row r="4">
          <cell r="B4" t="str">
            <v>O</v>
          </cell>
        </row>
        <row r="5">
          <cell r="B5" t="str">
            <v>N</v>
          </cell>
        </row>
        <row r="6">
          <cell r="B6" t="str">
            <v>?</v>
          </cell>
        </row>
        <row r="7">
          <cell r="B7" t="str">
            <v>O/N/?</v>
          </cell>
        </row>
        <row r="8">
          <cell r="B8" t="str">
            <v>O/N</v>
          </cell>
        </row>
        <row r="10">
          <cell r="B10" t="str">
            <v>Plus des 2/3 (deux tiers ; 67%) des déchets généraux sont collectés et déposés sur des décharges à épandage contrôlé ou incinérés avec une réduction de la pollution</v>
          </cell>
        </row>
        <row r="11">
          <cell r="B11" t="str">
            <v>Moins des 2/3 (deux tiers ; 67%) des déchets généraux sont collectés et déposés sur des décharges à épandage contrôlé ou incinérés avec une réduction de la pollution</v>
          </cell>
        </row>
        <row r="12">
          <cell r="B12" t="str">
            <v>Répondez O ou N dans la cellule B4 de la feuille "Etape 5- Traitement des déchets + recyclage"</v>
          </cell>
        </row>
        <row r="13">
          <cell r="B13" t="str">
            <v>Plus d'un tiers (33%) des déchets des  produits contenant du mercure sont collectés et traités séparément?</v>
          </cell>
        </row>
        <row r="14">
          <cell r="B14" t="str">
            <v>Moins d'un tiers (33%) des déchets des  produits contenant du mercure sont collectés et traités séparément?</v>
          </cell>
        </row>
        <row r="15">
          <cell r="B15" t="str">
            <v>L'apport estimé de Hg (ou des résultats équivalents du niveau 2) marqués en rouge est très élevé par rapport aux observations précédentes. Les données peuvent être correctes mais veuillez confirmer vos données de taux d'activité.</v>
          </cell>
        </row>
        <row r="16">
          <cell r="B16" t="str">
            <v>Voir Etape 5 cellule F4</v>
          </cell>
        </row>
      </sheetData>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p1-Country data"/>
      <sheetName val="Step2-Energy"/>
      <sheetName val="5-1 Fuels"/>
      <sheetName val="Step3-Metals-RawMat"/>
      <sheetName val="5-2 Prim metal"/>
      <sheetName val="5-3 Other min + mat"/>
      <sheetName val="Step4-Industrial Hg use"/>
      <sheetName val="5-4 Int Hg in Industry"/>
      <sheetName val="Step5-Waste treatment+recycling"/>
      <sheetName val="5-8 Waste incin"/>
      <sheetName val="5-9 Waste depo and water treatm"/>
      <sheetName val="5-7 Recycl metals"/>
      <sheetName val="Step6-Hg products-substances"/>
      <sheetName val="Countrydata"/>
      <sheetName val="5-5 Cons prod"/>
      <sheetName val="5-6 Other int use"/>
      <sheetName val="Step7-Crematoria-cemetaries"/>
      <sheetName val="Step8-Miscellannous Hg sources"/>
      <sheetName val="Insert IL2 results"/>
      <sheetName val="Range-thresholds"/>
      <sheetName val="Unit conversion"/>
      <sheetName val="Level 1-ExecSummary"/>
      <sheetName val="Level 1-Charts"/>
      <sheetName val="Level 1- Hg sources identified"/>
      <sheetName val="Level 1-summary of Hg inputs"/>
      <sheetName val="Level 1-summary of releases"/>
      <sheetName val="Level 1- total summary"/>
      <sheetName val="Level 2-introduction"/>
      <sheetName val="Level 2-summary"/>
      <sheetName val="Controls defaults"/>
      <sheetName val="Translation note"/>
      <sheetName val="5-10 Cremat and cem"/>
    </sheetNames>
    <sheetDataSet>
      <sheetData sheetId="0"/>
      <sheetData sheetId="1"/>
      <sheetData sheetId="2"/>
      <sheetData sheetId="3"/>
      <sheetData sheetId="4"/>
      <sheetData sheetId="5"/>
      <sheetData sheetId="6"/>
      <sheetData sheetId="7">
        <row r="10">
          <cell r="U10">
            <v>0.6</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4">
          <cell r="B4" t="str">
            <v>Y</v>
          </cell>
        </row>
        <row r="5">
          <cell r="B5" t="str">
            <v>N</v>
          </cell>
        </row>
        <row r="6">
          <cell r="B6" t="str">
            <v>?</v>
          </cell>
        </row>
      </sheetData>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comments" Target="../comments10.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1.xml.rels><?xml version="1.0" encoding="UTF-8" standalone="yes"?>
<Relationships xmlns="http://schemas.openxmlformats.org/package/2006/relationships"><Relationship Id="rId8" Type="http://schemas.openxmlformats.org/officeDocument/2006/relationships/hyperlink" Target="https://population.un.org/wpp/DataQuery/" TargetMode="External"/><Relationship Id="rId3" Type="http://schemas.openxmlformats.org/officeDocument/2006/relationships/hyperlink" Target="http://www.reeep.org/file_upload/296_tmpphpW16ncV.pdf" TargetMode="External"/><Relationship Id="rId7" Type="http://schemas.openxmlformats.org/officeDocument/2006/relationships/hyperlink" Target="http://www.who.int/whr/2006/annex/en/index.html" TargetMode="External"/><Relationship Id="rId2" Type="http://schemas.openxmlformats.org/officeDocument/2006/relationships/hyperlink" Target="http://datamarket.com/data/set/1459/household-electrification-rate-of-households" TargetMode="External"/><Relationship Id="rId1" Type="http://schemas.openxmlformats.org/officeDocument/2006/relationships/printerSettings" Target="../printerSettings/printerSettings58.bin"/><Relationship Id="rId6" Type="http://schemas.openxmlformats.org/officeDocument/2006/relationships/hyperlink" Target="http://www.worldenergyoutlook.org/resources/energydevelopment/accesstoelectricity/" TargetMode="External"/><Relationship Id="rId5" Type="http://schemas.openxmlformats.org/officeDocument/2006/relationships/hyperlink" Target="http://www.ngdc.noaa.gov/dmsp/pubs/Elvidge_WINTD_20091022.pdf" TargetMode="External"/><Relationship Id="rId4" Type="http://schemas.openxmlformats.org/officeDocument/2006/relationships/hyperlink" Target="http://www.reegle.info/countries" TargetMode="External"/><Relationship Id="rId9" Type="http://schemas.openxmlformats.org/officeDocument/2006/relationships/printerSettings" Target="../printerSettings/printerSettings59.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37"/>
  <sheetViews>
    <sheetView tabSelected="1" workbookViewId="0">
      <selection activeCell="A23" sqref="A23"/>
    </sheetView>
  </sheetViews>
  <sheetFormatPr defaultColWidth="9.1796875" defaultRowHeight="12.5"/>
  <cols>
    <col min="1" max="1" width="41.81640625" style="339" customWidth="1"/>
    <col min="2" max="2" width="70" style="368" customWidth="1"/>
    <col min="3" max="3" width="15.453125" style="339" customWidth="1"/>
    <col min="4" max="4" width="14.1796875" style="339" customWidth="1"/>
    <col min="5" max="5" width="10.81640625" style="339" customWidth="1"/>
    <col min="6" max="6" width="10.453125" style="339" customWidth="1"/>
    <col min="7" max="7" width="10.36328125" style="339" customWidth="1"/>
    <col min="8" max="8" width="11" style="339" customWidth="1"/>
    <col min="9" max="9" width="9.1796875" style="339"/>
    <col min="10" max="10" width="16.1796875" style="339" customWidth="1"/>
    <col min="11" max="11" width="11" style="339" customWidth="1"/>
    <col min="12" max="12" width="5.36328125" style="339" customWidth="1"/>
    <col min="13" max="16384" width="9.1796875" style="339"/>
  </cols>
  <sheetData>
    <row r="1" spans="1:39" ht="18">
      <c r="A1" s="1" t="s">
        <v>1120</v>
      </c>
    </row>
    <row r="2" spans="1:39" ht="13" thickBot="1"/>
    <row r="3" spans="1:39" ht="26.5" thickBot="1">
      <c r="A3" s="354" t="s">
        <v>710</v>
      </c>
      <c r="B3" s="450"/>
    </row>
    <row r="4" spans="1:39" ht="13">
      <c r="A4" s="265"/>
      <c r="B4" s="474"/>
    </row>
    <row r="5" spans="1:39" ht="13.5" thickBot="1">
      <c r="A5" s="265" t="s">
        <v>406</v>
      </c>
      <c r="B5" s="475"/>
    </row>
    <row r="6" spans="1:39" ht="25">
      <c r="A6" s="367" t="s">
        <v>726</v>
      </c>
      <c r="B6" s="512">
        <f>B23</f>
        <v>0</v>
      </c>
      <c r="C6" s="700" t="s">
        <v>1108</v>
      </c>
      <c r="D6" s="699"/>
      <c r="E6" s="699"/>
      <c r="F6" s="699"/>
    </row>
    <row r="7" spans="1:39" s="490" customFormat="1">
      <c r="A7" s="367" t="s">
        <v>421</v>
      </c>
      <c r="B7" s="384"/>
      <c r="C7" s="339"/>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c r="AD7" s="339"/>
      <c r="AE7" s="339"/>
      <c r="AF7" s="339"/>
      <c r="AG7" s="339"/>
      <c r="AH7" s="339"/>
      <c r="AI7" s="339"/>
      <c r="AJ7" s="339"/>
      <c r="AK7" s="339"/>
      <c r="AL7" s="339"/>
      <c r="AM7" s="339"/>
    </row>
    <row r="8" spans="1:39">
      <c r="A8" s="275" t="s">
        <v>405</v>
      </c>
      <c r="B8" s="383"/>
    </row>
    <row r="9" spans="1:39">
      <c r="A9" s="275" t="s">
        <v>422</v>
      </c>
      <c r="B9" s="384"/>
    </row>
    <row r="10" spans="1:39" ht="13" thickBot="1">
      <c r="A10" s="275" t="s">
        <v>423</v>
      </c>
      <c r="B10" s="385"/>
    </row>
    <row r="11" spans="1:39">
      <c r="A11" s="367"/>
      <c r="B11" s="476"/>
    </row>
    <row r="12" spans="1:39" ht="13.5" thickBot="1">
      <c r="A12" s="265" t="s">
        <v>407</v>
      </c>
      <c r="B12" s="477"/>
      <c r="C12" s="369"/>
      <c r="D12" s="369"/>
      <c r="E12" s="369"/>
      <c r="F12" s="369"/>
      <c r="G12" s="369"/>
      <c r="H12" s="369"/>
      <c r="I12" s="369"/>
      <c r="J12" s="369"/>
      <c r="K12" s="369"/>
      <c r="L12" s="369"/>
    </row>
    <row r="13" spans="1:39">
      <c r="A13" s="275" t="s">
        <v>419</v>
      </c>
      <c r="B13" s="388"/>
      <c r="C13" s="370"/>
      <c r="D13" s="369"/>
      <c r="E13" s="369"/>
      <c r="F13" s="369"/>
      <c r="G13" s="369"/>
      <c r="H13" s="369"/>
      <c r="I13" s="369"/>
      <c r="J13" s="369"/>
      <c r="K13" s="369"/>
      <c r="L13" s="369"/>
    </row>
    <row r="14" spans="1:39">
      <c r="A14" s="275" t="s">
        <v>401</v>
      </c>
      <c r="B14" s="383"/>
      <c r="C14" s="370"/>
      <c r="D14" s="369"/>
      <c r="E14" s="369"/>
      <c r="F14" s="369"/>
      <c r="G14" s="369"/>
      <c r="H14" s="369"/>
      <c r="I14" s="369"/>
      <c r="J14" s="369"/>
      <c r="K14" s="369"/>
      <c r="L14" s="369"/>
    </row>
    <row r="15" spans="1:39">
      <c r="A15" s="275" t="s">
        <v>402</v>
      </c>
      <c r="B15" s="383"/>
      <c r="C15" s="370"/>
      <c r="D15" s="369"/>
      <c r="E15" s="369"/>
      <c r="F15" s="369"/>
      <c r="G15" s="369"/>
      <c r="H15" s="369"/>
      <c r="I15" s="369"/>
      <c r="J15" s="369"/>
      <c r="K15" s="369"/>
      <c r="L15" s="369"/>
    </row>
    <row r="16" spans="1:39">
      <c r="A16" s="386" t="s">
        <v>403</v>
      </c>
      <c r="B16" s="383"/>
      <c r="C16" s="369"/>
      <c r="D16" s="369"/>
      <c r="E16" s="369"/>
      <c r="F16" s="369"/>
      <c r="G16" s="369"/>
      <c r="H16" s="369"/>
      <c r="I16" s="369"/>
      <c r="J16" s="369"/>
      <c r="K16" s="369"/>
      <c r="L16" s="369"/>
    </row>
    <row r="17" spans="1:4">
      <c r="A17" s="275" t="s">
        <v>404</v>
      </c>
      <c r="B17" s="383"/>
    </row>
    <row r="18" spans="1:4" ht="13" thickBot="1">
      <c r="A18" s="387" t="s">
        <v>420</v>
      </c>
      <c r="B18" s="385"/>
    </row>
    <row r="19" spans="1:4">
      <c r="A19" s="272"/>
      <c r="B19" s="478"/>
    </row>
    <row r="21" spans="1:4" ht="13">
      <c r="A21" s="538" t="s">
        <v>973</v>
      </c>
      <c r="B21" s="539"/>
      <c r="C21" s="539"/>
      <c r="D21" s="539"/>
    </row>
    <row r="22" spans="1:4" ht="62.5">
      <c r="A22" s="539" t="s">
        <v>830</v>
      </c>
      <c r="B22" s="726" t="s">
        <v>1124</v>
      </c>
      <c r="C22" s="539" t="s">
        <v>721</v>
      </c>
      <c r="D22" s="539" t="s">
        <v>831</v>
      </c>
    </row>
    <row r="23" spans="1:4">
      <c r="A23" s="768" t="s">
        <v>822</v>
      </c>
      <c r="B23" s="540">
        <f>IF(ISERROR(INDEX(Countrydata!B$8:B$206,MATCH($A$23,Country,0))),"Select country",INDEX(Countrydata!B$8:B$206,MATCH($A$23,Country,0)))</f>
        <v>0</v>
      </c>
      <c r="C23" s="541">
        <f>IF(ISERROR(INDEX(Countrydata!D$8:D$206,MATCH('Step1-Country data'!$A$23,Country,0))),"Select country",INDEX(Countrydata!D$8:D$206,MATCH('Step1-Country data'!$A$23,Country,0)))</f>
        <v>0.82919079065322876</v>
      </c>
      <c r="D23" s="542">
        <f>IF(ISERROR(INDEX(Countrydata!C$8:C$206,MATCH('Step1-Country data'!$A$23,Country,0))),"Select country",INDEX(Countrydata!C$8:C$206,MATCH('Step1-Country data'!$A$23,Country,0)))</f>
        <v>100</v>
      </c>
    </row>
    <row r="24" spans="1:4">
      <c r="A24" s="323" t="s">
        <v>920</v>
      </c>
      <c r="B24" s="339"/>
    </row>
    <row r="25" spans="1:4">
      <c r="A25" s="339" t="s">
        <v>725</v>
      </c>
    </row>
    <row r="27" spans="1:4" ht="13">
      <c r="A27" s="323" t="s">
        <v>922</v>
      </c>
    </row>
    <row r="28" spans="1:4">
      <c r="A28" s="323" t="s">
        <v>923</v>
      </c>
    </row>
    <row r="30" spans="1:4">
      <c r="A30" s="323" t="s">
        <v>921</v>
      </c>
    </row>
    <row r="31" spans="1:4">
      <c r="C31" s="472"/>
    </row>
    <row r="32" spans="1:4" ht="13">
      <c r="A32" s="212" t="s">
        <v>26</v>
      </c>
      <c r="B32" s="499"/>
    </row>
    <row r="33" spans="1:1" ht="150">
      <c r="A33" s="213" t="s">
        <v>962</v>
      </c>
    </row>
    <row r="34" spans="1:1" ht="150">
      <c r="A34" s="723" t="s">
        <v>1121</v>
      </c>
    </row>
    <row r="36" spans="1:1" ht="13">
      <c r="A36" s="356" t="s">
        <v>558</v>
      </c>
    </row>
    <row r="37" spans="1:1">
      <c r="A37" s="231" t="s">
        <v>1260</v>
      </c>
    </row>
  </sheetData>
  <sheetProtection algorithmName="SHA-512" hashValue="YUrXqbpCbmpkahP9U4ZvPMVs6PzqddBtmxTeFUTNZtmai4yZS8cVUjwDcuNJTAVx+IOJYprpVQ8irx9nZw2VlA==" saltValue="/GUk6qAmgiEZVHZzUYcZPw==" spinCount="100000" sheet="1"/>
  <customSheetViews>
    <customSheetView guid="{EB7FE26D-7077-48F2-8515-D783BE87A220}" showPageBreaks="1" fitToPage="1" printArea="1">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conditionalFormatting sqref="C6">
    <cfRule type="expression" dxfId="146" priority="6">
      <formula>AND($B$6=0,$B$23&lt;&gt;0)</formula>
    </cfRule>
  </conditionalFormatting>
  <conditionalFormatting sqref="D6">
    <cfRule type="expression" dxfId="145" priority="3">
      <formula>AND($B$6=0,$B$23&lt;&gt;0)</formula>
    </cfRule>
  </conditionalFormatting>
  <conditionalFormatting sqref="F6">
    <cfRule type="expression" dxfId="144" priority="2">
      <formula>AND($B$6=0,$B$23&lt;&gt;0)</formula>
    </cfRule>
  </conditionalFormatting>
  <conditionalFormatting sqref="E6">
    <cfRule type="expression" dxfId="143" priority="1">
      <formula>AND($B$6=0,$B$23&lt;&gt;0)</formula>
    </cfRule>
  </conditionalFormatting>
  <dataValidations count="3">
    <dataValidation type="list" allowBlank="1" showInputMessage="1" showErrorMessage="1" errorTitle="Select country" error="Select country" promptTitle="Country" prompt="Select country from drop-down list" sqref="A23" xr:uid="{00000000-0002-0000-0000-000000000000}">
      <formula1>Country</formula1>
    </dataValidation>
    <dataValidation allowBlank="1" showInputMessage="1" showErrorMessage="1" errorTitle="Input error" error="Use digits and decimal mark only." sqref="B7:B10" xr:uid="{00000000-0002-0000-0000-000001000000}"/>
    <dataValidation type="decimal" allowBlank="1" showInputMessage="1" showErrorMessage="1" errorTitle="Input error" error="Use digits and decimal mark only in this cell." promptTitle="Input cell" prompt="Use digits and decimal mark only in this cell. _x000a__x000a_Note: If you enter a value here, and later want to use pre-entered population data (by selecting country below), you must re-establish the link here to cell B23 (enter =B23)." sqref="B6" xr:uid="{00000000-0002-0000-0000-000002000000}">
      <formula1>-999999999999999000</formula1>
      <formula2>999999999999999000</formula2>
    </dataValidation>
  </dataValidations>
  <pageMargins left="0.39370078740157483" right="0.39370078740157483" top="0.74803149606299213" bottom="0.74803149606299213" header="0.31496062992125984" footer="0.31496062992125984"/>
  <pageSetup paperSize="9" orientation="landscape" r:id="rId2"/>
  <headerFooter>
    <oddFooter>&amp;L&amp;A
Printed &amp;D</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T31"/>
  <sheetViews>
    <sheetView topLeftCell="A16" workbookViewId="0">
      <selection activeCell="G26" sqref="G26"/>
    </sheetView>
  </sheetViews>
  <sheetFormatPr defaultColWidth="8.81640625" defaultRowHeight="12.5"/>
  <cols>
    <col min="1" max="1" width="3" customWidth="1"/>
    <col min="2" max="2" width="6.1796875" customWidth="1"/>
    <col min="3" max="3" width="31.1796875" customWidth="1"/>
    <col min="4" max="4" width="8.1796875" customWidth="1"/>
    <col min="5" max="5" width="14.453125" customWidth="1"/>
    <col min="6" max="6" width="12" style="9" customWidth="1"/>
    <col min="7" max="7" width="10.36328125" customWidth="1"/>
    <col min="8" max="8" width="11.453125" style="9" customWidth="1"/>
    <col min="9" max="9" width="12.453125" style="239" customWidth="1"/>
    <col min="10" max="10" width="11.453125" style="9" customWidth="1"/>
    <col min="11" max="11" width="11.36328125" customWidth="1"/>
    <col min="12" max="12" width="11.453125" customWidth="1"/>
    <col min="13" max="13" width="25.6328125" style="13" customWidth="1"/>
    <col min="14" max="14" width="9.1796875" style="239"/>
    <col min="16" max="16" width="4.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998</v>
      </c>
      <c r="I1" s="230"/>
      <c r="N1" s="230"/>
    </row>
    <row r="2" spans="1:28" ht="14">
      <c r="A2" s="54" t="s">
        <v>311</v>
      </c>
      <c r="I2" s="230"/>
      <c r="N2" s="230"/>
    </row>
    <row r="3" spans="1:28" s="5" customFormat="1" ht="13">
      <c r="C3" s="7"/>
      <c r="D3" s="7"/>
      <c r="E3" s="7"/>
      <c r="F3" s="26"/>
      <c r="G3" s="7"/>
      <c r="H3" s="26"/>
      <c r="I3" s="254"/>
      <c r="J3" s="26"/>
      <c r="K3" s="7"/>
      <c r="L3" s="7"/>
      <c r="M3" s="64"/>
      <c r="N3" s="254"/>
      <c r="O3" s="7"/>
      <c r="P3" s="65" t="s">
        <v>55</v>
      </c>
      <c r="Q3" s="65"/>
      <c r="R3" s="65"/>
      <c r="S3" s="65"/>
      <c r="T3" s="65"/>
      <c r="U3" s="65"/>
      <c r="V3" s="10" t="s">
        <v>54</v>
      </c>
      <c r="W3" s="102"/>
      <c r="X3" s="102"/>
      <c r="Y3" s="102"/>
      <c r="Z3" s="102"/>
      <c r="AA3" s="102"/>
      <c r="AB3" s="65"/>
    </row>
    <row r="4" spans="1:28" s="143" customFormat="1" ht="26">
      <c r="A4" s="143" t="s">
        <v>52</v>
      </c>
      <c r="B4" s="143" t="s">
        <v>50</v>
      </c>
      <c r="C4" s="133" t="s">
        <v>59</v>
      </c>
      <c r="D4" s="111" t="s">
        <v>153</v>
      </c>
      <c r="E4" s="133" t="s">
        <v>49</v>
      </c>
      <c r="F4" s="150" t="s">
        <v>35</v>
      </c>
      <c r="G4" s="111" t="s">
        <v>37</v>
      </c>
      <c r="H4" s="150" t="s">
        <v>35</v>
      </c>
      <c r="I4" s="244" t="s">
        <v>51</v>
      </c>
      <c r="J4" s="133" t="s">
        <v>35</v>
      </c>
      <c r="K4" s="83" t="s">
        <v>61</v>
      </c>
      <c r="L4" s="142" t="s">
        <v>35</v>
      </c>
      <c r="M4" s="145" t="s">
        <v>209</v>
      </c>
      <c r="N4" s="244" t="s">
        <v>92</v>
      </c>
      <c r="O4" s="142" t="s">
        <v>35</v>
      </c>
      <c r="P4" s="110" t="s">
        <v>38</v>
      </c>
      <c r="Q4" s="110" t="s">
        <v>39</v>
      </c>
      <c r="R4" s="110" t="s">
        <v>40</v>
      </c>
      <c r="S4" s="110" t="s">
        <v>41</v>
      </c>
      <c r="T4" s="111" t="s">
        <v>42</v>
      </c>
      <c r="U4" s="111" t="s">
        <v>227</v>
      </c>
      <c r="V4" s="56" t="s">
        <v>38</v>
      </c>
      <c r="W4" s="56" t="s">
        <v>39</v>
      </c>
      <c r="X4" s="56" t="s">
        <v>40</v>
      </c>
      <c r="Y4" s="56" t="s">
        <v>41</v>
      </c>
      <c r="Z4" s="57" t="s">
        <v>42</v>
      </c>
      <c r="AA4" s="57" t="s">
        <v>227</v>
      </c>
      <c r="AB4" s="110" t="s">
        <v>87</v>
      </c>
    </row>
    <row r="5" spans="1:28" s="128" customFormat="1" ht="26">
      <c r="A5" s="128" t="s">
        <v>192</v>
      </c>
      <c r="C5" s="133" t="s">
        <v>193</v>
      </c>
      <c r="D5" s="110"/>
      <c r="F5" s="639"/>
      <c r="G5" s="75"/>
      <c r="H5" s="639"/>
      <c r="I5" s="246"/>
      <c r="J5" s="640"/>
      <c r="K5" s="112"/>
      <c r="L5" s="127"/>
      <c r="M5" s="134"/>
      <c r="N5" s="246"/>
      <c r="O5" s="127"/>
      <c r="P5" s="75"/>
      <c r="Q5" s="75"/>
      <c r="R5" s="75"/>
      <c r="S5" s="75"/>
      <c r="T5" s="75"/>
      <c r="U5" s="75"/>
      <c r="V5" s="58"/>
      <c r="W5" s="58"/>
      <c r="X5" s="58"/>
      <c r="Y5" s="58"/>
      <c r="Z5" s="58"/>
      <c r="AA5" s="58"/>
      <c r="AB5" s="75"/>
    </row>
    <row r="6" spans="1:28" ht="26">
      <c r="B6" s="3" t="s">
        <v>194</v>
      </c>
      <c r="C6" s="12" t="s">
        <v>195</v>
      </c>
      <c r="D6" s="110"/>
      <c r="F6" s="334"/>
      <c r="G6" s="75"/>
      <c r="H6" s="334"/>
      <c r="I6" s="246"/>
      <c r="K6" s="167"/>
      <c r="L6" s="3"/>
      <c r="M6" s="14"/>
      <c r="N6" s="246"/>
      <c r="O6" s="3"/>
      <c r="P6" s="75"/>
      <c r="Q6" s="75"/>
      <c r="R6" s="75"/>
      <c r="S6" s="75"/>
      <c r="T6" s="75"/>
      <c r="U6" s="75"/>
      <c r="V6" s="113">
        <f t="shared" ref="V6:Z6" si="0">SUM(V7:V10)</f>
        <v>0</v>
      </c>
      <c r="W6" s="113">
        <f t="shared" si="0"/>
        <v>0</v>
      </c>
      <c r="X6" s="113">
        <f t="shared" si="0"/>
        <v>0</v>
      </c>
      <c r="Y6" s="113">
        <f t="shared" si="0"/>
        <v>0</v>
      </c>
      <c r="Z6" s="113">
        <f t="shared" si="0"/>
        <v>0</v>
      </c>
      <c r="AA6" s="113">
        <f>SUM(AA7:AA10)</f>
        <v>0</v>
      </c>
      <c r="AB6" s="75"/>
    </row>
    <row r="7" spans="1:28" ht="25.5">
      <c r="A7" s="3"/>
      <c r="C7" s="9"/>
      <c r="D7" s="75"/>
      <c r="E7" s="833" t="s">
        <v>1256</v>
      </c>
      <c r="F7" s="334" t="s">
        <v>334</v>
      </c>
      <c r="G7" s="75">
        <v>1</v>
      </c>
      <c r="H7" s="334" t="s">
        <v>334</v>
      </c>
      <c r="I7" s="259">
        <f>'Step5-Waste treatment+recycling'!C13</f>
        <v>0</v>
      </c>
      <c r="J7" s="334" t="s">
        <v>335</v>
      </c>
      <c r="K7" s="114">
        <f>G7*I7/1000</f>
        <v>0</v>
      </c>
      <c r="L7" s="3" t="s">
        <v>36</v>
      </c>
      <c r="M7" s="15" t="s">
        <v>200</v>
      </c>
      <c r="N7" s="771">
        <f>$K$7*IF('Step5-Waste treatment+recycling'!$E$13=yes,'Step5-Waste treatment+recycling'!$G$15/100,'Default Controls'!$C$44/100)</f>
        <v>0</v>
      </c>
      <c r="O7" s="3" t="s">
        <v>36</v>
      </c>
      <c r="P7" s="201">
        <v>1</v>
      </c>
      <c r="Q7" s="201"/>
      <c r="R7" s="201"/>
      <c r="S7" s="201"/>
      <c r="T7" s="201"/>
      <c r="U7" s="201"/>
      <c r="V7" s="115">
        <f>$N7*P7</f>
        <v>0</v>
      </c>
      <c r="W7" s="115">
        <f t="shared" ref="V7:AA10" si="1">$N7*Q7</f>
        <v>0</v>
      </c>
      <c r="X7" s="115">
        <f t="shared" si="1"/>
        <v>0</v>
      </c>
      <c r="Y7" s="115">
        <f t="shared" si="1"/>
        <v>0</v>
      </c>
      <c r="Z7" s="115">
        <f t="shared" si="1"/>
        <v>0</v>
      </c>
      <c r="AA7" s="115">
        <f t="shared" si="1"/>
        <v>0</v>
      </c>
      <c r="AB7" s="75"/>
    </row>
    <row r="8" spans="1:28" ht="13">
      <c r="A8" s="3"/>
      <c r="B8" s="3"/>
      <c r="C8" s="9"/>
      <c r="D8" s="75"/>
      <c r="E8" s="6"/>
      <c r="F8" s="334"/>
      <c r="G8" s="75"/>
      <c r="H8" s="334"/>
      <c r="I8" s="247"/>
      <c r="K8" s="114"/>
      <c r="L8" s="3"/>
      <c r="M8" s="15" t="s">
        <v>201</v>
      </c>
      <c r="N8" s="771">
        <f>$K$7*IF('Step5-Waste treatment+recycling'!$E$13=yes,'Step5-Waste treatment+recycling'!$H$15/100,'Default Controls'!$D$44/100)</f>
        <v>0</v>
      </c>
      <c r="O8" s="3" t="s">
        <v>36</v>
      </c>
      <c r="P8" s="201">
        <v>0.9</v>
      </c>
      <c r="Q8" s="201"/>
      <c r="R8" s="201"/>
      <c r="S8" s="201"/>
      <c r="T8" s="201"/>
      <c r="U8" s="201">
        <v>0.1</v>
      </c>
      <c r="V8" s="115">
        <f>$N8*P8</f>
        <v>0</v>
      </c>
      <c r="W8" s="115">
        <f t="shared" si="1"/>
        <v>0</v>
      </c>
      <c r="X8" s="115">
        <f t="shared" si="1"/>
        <v>0</v>
      </c>
      <c r="Y8" s="115">
        <f t="shared" si="1"/>
        <v>0</v>
      </c>
      <c r="Z8" s="115">
        <f t="shared" si="1"/>
        <v>0</v>
      </c>
      <c r="AA8" s="115">
        <f t="shared" si="1"/>
        <v>0</v>
      </c>
      <c r="AB8" s="75"/>
    </row>
    <row r="9" spans="1:28" ht="52">
      <c r="A9" s="3"/>
      <c r="B9" s="3"/>
      <c r="C9" s="9"/>
      <c r="D9" s="75"/>
      <c r="E9" s="6"/>
      <c r="F9" s="334"/>
      <c r="G9" s="75"/>
      <c r="H9" s="334"/>
      <c r="I9" s="247"/>
      <c r="K9" s="114"/>
      <c r="L9" s="3"/>
      <c r="M9" s="15" t="s">
        <v>197</v>
      </c>
      <c r="N9" s="771">
        <f>$K$7*IF('Step5-Waste treatment+recycling'!$E$13=yes,'Step5-Waste treatment+recycling'!$I$15/100,'Default Controls'!$E$44/100)</f>
        <v>0</v>
      </c>
      <c r="O9" s="3" t="s">
        <v>36</v>
      </c>
      <c r="P9" s="201">
        <v>0.5</v>
      </c>
      <c r="Q9" s="201"/>
      <c r="R9" s="201"/>
      <c r="S9" s="201"/>
      <c r="T9" s="201"/>
      <c r="U9" s="201">
        <v>0.5</v>
      </c>
      <c r="V9" s="115">
        <f t="shared" si="1"/>
        <v>0</v>
      </c>
      <c r="W9" s="115">
        <f t="shared" si="1"/>
        <v>0</v>
      </c>
      <c r="X9" s="115">
        <f t="shared" si="1"/>
        <v>0</v>
      </c>
      <c r="Y9" s="115">
        <f t="shared" si="1"/>
        <v>0</v>
      </c>
      <c r="Z9" s="115">
        <f t="shared" si="1"/>
        <v>0</v>
      </c>
      <c r="AA9" s="115">
        <f t="shared" si="1"/>
        <v>0</v>
      </c>
      <c r="AB9" s="75"/>
    </row>
    <row r="10" spans="1:28" ht="26">
      <c r="A10" s="3"/>
      <c r="B10" s="3"/>
      <c r="C10" s="9"/>
      <c r="D10" s="75"/>
      <c r="E10" s="6"/>
      <c r="F10" s="334"/>
      <c r="G10" s="75"/>
      <c r="H10" s="334"/>
      <c r="I10" s="247"/>
      <c r="K10" s="114"/>
      <c r="L10" s="3"/>
      <c r="M10" s="15" t="s">
        <v>1023</v>
      </c>
      <c r="N10" s="771">
        <f>$K$7*IF('Step5-Waste treatment+recycling'!$E$13=yes,'Step5-Waste treatment+recycling'!$J$15/100,'Default Controls'!$F$44/100)</f>
        <v>0</v>
      </c>
      <c r="O10" s="3" t="s">
        <v>36</v>
      </c>
      <c r="P10" s="201">
        <v>0.1</v>
      </c>
      <c r="Q10" s="201"/>
      <c r="R10" s="201"/>
      <c r="S10" s="201"/>
      <c r="T10" s="201"/>
      <c r="U10" s="201">
        <v>0.9</v>
      </c>
      <c r="V10" s="115">
        <f t="shared" si="1"/>
        <v>0</v>
      </c>
      <c r="W10" s="115">
        <f t="shared" si="1"/>
        <v>0</v>
      </c>
      <c r="X10" s="115">
        <f t="shared" si="1"/>
        <v>0</v>
      </c>
      <c r="Y10" s="115">
        <f t="shared" si="1"/>
        <v>0</v>
      </c>
      <c r="Z10" s="115">
        <f t="shared" si="1"/>
        <v>0</v>
      </c>
      <c r="AA10" s="115">
        <f t="shared" si="1"/>
        <v>0</v>
      </c>
      <c r="AB10" s="75"/>
    </row>
    <row r="11" spans="1:28" s="55" customFormat="1" ht="13">
      <c r="A11" s="103"/>
      <c r="B11" s="103"/>
      <c r="C11" s="135"/>
      <c r="D11" s="110"/>
      <c r="E11" s="105"/>
      <c r="F11" s="149"/>
      <c r="G11" s="75"/>
      <c r="H11" s="149"/>
      <c r="I11" s="247"/>
      <c r="J11" s="104"/>
      <c r="K11" s="114"/>
      <c r="L11" s="103"/>
      <c r="M11" s="106"/>
      <c r="N11" s="247"/>
      <c r="O11" s="103"/>
      <c r="P11" s="116"/>
      <c r="Q11" s="116"/>
      <c r="R11" s="117"/>
      <c r="S11" s="117"/>
      <c r="T11" s="116"/>
      <c r="U11" s="116"/>
      <c r="V11" s="115"/>
      <c r="W11" s="115"/>
      <c r="X11" s="115"/>
      <c r="Y11" s="115"/>
      <c r="Z11" s="115"/>
      <c r="AA11" s="115"/>
      <c r="AB11" s="75"/>
    </row>
    <row r="12" spans="1:28" ht="13">
      <c r="B12" s="3" t="s">
        <v>199</v>
      </c>
      <c r="C12" s="12" t="s">
        <v>202</v>
      </c>
      <c r="D12" s="110"/>
      <c r="F12" s="334"/>
      <c r="G12" s="75"/>
      <c r="H12" s="334"/>
      <c r="I12" s="246"/>
      <c r="K12" s="167"/>
      <c r="L12" s="3"/>
      <c r="M12" s="14"/>
      <c r="N12" s="246"/>
      <c r="O12" s="3"/>
      <c r="P12" s="75"/>
      <c r="Q12" s="75"/>
      <c r="R12" s="75"/>
      <c r="S12" s="75"/>
      <c r="T12" s="75"/>
      <c r="U12" s="75"/>
      <c r="V12" s="113">
        <f t="shared" ref="V12:Z12" si="2">SUM(V13:V16)</f>
        <v>0</v>
      </c>
      <c r="W12" s="113">
        <f t="shared" si="2"/>
        <v>0</v>
      </c>
      <c r="X12" s="113">
        <f t="shared" si="2"/>
        <v>0</v>
      </c>
      <c r="Y12" s="113">
        <f t="shared" si="2"/>
        <v>0</v>
      </c>
      <c r="Z12" s="113">
        <f t="shared" si="2"/>
        <v>0</v>
      </c>
      <c r="AA12" s="113">
        <f>SUM(AA13:AA16)</f>
        <v>0</v>
      </c>
      <c r="AB12" s="75"/>
    </row>
    <row r="13" spans="1:28" ht="25.5">
      <c r="A13" s="3"/>
      <c r="C13" s="9"/>
      <c r="D13" s="75"/>
      <c r="E13" s="18" t="s">
        <v>205</v>
      </c>
      <c r="F13" s="334" t="s">
        <v>334</v>
      </c>
      <c r="G13" s="75">
        <v>24</v>
      </c>
      <c r="H13" s="334" t="s">
        <v>334</v>
      </c>
      <c r="I13" s="259">
        <f>'Step5-Waste treatment+recycling'!C16</f>
        <v>0</v>
      </c>
      <c r="J13" s="334" t="s">
        <v>335</v>
      </c>
      <c r="K13" s="114">
        <f>G13*I13/1000</f>
        <v>0</v>
      </c>
      <c r="L13" s="3" t="s">
        <v>36</v>
      </c>
      <c r="M13" s="15" t="s">
        <v>200</v>
      </c>
      <c r="N13" s="771">
        <f>$K$13*IF('Step5-Waste treatment+recycling'!$E$16=yes,'Step5-Waste treatment+recycling'!$G$18/100,'Default Controls'!$C$47/100)</f>
        <v>0</v>
      </c>
      <c r="O13" s="3" t="s">
        <v>36</v>
      </c>
      <c r="P13" s="201">
        <v>1</v>
      </c>
      <c r="Q13" s="201"/>
      <c r="R13" s="201"/>
      <c r="S13" s="201"/>
      <c r="T13" s="201"/>
      <c r="U13" s="201"/>
      <c r="V13" s="115">
        <f t="shared" ref="V13:AA16" si="3">$N13*P13</f>
        <v>0</v>
      </c>
      <c r="W13" s="115">
        <f t="shared" si="3"/>
        <v>0</v>
      </c>
      <c r="X13" s="115">
        <f t="shared" si="3"/>
        <v>0</v>
      </c>
      <c r="Y13" s="115">
        <f t="shared" si="3"/>
        <v>0</v>
      </c>
      <c r="Z13" s="115">
        <f t="shared" si="3"/>
        <v>0</v>
      </c>
      <c r="AA13" s="115">
        <f t="shared" si="3"/>
        <v>0</v>
      </c>
      <c r="AB13" s="75"/>
    </row>
    <row r="14" spans="1:28" ht="13">
      <c r="A14" s="3"/>
      <c r="B14" s="3"/>
      <c r="C14" s="9"/>
      <c r="D14" s="75"/>
      <c r="E14" s="6"/>
      <c r="F14" s="334"/>
      <c r="G14" s="75"/>
      <c r="H14" s="334"/>
      <c r="I14" s="247"/>
      <c r="K14" s="114"/>
      <c r="L14" s="3"/>
      <c r="M14" s="15" t="s">
        <v>201</v>
      </c>
      <c r="N14" s="771">
        <f>$K$13*IF('Step5-Waste treatment+recycling'!$E$16=yes,'Step5-Waste treatment+recycling'!$H$18/100,'Default Controls'!$D$47/100)</f>
        <v>0</v>
      </c>
      <c r="O14" s="3" t="s">
        <v>36</v>
      </c>
      <c r="P14" s="201">
        <v>0.9</v>
      </c>
      <c r="Q14" s="201"/>
      <c r="R14" s="201"/>
      <c r="S14" s="201"/>
      <c r="T14" s="201"/>
      <c r="U14" s="201">
        <v>0.1</v>
      </c>
      <c r="V14" s="115">
        <f t="shared" si="3"/>
        <v>0</v>
      </c>
      <c r="W14" s="115">
        <f t="shared" si="3"/>
        <v>0</v>
      </c>
      <c r="X14" s="115">
        <f t="shared" si="3"/>
        <v>0</v>
      </c>
      <c r="Y14" s="115">
        <f t="shared" si="3"/>
        <v>0</v>
      </c>
      <c r="Z14" s="115">
        <f t="shared" si="3"/>
        <v>0</v>
      </c>
      <c r="AA14" s="115">
        <f t="shared" si="3"/>
        <v>0</v>
      </c>
      <c r="AB14" s="75"/>
    </row>
    <row r="15" spans="1:28" ht="52">
      <c r="A15" s="3"/>
      <c r="B15" s="3"/>
      <c r="C15" s="9"/>
      <c r="D15" s="75"/>
      <c r="E15" s="6"/>
      <c r="F15" s="334"/>
      <c r="G15" s="75"/>
      <c r="H15" s="334"/>
      <c r="I15" s="247"/>
      <c r="K15" s="114"/>
      <c r="L15" s="3"/>
      <c r="M15" s="15" t="s">
        <v>197</v>
      </c>
      <c r="N15" s="771">
        <f>$K$13*IF('Step5-Waste treatment+recycling'!$E$16=yes,'Step5-Waste treatment+recycling'!$I$18/100,'Default Controls'!$E$47/100)</f>
        <v>0</v>
      </c>
      <c r="O15" s="3" t="s">
        <v>36</v>
      </c>
      <c r="P15" s="201">
        <v>0.5</v>
      </c>
      <c r="Q15" s="201"/>
      <c r="R15" s="201"/>
      <c r="S15" s="201"/>
      <c r="T15" s="201"/>
      <c r="U15" s="201">
        <v>0.5</v>
      </c>
      <c r="V15" s="115">
        <f t="shared" si="3"/>
        <v>0</v>
      </c>
      <c r="W15" s="115">
        <f t="shared" si="3"/>
        <v>0</v>
      </c>
      <c r="X15" s="115">
        <f t="shared" si="3"/>
        <v>0</v>
      </c>
      <c r="Y15" s="115">
        <f t="shared" si="3"/>
        <v>0</v>
      </c>
      <c r="Z15" s="115">
        <f t="shared" si="3"/>
        <v>0</v>
      </c>
      <c r="AA15" s="115">
        <f t="shared" si="3"/>
        <v>0</v>
      </c>
      <c r="AB15" s="75"/>
    </row>
    <row r="16" spans="1:28" ht="26">
      <c r="A16" s="3"/>
      <c r="B16" s="3"/>
      <c r="C16" s="9"/>
      <c r="D16" s="75"/>
      <c r="E16" s="6"/>
      <c r="F16" s="334"/>
      <c r="G16" s="75"/>
      <c r="H16" s="334"/>
      <c r="I16" s="247"/>
      <c r="K16" s="114"/>
      <c r="L16" s="3"/>
      <c r="M16" s="15" t="s">
        <v>198</v>
      </c>
      <c r="N16" s="771">
        <f>$K$13*IF('Step5-Waste treatment+recycling'!$E$16=yes,'Step5-Waste treatment+recycling'!$J$18/100,'Default Controls'!$F$47/100)</f>
        <v>0</v>
      </c>
      <c r="O16" s="3" t="s">
        <v>36</v>
      </c>
      <c r="P16" s="201">
        <v>0.1</v>
      </c>
      <c r="Q16" s="201"/>
      <c r="R16" s="201"/>
      <c r="S16" s="201"/>
      <c r="T16" s="201"/>
      <c r="U16" s="201">
        <v>0.9</v>
      </c>
      <c r="V16" s="115">
        <f t="shared" si="3"/>
        <v>0</v>
      </c>
      <c r="W16" s="115">
        <f t="shared" si="3"/>
        <v>0</v>
      </c>
      <c r="X16" s="115">
        <f t="shared" si="3"/>
        <v>0</v>
      </c>
      <c r="Y16" s="115">
        <f t="shared" si="3"/>
        <v>0</v>
      </c>
      <c r="Z16" s="115">
        <f t="shared" si="3"/>
        <v>0</v>
      </c>
      <c r="AA16" s="115">
        <f t="shared" si="3"/>
        <v>0</v>
      </c>
      <c r="AB16" s="75"/>
    </row>
    <row r="17" spans="1:46" s="55" customFormat="1" ht="13">
      <c r="A17" s="103"/>
      <c r="B17" s="103"/>
      <c r="C17" s="104"/>
      <c r="D17" s="75"/>
      <c r="E17" s="105"/>
      <c r="F17" s="149"/>
      <c r="G17" s="75"/>
      <c r="H17" s="149"/>
      <c r="I17" s="247"/>
      <c r="J17" s="104"/>
      <c r="K17" s="114"/>
      <c r="L17" s="103"/>
      <c r="M17" s="106"/>
      <c r="N17" s="247"/>
      <c r="O17" s="103"/>
      <c r="P17" s="116"/>
      <c r="Q17" s="116"/>
      <c r="R17" s="117"/>
      <c r="S17" s="117"/>
      <c r="T17" s="116"/>
      <c r="U17" s="75"/>
      <c r="V17" s="115"/>
      <c r="W17" s="115"/>
      <c r="X17" s="115"/>
      <c r="Y17" s="115"/>
      <c r="Z17" s="115"/>
      <c r="AA17" s="115"/>
      <c r="AB17" s="75"/>
    </row>
    <row r="18" spans="1:46" ht="13">
      <c r="B18" s="3" t="s">
        <v>204</v>
      </c>
      <c r="C18" s="12" t="s">
        <v>203</v>
      </c>
      <c r="D18" s="110"/>
      <c r="F18" s="334"/>
      <c r="G18" s="75"/>
      <c r="H18" s="334"/>
      <c r="I18" s="246"/>
      <c r="K18" s="167"/>
      <c r="L18" s="3"/>
      <c r="M18" s="14"/>
      <c r="N18" s="246"/>
      <c r="O18" s="3"/>
      <c r="P18" s="75"/>
      <c r="Q18" s="75"/>
      <c r="R18" s="75"/>
      <c r="S18" s="75"/>
      <c r="T18" s="75"/>
      <c r="U18" s="75"/>
      <c r="V18" s="113">
        <f t="shared" ref="V18:Z18" si="4">SUM(V19:V22)</f>
        <v>0</v>
      </c>
      <c r="W18" s="113">
        <f t="shared" si="4"/>
        <v>0</v>
      </c>
      <c r="X18" s="113">
        <f t="shared" si="4"/>
        <v>0</v>
      </c>
      <c r="Y18" s="113">
        <f t="shared" si="4"/>
        <v>0</v>
      </c>
      <c r="Z18" s="113">
        <f t="shared" si="4"/>
        <v>0</v>
      </c>
      <c r="AA18" s="113">
        <f>SUM(AA19:AA22)</f>
        <v>0</v>
      </c>
      <c r="AB18" s="75"/>
    </row>
    <row r="19" spans="1:46" ht="25.5">
      <c r="A19" s="3"/>
      <c r="C19" s="9"/>
      <c r="D19" s="75"/>
      <c r="E19" s="6" t="s">
        <v>205</v>
      </c>
      <c r="F19" s="334" t="s">
        <v>334</v>
      </c>
      <c r="G19" s="75">
        <v>24</v>
      </c>
      <c r="H19" s="334" t="s">
        <v>334</v>
      </c>
      <c r="I19" s="259">
        <f>'Step5-Waste treatment+recycling'!C19</f>
        <v>0</v>
      </c>
      <c r="J19" s="334" t="s">
        <v>335</v>
      </c>
      <c r="K19" s="114">
        <f>G19*I19/1000</f>
        <v>0</v>
      </c>
      <c r="L19" s="3" t="s">
        <v>36</v>
      </c>
      <c r="M19" s="15" t="s">
        <v>200</v>
      </c>
      <c r="N19" s="771">
        <f>$K$19*IF('Step5-Waste treatment+recycling'!$E$19=yes,'Step5-Waste treatment+recycling'!$G$21/100,'Default Controls'!$C$50/100)</f>
        <v>0</v>
      </c>
      <c r="O19" s="3" t="s">
        <v>36</v>
      </c>
      <c r="P19" s="201">
        <v>1</v>
      </c>
      <c r="Q19" s="201"/>
      <c r="R19" s="201"/>
      <c r="S19" s="201"/>
      <c r="T19" s="201"/>
      <c r="U19" s="201"/>
      <c r="V19" s="115">
        <f t="shared" ref="V19:AA22" si="5">$N19*P19</f>
        <v>0</v>
      </c>
      <c r="W19" s="115">
        <f t="shared" si="5"/>
        <v>0</v>
      </c>
      <c r="X19" s="115">
        <f t="shared" si="5"/>
        <v>0</v>
      </c>
      <c r="Y19" s="115">
        <f t="shared" si="5"/>
        <v>0</v>
      </c>
      <c r="Z19" s="115">
        <f t="shared" si="5"/>
        <v>0</v>
      </c>
      <c r="AA19" s="115">
        <f t="shared" si="5"/>
        <v>0</v>
      </c>
      <c r="AB19" s="75"/>
    </row>
    <row r="20" spans="1:46" ht="13">
      <c r="A20" s="3"/>
      <c r="B20" s="3"/>
      <c r="C20" s="9"/>
      <c r="D20" s="75"/>
      <c r="E20" s="6"/>
      <c r="F20" s="334"/>
      <c r="G20" s="75"/>
      <c r="H20" s="334"/>
      <c r="I20" s="247"/>
      <c r="K20" s="114"/>
      <c r="L20" s="3"/>
      <c r="M20" s="15" t="s">
        <v>201</v>
      </c>
      <c r="N20" s="771">
        <f>$K$19*IF('Step5-Waste treatment+recycling'!$E$19=yes,'Step5-Waste treatment+recycling'!$H$21/100,'Default Controls'!$D$50/100)</f>
        <v>0</v>
      </c>
      <c r="O20" s="3" t="s">
        <v>36</v>
      </c>
      <c r="P20" s="201">
        <v>0.9</v>
      </c>
      <c r="Q20" s="201"/>
      <c r="R20" s="201"/>
      <c r="S20" s="201"/>
      <c r="T20" s="201"/>
      <c r="U20" s="201">
        <v>0.1</v>
      </c>
      <c r="V20" s="115">
        <f t="shared" si="5"/>
        <v>0</v>
      </c>
      <c r="W20" s="115">
        <f t="shared" si="5"/>
        <v>0</v>
      </c>
      <c r="X20" s="115">
        <f t="shared" si="5"/>
        <v>0</v>
      </c>
      <c r="Y20" s="115">
        <f t="shared" si="5"/>
        <v>0</v>
      </c>
      <c r="Z20" s="115">
        <f t="shared" si="5"/>
        <v>0</v>
      </c>
      <c r="AA20" s="115">
        <f t="shared" si="5"/>
        <v>0</v>
      </c>
      <c r="AB20" s="75"/>
    </row>
    <row r="21" spans="1:46" ht="52">
      <c r="A21" s="3"/>
      <c r="B21" s="3"/>
      <c r="C21" s="9"/>
      <c r="D21" s="75"/>
      <c r="E21" s="6"/>
      <c r="F21" s="334"/>
      <c r="G21" s="75"/>
      <c r="H21" s="334"/>
      <c r="I21" s="247"/>
      <c r="K21" s="114"/>
      <c r="L21" s="3"/>
      <c r="M21" s="15" t="s">
        <v>197</v>
      </c>
      <c r="N21" s="771">
        <f>$K$19*IF('Step5-Waste treatment+recycling'!$E$19=yes,'Step5-Waste treatment+recycling'!$I$21/100,'Default Controls'!$E$50/100)</f>
        <v>0</v>
      </c>
      <c r="O21" s="3" t="s">
        <v>36</v>
      </c>
      <c r="P21" s="201">
        <v>0.5</v>
      </c>
      <c r="Q21" s="201"/>
      <c r="R21" s="201"/>
      <c r="S21" s="201"/>
      <c r="T21" s="201"/>
      <c r="U21" s="201">
        <v>0.5</v>
      </c>
      <c r="V21" s="115">
        <f t="shared" si="5"/>
        <v>0</v>
      </c>
      <c r="W21" s="115">
        <f t="shared" si="5"/>
        <v>0</v>
      </c>
      <c r="X21" s="115">
        <f t="shared" si="5"/>
        <v>0</v>
      </c>
      <c r="Y21" s="115">
        <f t="shared" si="5"/>
        <v>0</v>
      </c>
      <c r="Z21" s="115">
        <f t="shared" si="5"/>
        <v>0</v>
      </c>
      <c r="AA21" s="115">
        <f t="shared" si="5"/>
        <v>0</v>
      </c>
      <c r="AB21" s="75"/>
    </row>
    <row r="22" spans="1:46" ht="26">
      <c r="A22" s="3"/>
      <c r="B22" s="3"/>
      <c r="C22" s="9"/>
      <c r="D22" s="75"/>
      <c r="E22" s="6"/>
      <c r="F22" s="334"/>
      <c r="G22" s="75"/>
      <c r="H22" s="334"/>
      <c r="I22" s="247"/>
      <c r="K22" s="114"/>
      <c r="L22" s="3"/>
      <c r="M22" s="15" t="s">
        <v>198</v>
      </c>
      <c r="N22" s="771">
        <f>$K$19*IF('Step5-Waste treatment+recycling'!$E$19=yes,'Step5-Waste treatment+recycling'!$J$21/100,'Default Controls'!$F$50/100)</f>
        <v>0</v>
      </c>
      <c r="O22" s="3" t="s">
        <v>36</v>
      </c>
      <c r="P22" s="201">
        <v>0.1</v>
      </c>
      <c r="Q22" s="201"/>
      <c r="R22" s="201"/>
      <c r="S22" s="201"/>
      <c r="T22" s="201"/>
      <c r="U22" s="201">
        <v>0.9</v>
      </c>
      <c r="V22" s="115">
        <f t="shared" si="5"/>
        <v>0</v>
      </c>
      <c r="W22" s="115">
        <f t="shared" si="5"/>
        <v>0</v>
      </c>
      <c r="X22" s="115">
        <f t="shared" si="5"/>
        <v>0</v>
      </c>
      <c r="Y22" s="115">
        <f t="shared" si="5"/>
        <v>0</v>
      </c>
      <c r="Z22" s="115">
        <f t="shared" si="5"/>
        <v>0</v>
      </c>
      <c r="AA22" s="115">
        <f t="shared" si="5"/>
        <v>0</v>
      </c>
      <c r="AB22" s="75"/>
    </row>
    <row r="23" spans="1:46" s="55" customFormat="1" ht="13">
      <c r="A23" s="103"/>
      <c r="B23" s="103"/>
      <c r="C23" s="135"/>
      <c r="D23" s="75"/>
      <c r="E23" s="105"/>
      <c r="F23" s="149"/>
      <c r="G23" s="75"/>
      <c r="H23" s="149"/>
      <c r="I23" s="247"/>
      <c r="J23" s="104"/>
      <c r="K23" s="114"/>
      <c r="L23" s="103"/>
      <c r="M23" s="106"/>
      <c r="N23" s="247"/>
      <c r="O23" s="103"/>
      <c r="P23" s="116"/>
      <c r="Q23" s="116"/>
      <c r="R23" s="117"/>
      <c r="S23" s="117"/>
      <c r="T23" s="116"/>
      <c r="U23" s="75"/>
      <c r="V23" s="115"/>
      <c r="W23" s="115"/>
      <c r="X23" s="115"/>
      <c r="Y23" s="115"/>
      <c r="Z23" s="115"/>
      <c r="AA23" s="115"/>
      <c r="AB23" s="75"/>
    </row>
    <row r="24" spans="1:46" ht="50.5">
      <c r="A24" s="3"/>
      <c r="B24" s="3" t="s">
        <v>206</v>
      </c>
      <c r="C24" s="12" t="s">
        <v>207</v>
      </c>
      <c r="D24" s="75"/>
      <c r="E24" t="s">
        <v>43</v>
      </c>
      <c r="F24" s="334" t="s">
        <v>43</v>
      </c>
      <c r="G24" s="75">
        <v>2</v>
      </c>
      <c r="H24" s="334" t="s">
        <v>454</v>
      </c>
      <c r="I24" s="247">
        <f>'Step5-Waste treatment+recycling'!C22</f>
        <v>0</v>
      </c>
      <c r="J24" s="636" t="s">
        <v>1024</v>
      </c>
      <c r="K24" s="114">
        <f>G24*I24/1000</f>
        <v>0</v>
      </c>
      <c r="L24" s="3" t="s">
        <v>36</v>
      </c>
      <c r="M24" s="15"/>
      <c r="N24" s="247">
        <f>K24</f>
        <v>0</v>
      </c>
      <c r="O24" s="3" t="s">
        <v>36</v>
      </c>
      <c r="P24" s="201">
        <v>0.9</v>
      </c>
      <c r="Q24" s="201"/>
      <c r="R24" s="201"/>
      <c r="S24" s="201"/>
      <c r="T24" s="201"/>
      <c r="U24" s="201">
        <v>0.1</v>
      </c>
      <c r="V24" s="113">
        <f t="shared" ref="V24:AA24" si="6">$N24*P24</f>
        <v>0</v>
      </c>
      <c r="W24" s="113">
        <f t="shared" si="6"/>
        <v>0</v>
      </c>
      <c r="X24" s="113">
        <f t="shared" si="6"/>
        <v>0</v>
      </c>
      <c r="Y24" s="113">
        <f t="shared" si="6"/>
        <v>0</v>
      </c>
      <c r="Z24" s="113">
        <f t="shared" si="6"/>
        <v>0</v>
      </c>
      <c r="AA24" s="113">
        <f t="shared" si="6"/>
        <v>0</v>
      </c>
      <c r="AB24" s="75"/>
    </row>
    <row r="25" spans="1:46" s="55" customFormat="1" ht="13">
      <c r="A25" s="103"/>
      <c r="B25" s="103"/>
      <c r="C25" s="135"/>
      <c r="D25" s="110"/>
      <c r="E25" s="148"/>
      <c r="F25" s="149"/>
      <c r="G25" s="75"/>
      <c r="H25" s="149"/>
      <c r="I25" s="247"/>
      <c r="J25" s="104"/>
      <c r="K25" s="171"/>
      <c r="L25" s="103"/>
      <c r="M25" s="137"/>
      <c r="N25" s="247"/>
      <c r="O25" s="103"/>
      <c r="P25" s="116"/>
      <c r="Q25" s="116"/>
      <c r="R25" s="117"/>
      <c r="S25" s="117"/>
      <c r="T25" s="116"/>
      <c r="U25" s="75"/>
      <c r="V25" s="115"/>
      <c r="W25" s="115"/>
      <c r="X25" s="115"/>
      <c r="Y25" s="115"/>
      <c r="Z25" s="115"/>
      <c r="AA25" s="115"/>
      <c r="AB25" s="75"/>
    </row>
    <row r="26" spans="1:46" ht="39">
      <c r="A26" s="3"/>
      <c r="B26" s="3" t="s">
        <v>208</v>
      </c>
      <c r="C26" s="12" t="s">
        <v>1025</v>
      </c>
      <c r="D26" s="110"/>
      <c r="E26" s="833" t="s">
        <v>1256</v>
      </c>
      <c r="F26" s="334" t="s">
        <v>334</v>
      </c>
      <c r="G26" s="75">
        <v>1</v>
      </c>
      <c r="H26" s="334" t="s">
        <v>334</v>
      </c>
      <c r="I26" s="259">
        <f>'Step5-Waste treatment+recycling'!C23</f>
        <v>0</v>
      </c>
      <c r="J26" s="334" t="s">
        <v>335</v>
      </c>
      <c r="K26" s="114">
        <f>G26*I26/1000</f>
        <v>0</v>
      </c>
      <c r="L26" s="3" t="s">
        <v>36</v>
      </c>
      <c r="M26" s="15"/>
      <c r="N26" s="247">
        <f>K26</f>
        <v>0</v>
      </c>
      <c r="O26" s="3" t="s">
        <v>36</v>
      </c>
      <c r="P26" s="201">
        <v>1</v>
      </c>
      <c r="Q26" s="201"/>
      <c r="R26" s="201"/>
      <c r="S26" s="201"/>
      <c r="T26" s="201"/>
      <c r="U26" s="201"/>
      <c r="V26" s="113">
        <f t="shared" ref="V26:AA26" si="7">$N26*P26</f>
        <v>0</v>
      </c>
      <c r="W26" s="113">
        <f t="shared" si="7"/>
        <v>0</v>
      </c>
      <c r="X26" s="113">
        <f t="shared" si="7"/>
        <v>0</v>
      </c>
      <c r="Y26" s="113">
        <f t="shared" si="7"/>
        <v>0</v>
      </c>
      <c r="Z26" s="113">
        <f t="shared" si="7"/>
        <v>0</v>
      </c>
      <c r="AA26" s="113">
        <f t="shared" si="7"/>
        <v>0</v>
      </c>
      <c r="AB26" s="75"/>
    </row>
    <row r="27" spans="1:46" s="55" customFormat="1" ht="13">
      <c r="C27" s="185"/>
      <c r="D27" s="110"/>
      <c r="F27" s="104"/>
      <c r="G27" s="75"/>
      <c r="H27" s="104"/>
      <c r="I27" s="247"/>
      <c r="J27" s="104"/>
      <c r="K27" s="58"/>
      <c r="M27" s="109"/>
      <c r="N27" s="247"/>
      <c r="O27" s="103"/>
      <c r="P27" s="75"/>
      <c r="Q27" s="75"/>
      <c r="R27" s="75"/>
      <c r="S27" s="75"/>
      <c r="T27" s="75"/>
      <c r="U27" s="75"/>
      <c r="V27" s="58"/>
      <c r="W27" s="58"/>
      <c r="X27" s="58"/>
      <c r="Y27" s="58"/>
      <c r="Z27" s="58"/>
      <c r="AA27" s="58"/>
      <c r="AB27" s="75"/>
    </row>
    <row r="28" spans="1:46">
      <c r="D28" s="3"/>
      <c r="E28" s="3"/>
      <c r="F28" s="334"/>
      <c r="G28" s="3"/>
      <c r="H28" s="334"/>
      <c r="I28" s="238"/>
      <c r="J28" s="334"/>
      <c r="K28" s="3"/>
      <c r="L28" s="3"/>
      <c r="M28" s="63"/>
      <c r="N28" s="238"/>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row>
    <row r="29" spans="1:46" ht="13">
      <c r="M29" s="14"/>
      <c r="N29" s="238"/>
      <c r="O29" s="3"/>
    </row>
    <row r="30" spans="1:46" ht="13">
      <c r="M30" s="14"/>
      <c r="N30" s="248"/>
      <c r="O30" s="3"/>
    </row>
    <row r="31" spans="1:46" ht="13">
      <c r="C31" s="5"/>
      <c r="D31" s="5"/>
    </row>
  </sheetData>
  <sheetProtection algorithmName="SHA-512" hashValue="0OTTJg+Oa+2j3bcOb/6e3FJNaiuH+RU0A4aI9M1tLLOQZIbS33FvRS0MB+6uvErp2XPfNfWRChpByDvs3YHnFQ==" saltValue="rFtG6/z4RWn+HAdNuYGc4g==" spinCount="100000" sheet="1"/>
  <customSheetViews>
    <customSheetView guid="{EB7FE26D-7077-48F2-8515-D783BE87A220}" scale="70" state="hidden">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B61"/>
  <sheetViews>
    <sheetView workbookViewId="0">
      <selection activeCell="E12" sqref="E12"/>
    </sheetView>
  </sheetViews>
  <sheetFormatPr defaultColWidth="8.81640625" defaultRowHeight="12.5"/>
  <cols>
    <col min="1" max="1" width="3" customWidth="1"/>
    <col min="2" max="2" width="6.1796875" customWidth="1"/>
    <col min="3" max="3" width="32" customWidth="1"/>
    <col min="4" max="4" width="8.36328125" customWidth="1"/>
    <col min="5" max="5" width="14.453125" customWidth="1"/>
    <col min="6" max="6" width="12" customWidth="1"/>
    <col min="7" max="7" width="10.36328125" customWidth="1"/>
    <col min="8" max="8" width="11.453125" customWidth="1"/>
    <col min="9" max="9" width="12.453125" style="239" customWidth="1"/>
    <col min="10" max="10" width="20" customWidth="1"/>
    <col min="11" max="11" width="11.36328125" customWidth="1"/>
    <col min="12" max="12" width="7.453125" customWidth="1"/>
    <col min="13" max="13" width="25.6328125" style="13" customWidth="1"/>
    <col min="14" max="14" width="9.1796875" style="239"/>
    <col min="15" max="15" width="10.36328125" customWidth="1"/>
    <col min="16" max="16" width="5.6328125" customWidth="1"/>
    <col min="17" max="17" width="8.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998</v>
      </c>
      <c r="I1" s="230"/>
      <c r="L1" s="48"/>
      <c r="M1" s="48"/>
      <c r="N1" s="230"/>
    </row>
    <row r="2" spans="1:28" ht="14">
      <c r="A2" s="54" t="s">
        <v>311</v>
      </c>
      <c r="I2" s="230"/>
      <c r="L2" s="48"/>
      <c r="M2" s="48"/>
      <c r="N2" s="230"/>
    </row>
    <row r="3" spans="1:28" s="5" customFormat="1" ht="13">
      <c r="D3" s="7"/>
      <c r="E3" s="7"/>
      <c r="F3" s="7"/>
      <c r="G3" s="7"/>
      <c r="H3" s="7"/>
      <c r="I3" s="254"/>
      <c r="J3" s="7"/>
      <c r="K3" s="7"/>
      <c r="L3" s="138"/>
      <c r="M3" s="30"/>
      <c r="N3" s="254"/>
      <c r="O3" s="7"/>
      <c r="P3" s="65" t="s">
        <v>55</v>
      </c>
      <c r="Q3" s="65"/>
      <c r="R3" s="65"/>
      <c r="S3" s="65"/>
      <c r="T3" s="65"/>
      <c r="U3" s="65"/>
      <c r="V3" s="10" t="s">
        <v>54</v>
      </c>
      <c r="W3" s="102"/>
      <c r="X3" s="102"/>
      <c r="Y3" s="102"/>
      <c r="Z3" s="102"/>
      <c r="AA3" s="102"/>
      <c r="AB3" s="65"/>
    </row>
    <row r="4" spans="1:28" s="143" customFormat="1" ht="26">
      <c r="A4" s="143" t="s">
        <v>52</v>
      </c>
      <c r="B4" s="143" t="s">
        <v>50</v>
      </c>
      <c r="C4" s="133" t="s">
        <v>59</v>
      </c>
      <c r="D4" s="111" t="s">
        <v>153</v>
      </c>
      <c r="E4" s="133" t="s">
        <v>49</v>
      </c>
      <c r="F4" s="142" t="s">
        <v>35</v>
      </c>
      <c r="G4" s="111" t="s">
        <v>37</v>
      </c>
      <c r="H4" s="142" t="s">
        <v>35</v>
      </c>
      <c r="I4" s="244" t="s">
        <v>51</v>
      </c>
      <c r="J4" s="143" t="s">
        <v>35</v>
      </c>
      <c r="K4" s="83" t="s">
        <v>61</v>
      </c>
      <c r="L4" s="138" t="s">
        <v>35</v>
      </c>
      <c r="M4" s="145" t="s">
        <v>209</v>
      </c>
      <c r="N4" s="244" t="s">
        <v>92</v>
      </c>
      <c r="O4" s="142" t="s">
        <v>35</v>
      </c>
      <c r="P4" s="110" t="s">
        <v>38</v>
      </c>
      <c r="Q4" s="110" t="s">
        <v>39</v>
      </c>
      <c r="R4" s="110" t="s">
        <v>40</v>
      </c>
      <c r="S4" s="110" t="s">
        <v>41</v>
      </c>
      <c r="T4" s="111" t="s">
        <v>42</v>
      </c>
      <c r="U4" s="111" t="s">
        <v>227</v>
      </c>
      <c r="V4" s="56" t="s">
        <v>38</v>
      </c>
      <c r="W4" s="56" t="s">
        <v>39</v>
      </c>
      <c r="X4" s="56" t="s">
        <v>40</v>
      </c>
      <c r="Y4" s="56" t="s">
        <v>41</v>
      </c>
      <c r="Z4" s="57" t="s">
        <v>42</v>
      </c>
      <c r="AA4" s="57" t="s">
        <v>227</v>
      </c>
      <c r="AB4" s="110" t="s">
        <v>87</v>
      </c>
    </row>
    <row r="5" spans="1:28" s="128" customFormat="1" ht="39">
      <c r="A5" s="128" t="s">
        <v>289</v>
      </c>
      <c r="C5" s="133" t="s">
        <v>283</v>
      </c>
      <c r="D5" s="110"/>
      <c r="F5" s="127"/>
      <c r="G5" s="75"/>
      <c r="H5" s="127"/>
      <c r="I5" s="246"/>
      <c r="K5" s="112"/>
      <c r="L5" s="127"/>
      <c r="M5" s="134"/>
      <c r="N5" s="246"/>
      <c r="O5" s="127"/>
      <c r="P5" s="75"/>
      <c r="Q5" s="75"/>
      <c r="R5" s="75"/>
      <c r="S5" s="75"/>
      <c r="T5" s="75"/>
      <c r="U5" s="75"/>
      <c r="V5" s="58"/>
      <c r="W5" s="58"/>
      <c r="X5" s="58"/>
      <c r="Y5" s="58"/>
      <c r="Z5" s="58"/>
      <c r="AA5" s="58"/>
      <c r="AB5" s="75"/>
    </row>
    <row r="6" spans="1:28" ht="13">
      <c r="B6" t="s">
        <v>290</v>
      </c>
      <c r="C6" s="12" t="s">
        <v>317</v>
      </c>
      <c r="D6" s="75"/>
      <c r="E6" s="833" t="s">
        <v>1256</v>
      </c>
      <c r="F6" s="3" t="s">
        <v>331</v>
      </c>
      <c r="G6" s="75">
        <v>1</v>
      </c>
      <c r="H6" s="3" t="s">
        <v>331</v>
      </c>
      <c r="I6" s="247">
        <f>'Step5-Waste treatment+recycling'!$C$26</f>
        <v>0</v>
      </c>
      <c r="J6" s="3" t="s">
        <v>332</v>
      </c>
      <c r="K6" s="300">
        <f>G6*I6/1000</f>
        <v>0</v>
      </c>
      <c r="L6" s="3" t="s">
        <v>36</v>
      </c>
      <c r="M6" s="106"/>
      <c r="N6" s="260">
        <f>K6</f>
        <v>0</v>
      </c>
      <c r="O6" s="3" t="s">
        <v>36</v>
      </c>
      <c r="P6" s="284">
        <v>0.01</v>
      </c>
      <c r="Q6" s="684">
        <v>1E-4</v>
      </c>
      <c r="R6" s="284"/>
      <c r="S6" s="435"/>
      <c r="T6" s="435"/>
      <c r="U6" s="435"/>
      <c r="V6" s="335">
        <f>$N6*P6</f>
        <v>0</v>
      </c>
      <c r="W6" s="335">
        <f>$N6*Q6</f>
        <v>0</v>
      </c>
      <c r="X6" s="335">
        <f>$N6*R6</f>
        <v>0</v>
      </c>
      <c r="Y6" s="199" t="s">
        <v>272</v>
      </c>
      <c r="Z6" s="199" t="s">
        <v>272</v>
      </c>
      <c r="AA6" s="199" t="s">
        <v>272</v>
      </c>
      <c r="AB6" s="75"/>
    </row>
    <row r="7" spans="1:28" s="55" customFormat="1" ht="13">
      <c r="A7" s="103"/>
      <c r="B7" s="103"/>
      <c r="C7" s="135"/>
      <c r="D7" s="110"/>
      <c r="E7" s="105"/>
      <c r="F7" s="103"/>
      <c r="G7" s="75"/>
      <c r="H7" s="103"/>
      <c r="I7" s="247"/>
      <c r="K7" s="193"/>
      <c r="L7" s="103"/>
      <c r="M7" s="106"/>
      <c r="N7" s="247"/>
      <c r="O7" s="103"/>
      <c r="P7" s="129"/>
      <c r="Q7" s="129"/>
      <c r="R7" s="129"/>
      <c r="S7" s="129"/>
      <c r="T7" s="129"/>
      <c r="U7" s="129"/>
      <c r="V7" s="200"/>
      <c r="W7" s="200"/>
      <c r="X7" s="200"/>
      <c r="Y7" s="200"/>
      <c r="Z7" s="200"/>
      <c r="AA7" s="200"/>
      <c r="AB7" s="75"/>
    </row>
    <row r="8" spans="1:28" ht="14">
      <c r="B8" s="3" t="s">
        <v>291</v>
      </c>
      <c r="C8" s="71" t="s">
        <v>282</v>
      </c>
      <c r="D8" s="192" t="s">
        <v>272</v>
      </c>
      <c r="E8" s="74" t="s">
        <v>272</v>
      </c>
      <c r="F8" s="74" t="s">
        <v>272</v>
      </c>
      <c r="G8" s="187" t="s">
        <v>272</v>
      </c>
      <c r="H8" s="74" t="s">
        <v>272</v>
      </c>
      <c r="I8" s="258"/>
      <c r="J8" s="74" t="s">
        <v>272</v>
      </c>
      <c r="K8" s="301" t="s">
        <v>272</v>
      </c>
      <c r="L8" s="74" t="s">
        <v>272</v>
      </c>
      <c r="M8" s="14"/>
      <c r="N8" s="258" t="s">
        <v>272</v>
      </c>
      <c r="O8" s="3"/>
      <c r="P8" s="187" t="s">
        <v>272</v>
      </c>
      <c r="Q8" s="187" t="s">
        <v>272</v>
      </c>
      <c r="R8" s="187" t="s">
        <v>272</v>
      </c>
      <c r="S8" s="187" t="s">
        <v>272</v>
      </c>
      <c r="T8" s="187" t="s">
        <v>272</v>
      </c>
      <c r="U8" s="187" t="s">
        <v>272</v>
      </c>
      <c r="V8" s="199" t="s">
        <v>272</v>
      </c>
      <c r="W8" s="199" t="s">
        <v>272</v>
      </c>
      <c r="X8" s="199" t="s">
        <v>272</v>
      </c>
      <c r="Y8" s="199" t="s">
        <v>272</v>
      </c>
      <c r="Z8" s="199" t="s">
        <v>272</v>
      </c>
      <c r="AA8" s="199" t="s">
        <v>272</v>
      </c>
      <c r="AB8" s="75"/>
    </row>
    <row r="9" spans="1:28" ht="13">
      <c r="A9" s="3"/>
      <c r="C9" s="73" t="s">
        <v>284</v>
      </c>
      <c r="D9" s="75"/>
      <c r="E9" s="18"/>
      <c r="F9" s="3"/>
      <c r="G9" s="75"/>
      <c r="H9" s="3"/>
      <c r="I9" s="247"/>
      <c r="J9" s="3"/>
      <c r="K9" s="193"/>
      <c r="L9" s="3"/>
      <c r="M9" s="15"/>
      <c r="N9" s="247"/>
      <c r="O9" s="3"/>
      <c r="P9" s="130"/>
      <c r="Q9" s="130"/>
      <c r="R9" s="130"/>
      <c r="S9" s="130"/>
      <c r="T9" s="130"/>
      <c r="U9" s="130"/>
      <c r="V9" s="200"/>
      <c r="W9" s="200"/>
      <c r="X9" s="200"/>
      <c r="Y9" s="200"/>
      <c r="Z9" s="200"/>
      <c r="AA9" s="200"/>
      <c r="AB9" s="75"/>
    </row>
    <row r="10" spans="1:28" s="55" customFormat="1" ht="13">
      <c r="A10" s="103"/>
      <c r="B10" s="103"/>
      <c r="C10" s="104"/>
      <c r="D10" s="75"/>
      <c r="E10" s="105"/>
      <c r="F10" s="103"/>
      <c r="G10" s="75"/>
      <c r="H10" s="103"/>
      <c r="I10" s="247"/>
      <c r="K10" s="193"/>
      <c r="L10" s="103"/>
      <c r="M10" s="106"/>
      <c r="N10" s="247"/>
      <c r="O10" s="103"/>
      <c r="P10" s="129"/>
      <c r="Q10" s="129"/>
      <c r="R10" s="129"/>
      <c r="S10" s="129"/>
      <c r="T10" s="129"/>
      <c r="U10" s="126"/>
      <c r="V10" s="200"/>
      <c r="W10" s="200"/>
      <c r="X10" s="200"/>
      <c r="Y10" s="200"/>
      <c r="Z10" s="200"/>
      <c r="AA10" s="200"/>
      <c r="AB10" s="75"/>
    </row>
    <row r="11" spans="1:28" ht="28">
      <c r="B11" s="3" t="s">
        <v>292</v>
      </c>
      <c r="C11" s="71" t="s">
        <v>285</v>
      </c>
      <c r="D11" s="110"/>
      <c r="E11" s="43" t="s">
        <v>272</v>
      </c>
      <c r="F11" s="47" t="s">
        <v>272</v>
      </c>
      <c r="G11" s="187" t="s">
        <v>272</v>
      </c>
      <c r="H11" s="47" t="s">
        <v>272</v>
      </c>
      <c r="I11" s="251"/>
      <c r="J11" s="47" t="s">
        <v>272</v>
      </c>
      <c r="K11" s="302" t="s">
        <v>272</v>
      </c>
      <c r="L11" s="47" t="s">
        <v>272</v>
      </c>
      <c r="M11" s="14"/>
      <c r="N11" s="247"/>
      <c r="O11" s="3" t="s">
        <v>36</v>
      </c>
      <c r="P11" s="130" t="s">
        <v>43</v>
      </c>
      <c r="Q11" s="130" t="s">
        <v>43</v>
      </c>
      <c r="R11" s="130" t="s">
        <v>43</v>
      </c>
      <c r="S11" s="191" t="s">
        <v>272</v>
      </c>
      <c r="T11" s="191" t="s">
        <v>272</v>
      </c>
      <c r="U11" s="191" t="s">
        <v>272</v>
      </c>
      <c r="V11" s="198" t="e">
        <f>$N11*P11</f>
        <v>#VALUE!</v>
      </c>
      <c r="W11" s="198" t="e">
        <f>$N11*Q11</f>
        <v>#VALUE!</v>
      </c>
      <c r="X11" s="198" t="e">
        <f>$N11*R11</f>
        <v>#VALUE!</v>
      </c>
      <c r="Y11" s="199" t="s">
        <v>272</v>
      </c>
      <c r="Z11" s="199" t="s">
        <v>272</v>
      </c>
      <c r="AA11" s="199" t="s">
        <v>272</v>
      </c>
      <c r="AB11" s="75"/>
    </row>
    <row r="12" spans="1:28" s="55" customFormat="1" ht="13">
      <c r="A12" s="103"/>
      <c r="B12" s="103"/>
      <c r="C12" s="135"/>
      <c r="D12" s="75"/>
      <c r="E12" s="105"/>
      <c r="F12" s="103"/>
      <c r="G12" s="75"/>
      <c r="H12" s="103"/>
      <c r="I12" s="247"/>
      <c r="K12" s="193"/>
      <c r="L12" s="103"/>
      <c r="M12" s="106"/>
      <c r="N12" s="247"/>
      <c r="O12" s="103"/>
      <c r="P12" s="129"/>
      <c r="Q12" s="129"/>
      <c r="R12" s="129"/>
      <c r="S12" s="129"/>
      <c r="T12" s="129"/>
      <c r="U12" s="126"/>
      <c r="V12" s="200"/>
      <c r="W12" s="200"/>
      <c r="X12" s="200"/>
      <c r="Y12" s="200"/>
      <c r="Z12" s="200"/>
      <c r="AA12" s="200"/>
      <c r="AB12" s="75"/>
    </row>
    <row r="13" spans="1:28" ht="28">
      <c r="A13" s="3"/>
      <c r="B13" s="3" t="s">
        <v>293</v>
      </c>
      <c r="C13" s="71" t="s">
        <v>318</v>
      </c>
      <c r="D13" s="75"/>
      <c r="E13" s="6" t="s">
        <v>196</v>
      </c>
      <c r="F13" s="3" t="s">
        <v>331</v>
      </c>
      <c r="G13" s="75">
        <v>1</v>
      </c>
      <c r="H13" s="3" t="s">
        <v>331</v>
      </c>
      <c r="I13" s="247">
        <f>'Step5-Waste treatment+recycling'!C27</f>
        <v>0</v>
      </c>
      <c r="J13" s="3" t="s">
        <v>333</v>
      </c>
      <c r="K13" s="300">
        <f>G13*I13/1000</f>
        <v>0</v>
      </c>
      <c r="L13" s="3" t="s">
        <v>36</v>
      </c>
      <c r="M13" s="15"/>
      <c r="N13" s="247">
        <f>K13</f>
        <v>0</v>
      </c>
      <c r="O13" s="3" t="s">
        <v>36</v>
      </c>
      <c r="P13" s="284">
        <v>0.1</v>
      </c>
      <c r="Q13" s="284">
        <v>0.1</v>
      </c>
      <c r="R13" s="284">
        <v>0.8</v>
      </c>
      <c r="S13" s="435"/>
      <c r="T13" s="435"/>
      <c r="U13" s="435"/>
      <c r="V13" s="198">
        <f>$N13*P13</f>
        <v>0</v>
      </c>
      <c r="W13" s="198">
        <f>$N13*Q13</f>
        <v>0</v>
      </c>
      <c r="X13" s="198">
        <f>$N13*R13</f>
        <v>0</v>
      </c>
      <c r="Y13" s="199" t="s">
        <v>272</v>
      </c>
      <c r="Z13" s="199" t="s">
        <v>272</v>
      </c>
      <c r="AA13" s="199" t="s">
        <v>272</v>
      </c>
      <c r="AB13" s="75"/>
    </row>
    <row r="14" spans="1:28" s="55" customFormat="1" ht="13">
      <c r="A14" s="103"/>
      <c r="B14" s="103"/>
      <c r="C14" s="135"/>
      <c r="D14" s="110"/>
      <c r="E14" s="148"/>
      <c r="F14" s="103"/>
      <c r="G14" s="75"/>
      <c r="H14" s="103"/>
      <c r="I14" s="247"/>
      <c r="K14" s="193"/>
      <c r="L14" s="103"/>
      <c r="M14" s="137"/>
      <c r="N14" s="247"/>
      <c r="O14" s="103"/>
      <c r="P14" s="129"/>
      <c r="Q14" s="129"/>
      <c r="R14" s="129"/>
      <c r="S14" s="129"/>
      <c r="T14" s="129"/>
      <c r="U14" s="126"/>
      <c r="V14" s="200"/>
      <c r="W14" s="200"/>
      <c r="X14" s="200"/>
      <c r="Y14" s="200"/>
      <c r="Z14" s="200"/>
      <c r="AA14" s="200"/>
      <c r="AB14" s="75"/>
    </row>
    <row r="15" spans="1:28" ht="13">
      <c r="B15" s="3" t="s">
        <v>294</v>
      </c>
      <c r="C15" s="12" t="s">
        <v>286</v>
      </c>
      <c r="D15" s="110"/>
      <c r="F15" s="3"/>
      <c r="G15" s="75"/>
      <c r="H15" s="3"/>
      <c r="I15" s="246"/>
      <c r="K15" s="303"/>
      <c r="L15" s="3"/>
      <c r="M15" s="14"/>
      <c r="N15" s="246"/>
      <c r="O15" s="3"/>
      <c r="P15" s="126"/>
      <c r="Q15" s="126"/>
      <c r="R15" s="126"/>
      <c r="S15" s="126"/>
      <c r="T15" s="126"/>
      <c r="U15" s="126"/>
      <c r="V15" s="198">
        <f t="shared" ref="V15:AA15" si="0">SUM(V16:V19)</f>
        <v>0</v>
      </c>
      <c r="W15" s="198">
        <f t="shared" si="0"/>
        <v>0</v>
      </c>
      <c r="X15" s="198">
        <f t="shared" si="0"/>
        <v>0</v>
      </c>
      <c r="Y15" s="198">
        <f t="shared" si="0"/>
        <v>0</v>
      </c>
      <c r="Z15" s="198">
        <f t="shared" si="0"/>
        <v>0</v>
      </c>
      <c r="AA15" s="198">
        <f t="shared" si="0"/>
        <v>0</v>
      </c>
      <c r="AB15" s="75"/>
    </row>
    <row r="16" spans="1:28" ht="26">
      <c r="A16" s="3"/>
      <c r="D16" s="75"/>
      <c r="E16" s="833" t="s">
        <v>1256</v>
      </c>
      <c r="F16" s="53" t="s">
        <v>300</v>
      </c>
      <c r="G16" s="75">
        <v>5.25</v>
      </c>
      <c r="H16" s="53" t="s">
        <v>300</v>
      </c>
      <c r="I16" s="247">
        <f>'Step5-Waste treatment+recycling'!C29</f>
        <v>0</v>
      </c>
      <c r="J16" s="3" t="s">
        <v>299</v>
      </c>
      <c r="K16" s="773">
        <f>G16*I16/1000000</f>
        <v>0</v>
      </c>
      <c r="L16" s="3" t="s">
        <v>36</v>
      </c>
      <c r="M16" s="15" t="s">
        <v>295</v>
      </c>
      <c r="N16" s="771">
        <f>$K$16*IF('Step5-Waste treatment+recycling'!$E$29=yes,'Step5-Waste treatment+recycling'!$G$31/100,'Default Controls'!$C$53/100)</f>
        <v>0</v>
      </c>
      <c r="O16" s="3" t="s">
        <v>36</v>
      </c>
      <c r="P16" s="130"/>
      <c r="Q16" s="130">
        <v>1</v>
      </c>
      <c r="R16" s="130"/>
      <c r="S16" s="130"/>
      <c r="T16" s="130"/>
      <c r="U16" s="130"/>
      <c r="V16" s="200">
        <f t="shared" ref="V16:AA19" si="1">$N16*P16</f>
        <v>0</v>
      </c>
      <c r="W16" s="200">
        <f t="shared" si="1"/>
        <v>0</v>
      </c>
      <c r="X16" s="200">
        <f t="shared" si="1"/>
        <v>0</v>
      </c>
      <c r="Y16" s="200">
        <f t="shared" si="1"/>
        <v>0</v>
      </c>
      <c r="Z16" s="200">
        <f t="shared" si="1"/>
        <v>0</v>
      </c>
      <c r="AA16" s="200">
        <f t="shared" si="1"/>
        <v>0</v>
      </c>
      <c r="AB16" s="75"/>
    </row>
    <row r="17" spans="1:28" ht="13">
      <c r="A17" s="3"/>
      <c r="B17" s="3"/>
      <c r="D17" s="75"/>
      <c r="E17" s="6"/>
      <c r="F17" s="3"/>
      <c r="G17" s="75"/>
      <c r="H17" s="3"/>
      <c r="I17" s="247"/>
      <c r="K17" s="114"/>
      <c r="L17" s="3"/>
      <c r="M17" s="15" t="s">
        <v>296</v>
      </c>
      <c r="N17" s="771">
        <f>$K$16*IF('Step5-Waste treatment+recycling'!$E$29=yes,'Step5-Waste treatment+recycling'!$H$31/100,'Default Controls'!$D$53/100)</f>
        <v>0</v>
      </c>
      <c r="O17" s="3" t="s">
        <v>36</v>
      </c>
      <c r="P17" s="130"/>
      <c r="Q17" s="130">
        <v>0.9</v>
      </c>
      <c r="R17" s="130"/>
      <c r="S17" s="130"/>
      <c r="T17" s="130">
        <v>0.1</v>
      </c>
      <c r="U17" s="130"/>
      <c r="V17" s="200">
        <f t="shared" si="1"/>
        <v>0</v>
      </c>
      <c r="W17" s="200">
        <f t="shared" si="1"/>
        <v>0</v>
      </c>
      <c r="X17" s="200">
        <f t="shared" si="1"/>
        <v>0</v>
      </c>
      <c r="Y17" s="200">
        <f t="shared" si="1"/>
        <v>0</v>
      </c>
      <c r="Z17" s="200">
        <f t="shared" si="1"/>
        <v>0</v>
      </c>
      <c r="AA17" s="200">
        <f t="shared" si="1"/>
        <v>0</v>
      </c>
      <c r="AB17" s="75"/>
    </row>
    <row r="18" spans="1:28" ht="39">
      <c r="A18" s="3"/>
      <c r="B18" s="3"/>
      <c r="D18" s="75"/>
      <c r="E18" s="6"/>
      <c r="F18" s="3"/>
      <c r="G18" s="75"/>
      <c r="H18" s="3"/>
      <c r="I18" s="247"/>
      <c r="K18" s="115"/>
      <c r="L18" s="3"/>
      <c r="M18" s="15" t="s">
        <v>297</v>
      </c>
      <c r="N18" s="771">
        <f>$K$16*IF('Step5-Waste treatment+recycling'!$E$29=yes,'Step5-Waste treatment+recycling'!$I$31/100,'Default Controls'!$E$53/100)</f>
        <v>0</v>
      </c>
      <c r="O18" s="3" t="s">
        <v>36</v>
      </c>
      <c r="P18" s="130"/>
      <c r="Q18" s="130">
        <v>0.5</v>
      </c>
      <c r="R18" s="130"/>
      <c r="S18" s="130"/>
      <c r="T18" s="130">
        <v>0.3</v>
      </c>
      <c r="U18" s="130">
        <v>0.2</v>
      </c>
      <c r="V18" s="200">
        <f t="shared" si="1"/>
        <v>0</v>
      </c>
      <c r="W18" s="200">
        <f t="shared" si="1"/>
        <v>0</v>
      </c>
      <c r="X18" s="200">
        <f t="shared" si="1"/>
        <v>0</v>
      </c>
      <c r="Y18" s="200">
        <f t="shared" si="1"/>
        <v>0</v>
      </c>
      <c r="Z18" s="200">
        <f t="shared" si="1"/>
        <v>0</v>
      </c>
      <c r="AA18" s="200">
        <f t="shared" si="1"/>
        <v>0</v>
      </c>
      <c r="AB18" s="75"/>
    </row>
    <row r="19" spans="1:28" s="55" customFormat="1" ht="52">
      <c r="A19" s="103"/>
      <c r="B19" s="103"/>
      <c r="D19" s="75"/>
      <c r="E19" s="105"/>
      <c r="F19" s="103"/>
      <c r="G19" s="75"/>
      <c r="H19" s="103"/>
      <c r="I19" s="247"/>
      <c r="J19" s="449"/>
      <c r="K19" s="115"/>
      <c r="L19" s="103"/>
      <c r="M19" s="106" t="s">
        <v>298</v>
      </c>
      <c r="N19" s="771">
        <f>$K$16*IF('Step5-Waste treatment+recycling'!$E$29=yes,'Step5-Waste treatment+recycling'!$J$31/100,'Default Controls'!$F$53/100)</f>
        <v>0</v>
      </c>
      <c r="O19" s="103" t="s">
        <v>36</v>
      </c>
      <c r="P19" s="130"/>
      <c r="Q19" s="130">
        <v>0.5</v>
      </c>
      <c r="R19" s="130">
        <v>0.2</v>
      </c>
      <c r="S19" s="130"/>
      <c r="T19" s="130">
        <v>0.15</v>
      </c>
      <c r="U19" s="130">
        <v>0.15</v>
      </c>
      <c r="V19" s="200">
        <f t="shared" si="1"/>
        <v>0</v>
      </c>
      <c r="W19" s="200">
        <f t="shared" si="1"/>
        <v>0</v>
      </c>
      <c r="X19" s="200">
        <f t="shared" si="1"/>
        <v>0</v>
      </c>
      <c r="Y19" s="200">
        <f t="shared" si="1"/>
        <v>0</v>
      </c>
      <c r="Z19" s="200">
        <f t="shared" si="1"/>
        <v>0</v>
      </c>
      <c r="AA19" s="200">
        <f t="shared" si="1"/>
        <v>0</v>
      </c>
      <c r="AB19" s="75"/>
    </row>
    <row r="20" spans="1:28" ht="13">
      <c r="C20" s="5"/>
      <c r="D20" s="5"/>
      <c r="G20" s="3"/>
      <c r="H20" s="3"/>
      <c r="I20" s="238"/>
      <c r="J20" s="3"/>
      <c r="K20" s="3"/>
      <c r="M20" s="32"/>
      <c r="N20" s="248"/>
      <c r="O20" s="3"/>
      <c r="P20" s="194"/>
      <c r="Q20" s="194"/>
      <c r="R20" s="194"/>
      <c r="S20" s="194"/>
      <c r="T20" s="194"/>
      <c r="U20" s="194"/>
      <c r="V20" s="194"/>
      <c r="W20" s="194"/>
      <c r="X20" s="194"/>
      <c r="Y20" s="194"/>
      <c r="Z20" s="194"/>
      <c r="AA20" s="194"/>
      <c r="AB20" s="3"/>
    </row>
    <row r="21" spans="1:28" ht="13">
      <c r="C21" s="5" t="s">
        <v>56</v>
      </c>
      <c r="G21" s="3"/>
      <c r="H21" s="3"/>
      <c r="I21" s="238"/>
      <c r="J21" s="3"/>
      <c r="K21" s="3"/>
      <c r="M21" s="32"/>
      <c r="N21" s="248"/>
      <c r="O21" s="3"/>
      <c r="P21" s="3"/>
      <c r="Q21" s="3"/>
      <c r="R21" s="3"/>
      <c r="S21" s="3"/>
      <c r="T21" s="3"/>
      <c r="U21" s="3"/>
      <c r="V21" s="3"/>
      <c r="W21" s="3"/>
      <c r="X21" s="3"/>
      <c r="Y21" s="3"/>
      <c r="Z21" s="3"/>
      <c r="AA21" s="3"/>
      <c r="AB21" s="3"/>
    </row>
    <row r="22" spans="1:28" ht="13">
      <c r="C22" s="8" t="s">
        <v>287</v>
      </c>
      <c r="G22" s="3"/>
      <c r="H22" s="3"/>
      <c r="I22" s="238"/>
      <c r="J22" s="3"/>
      <c r="K22" s="3"/>
      <c r="M22" s="32"/>
      <c r="N22" s="248"/>
      <c r="O22" s="3"/>
      <c r="P22" s="3"/>
      <c r="Q22" s="3"/>
      <c r="R22" s="3"/>
      <c r="S22" s="3"/>
      <c r="T22" s="3"/>
      <c r="U22" s="3"/>
      <c r="V22" s="195"/>
      <c r="W22" s="195"/>
      <c r="X22" s="195"/>
      <c r="Y22" s="195"/>
      <c r="Z22" s="195"/>
      <c r="AA22" s="195"/>
      <c r="AB22" s="3"/>
    </row>
    <row r="23" spans="1:28" s="48" customFormat="1" ht="13">
      <c r="C23" s="52" t="s">
        <v>288</v>
      </c>
      <c r="D23" s="37"/>
      <c r="G23" s="28"/>
      <c r="H23" s="28"/>
      <c r="I23" s="256"/>
      <c r="J23" s="28"/>
      <c r="K23" s="28"/>
      <c r="M23" s="34"/>
      <c r="N23" s="255"/>
      <c r="O23" s="17"/>
      <c r="P23" s="28"/>
      <c r="Q23" s="28"/>
      <c r="R23" s="28"/>
      <c r="S23" s="28"/>
      <c r="T23" s="28"/>
      <c r="U23" s="28"/>
      <c r="V23" s="196"/>
      <c r="W23" s="196"/>
      <c r="X23" s="196"/>
      <c r="Y23" s="196"/>
      <c r="Z23" s="196"/>
      <c r="AA23" s="196"/>
      <c r="AB23" s="28"/>
    </row>
    <row r="24" spans="1:28" s="48" customFormat="1" ht="13">
      <c r="C24" s="50"/>
      <c r="D24" s="50"/>
      <c r="G24" s="28"/>
      <c r="H24" s="28"/>
      <c r="I24" s="256"/>
      <c r="J24" s="28"/>
      <c r="K24" s="28"/>
      <c r="M24" s="34"/>
      <c r="N24" s="255"/>
      <c r="O24" s="28"/>
      <c r="P24" s="28"/>
      <c r="Q24" s="28"/>
      <c r="R24" s="28"/>
      <c r="S24" s="28"/>
      <c r="T24" s="28"/>
      <c r="U24" s="28"/>
      <c r="V24" s="196"/>
      <c r="W24" s="196"/>
      <c r="X24" s="196"/>
      <c r="Y24" s="196"/>
      <c r="Z24" s="196"/>
      <c r="AA24" s="196"/>
      <c r="AB24" s="28"/>
    </row>
    <row r="25" spans="1:28" s="48" customFormat="1" ht="13">
      <c r="C25" s="28"/>
      <c r="D25" s="28"/>
      <c r="G25" s="28"/>
      <c r="H25" s="28"/>
      <c r="I25" s="256"/>
      <c r="J25" s="28"/>
      <c r="K25" s="28"/>
      <c r="M25" s="32"/>
      <c r="N25" s="255"/>
      <c r="O25" s="28"/>
      <c r="P25" s="28"/>
      <c r="Q25" s="28"/>
      <c r="R25" s="28"/>
      <c r="S25" s="28"/>
      <c r="T25" s="28"/>
      <c r="U25" s="28"/>
      <c r="V25" s="197"/>
      <c r="W25" s="197"/>
      <c r="X25" s="197"/>
      <c r="Y25" s="197"/>
      <c r="Z25" s="197"/>
      <c r="AA25" s="197"/>
      <c r="AB25" s="28"/>
    </row>
    <row r="26" spans="1:28" s="48" customFormat="1" ht="13">
      <c r="C26" s="51"/>
      <c r="G26" s="28"/>
      <c r="H26" s="28"/>
      <c r="I26" s="256"/>
      <c r="J26" s="28"/>
      <c r="K26" s="28"/>
      <c r="M26" s="32"/>
      <c r="N26" s="255"/>
      <c r="O26" s="28"/>
      <c r="P26" s="28"/>
      <c r="Q26" s="28"/>
      <c r="R26" s="28"/>
      <c r="S26" s="28"/>
      <c r="T26" s="28"/>
      <c r="U26" s="28"/>
      <c r="V26" s="28"/>
      <c r="W26" s="28"/>
      <c r="X26" s="28"/>
      <c r="Y26" s="28"/>
      <c r="Z26" s="28"/>
      <c r="AA26" s="28"/>
      <c r="AB26" s="28"/>
    </row>
    <row r="27" spans="1:28" s="48" customFormat="1" ht="13">
      <c r="C27" s="35"/>
      <c r="G27" s="28"/>
      <c r="H27" s="28"/>
      <c r="I27" s="256"/>
      <c r="J27" s="28"/>
      <c r="K27" s="28"/>
      <c r="M27" s="34"/>
      <c r="N27" s="255"/>
      <c r="O27" s="17"/>
      <c r="P27" s="28"/>
      <c r="Q27" s="28"/>
      <c r="R27" s="28"/>
      <c r="S27" s="28"/>
      <c r="T27" s="28"/>
      <c r="U27" s="28"/>
      <c r="V27" s="28"/>
      <c r="W27" s="28"/>
      <c r="X27" s="28"/>
      <c r="Y27" s="28"/>
      <c r="Z27" s="28"/>
      <c r="AA27" s="28"/>
      <c r="AB27" s="28"/>
    </row>
    <row r="28" spans="1:28" s="48" customFormat="1" ht="13">
      <c r="C28" s="35"/>
      <c r="G28" s="28"/>
      <c r="H28" s="28"/>
      <c r="I28" s="256"/>
      <c r="J28" s="28"/>
      <c r="K28" s="28"/>
      <c r="M28" s="34"/>
      <c r="N28" s="256"/>
      <c r="O28" s="28"/>
      <c r="P28" s="28"/>
      <c r="Q28" s="28"/>
      <c r="R28" s="28"/>
      <c r="S28" s="28"/>
      <c r="T28" s="28"/>
      <c r="U28" s="28"/>
      <c r="V28" s="28"/>
      <c r="W28" s="28"/>
      <c r="X28" s="28"/>
      <c r="Y28" s="28"/>
      <c r="Z28" s="28"/>
      <c r="AA28" s="28"/>
      <c r="AB28" s="28"/>
    </row>
    <row r="29" spans="1:28" ht="13">
      <c r="C29" s="35"/>
      <c r="G29" s="3"/>
      <c r="H29" s="3"/>
      <c r="I29" s="238"/>
      <c r="J29" s="3"/>
      <c r="K29" s="3"/>
      <c r="M29" s="34"/>
      <c r="N29" s="238"/>
      <c r="O29" s="3"/>
      <c r="P29" s="3"/>
      <c r="Q29" s="3"/>
      <c r="R29" s="3"/>
      <c r="S29" s="3"/>
      <c r="T29" s="3"/>
      <c r="U29" s="3"/>
      <c r="V29" s="3"/>
      <c r="W29" s="3"/>
      <c r="X29" s="3"/>
      <c r="Y29" s="3"/>
      <c r="Z29" s="3"/>
      <c r="AA29" s="3"/>
      <c r="AB29" s="3"/>
    </row>
    <row r="30" spans="1:28" ht="13">
      <c r="C30" s="35"/>
      <c r="G30" s="3"/>
      <c r="H30" s="3"/>
      <c r="I30" s="238"/>
      <c r="J30" s="3"/>
      <c r="K30" s="3"/>
      <c r="M30" s="34"/>
      <c r="N30" s="238"/>
      <c r="O30" s="3"/>
      <c r="P30" s="3"/>
      <c r="Q30" s="3"/>
      <c r="R30" s="3"/>
      <c r="S30" s="3"/>
      <c r="T30" s="3"/>
      <c r="U30" s="3"/>
      <c r="V30" s="3"/>
      <c r="W30" s="3"/>
      <c r="X30" s="3"/>
      <c r="Y30" s="3"/>
      <c r="Z30" s="3"/>
      <c r="AA30" s="3"/>
      <c r="AB30" s="3"/>
    </row>
    <row r="31" spans="1:28" ht="13">
      <c r="G31" s="3"/>
      <c r="H31" s="3"/>
      <c r="I31" s="238"/>
      <c r="J31" s="3"/>
      <c r="K31" s="3"/>
      <c r="M31" s="34"/>
      <c r="N31" s="238"/>
      <c r="O31" s="3"/>
      <c r="P31" s="3"/>
      <c r="Q31" s="3"/>
      <c r="R31" s="3"/>
      <c r="S31" s="3"/>
      <c r="T31" s="3"/>
      <c r="U31" s="3"/>
      <c r="V31" s="3"/>
      <c r="W31" s="3"/>
      <c r="X31" s="3"/>
      <c r="Y31" s="3"/>
      <c r="Z31" s="3"/>
      <c r="AA31" s="3"/>
      <c r="AB31" s="3"/>
    </row>
    <row r="32" spans="1:28" ht="13">
      <c r="G32" s="3"/>
      <c r="H32" s="3"/>
      <c r="I32" s="238"/>
      <c r="J32" s="3"/>
      <c r="K32" s="3"/>
      <c r="M32" s="16"/>
      <c r="N32" s="238"/>
      <c r="O32" s="3"/>
      <c r="P32" s="3"/>
      <c r="Q32" s="3"/>
      <c r="R32" s="3"/>
      <c r="S32" s="3"/>
      <c r="T32" s="3"/>
      <c r="U32" s="3"/>
      <c r="V32" s="3"/>
      <c r="W32" s="3"/>
      <c r="X32" s="3"/>
      <c r="Y32" s="3"/>
      <c r="Z32" s="3"/>
      <c r="AA32" s="3"/>
      <c r="AB32" s="3"/>
    </row>
    <row r="33" spans="4:28" ht="13">
      <c r="G33" s="3"/>
      <c r="H33" s="3"/>
      <c r="I33" s="238"/>
      <c r="J33" s="3"/>
      <c r="K33" s="3"/>
      <c r="M33" s="16"/>
      <c r="N33" s="238"/>
      <c r="O33" s="3"/>
      <c r="P33" s="3"/>
      <c r="Q33" s="3"/>
      <c r="R33" s="3"/>
      <c r="S33" s="3"/>
      <c r="T33" s="3"/>
      <c r="U33" s="3"/>
      <c r="V33" s="3"/>
      <c r="W33" s="3"/>
      <c r="X33" s="3"/>
      <c r="Y33" s="3"/>
      <c r="Z33" s="3"/>
      <c r="AA33" s="3"/>
      <c r="AB33" s="3"/>
    </row>
    <row r="34" spans="4:28" ht="13">
      <c r="G34" s="3"/>
      <c r="H34" s="3"/>
      <c r="I34" s="238"/>
      <c r="J34" s="3"/>
      <c r="K34" s="3"/>
      <c r="M34" s="16"/>
      <c r="N34" s="238"/>
      <c r="O34" s="3"/>
      <c r="P34" s="3"/>
      <c r="Q34" s="3"/>
      <c r="R34" s="3"/>
      <c r="S34" s="3"/>
      <c r="T34" s="3"/>
      <c r="U34" s="3"/>
      <c r="V34" s="3"/>
      <c r="W34" s="3"/>
      <c r="X34" s="3"/>
      <c r="Y34" s="3"/>
      <c r="Z34" s="3"/>
      <c r="AA34" s="3"/>
      <c r="AB34" s="3"/>
    </row>
    <row r="35" spans="4:28" ht="13">
      <c r="G35" s="3"/>
      <c r="H35" s="3"/>
      <c r="I35" s="238"/>
      <c r="J35" s="3"/>
      <c r="K35" s="3"/>
      <c r="M35" s="16"/>
      <c r="N35" s="238"/>
      <c r="O35" s="3"/>
      <c r="P35" s="3"/>
      <c r="Q35" s="3"/>
      <c r="R35" s="3"/>
      <c r="S35" s="3"/>
      <c r="T35" s="3"/>
      <c r="U35" s="3"/>
      <c r="V35" s="3"/>
      <c r="W35" s="3"/>
      <c r="X35" s="3"/>
      <c r="Y35" s="3"/>
      <c r="Z35" s="3"/>
      <c r="AA35" s="3"/>
      <c r="AB35" s="3"/>
    </row>
    <row r="36" spans="4:28" ht="13">
      <c r="G36" s="3"/>
      <c r="H36" s="3"/>
      <c r="I36" s="238"/>
      <c r="J36" s="3"/>
      <c r="K36" s="3"/>
      <c r="M36" s="15"/>
      <c r="N36" s="238"/>
      <c r="O36" s="3"/>
      <c r="P36" s="3"/>
      <c r="Q36" s="3"/>
      <c r="R36" s="3"/>
      <c r="S36" s="3"/>
      <c r="T36" s="3"/>
      <c r="U36" s="3"/>
      <c r="V36" s="3"/>
      <c r="W36" s="3"/>
      <c r="X36" s="3"/>
      <c r="Y36" s="3"/>
      <c r="Z36" s="3"/>
      <c r="AA36" s="3"/>
      <c r="AB36" s="3"/>
    </row>
    <row r="37" spans="4:28" ht="13">
      <c r="G37" s="3"/>
      <c r="H37" s="3"/>
      <c r="I37" s="238"/>
      <c r="J37" s="3"/>
      <c r="K37" s="3"/>
      <c r="M37" s="15"/>
      <c r="N37" s="238"/>
      <c r="O37" s="3"/>
      <c r="P37" s="3"/>
      <c r="Q37" s="3"/>
      <c r="R37" s="3"/>
      <c r="S37" s="3"/>
      <c r="T37" s="3"/>
      <c r="U37" s="3"/>
      <c r="V37" s="3"/>
      <c r="W37" s="3"/>
      <c r="X37" s="3"/>
      <c r="Y37" s="3"/>
      <c r="Z37" s="3"/>
      <c r="AA37" s="3"/>
      <c r="AB37" s="3"/>
    </row>
    <row r="38" spans="4:28" ht="13">
      <c r="G38" s="3"/>
      <c r="H38" s="3"/>
      <c r="I38" s="238"/>
      <c r="J38" s="3"/>
      <c r="K38" s="3"/>
      <c r="M38" s="15"/>
      <c r="N38" s="238"/>
      <c r="O38" s="3"/>
      <c r="P38" s="3"/>
      <c r="Q38" s="3"/>
      <c r="R38" s="3"/>
      <c r="S38" s="3"/>
      <c r="T38" s="3"/>
      <c r="U38" s="3"/>
      <c r="V38" s="3"/>
      <c r="W38" s="3"/>
      <c r="X38" s="3"/>
      <c r="Y38" s="3"/>
      <c r="Z38" s="3"/>
      <c r="AA38" s="3"/>
      <c r="AB38" s="3"/>
    </row>
    <row r="39" spans="4:28">
      <c r="G39" s="3"/>
      <c r="H39" s="3"/>
      <c r="I39" s="238"/>
      <c r="J39" s="3"/>
      <c r="K39" s="3"/>
      <c r="N39" s="238"/>
      <c r="O39" s="3"/>
      <c r="P39" s="3"/>
      <c r="Q39" s="3"/>
      <c r="R39" s="3"/>
      <c r="S39" s="3"/>
      <c r="T39" s="3"/>
      <c r="U39" s="3"/>
      <c r="V39" s="3"/>
      <c r="W39" s="3"/>
      <c r="X39" s="3"/>
      <c r="Y39" s="3"/>
      <c r="Z39" s="3"/>
      <c r="AA39" s="3"/>
      <c r="AB39" s="3"/>
    </row>
    <row r="40" spans="4:28">
      <c r="G40" s="3"/>
      <c r="H40" s="3"/>
      <c r="I40" s="238"/>
      <c r="J40" s="3"/>
      <c r="K40" s="3"/>
      <c r="N40" s="238"/>
      <c r="O40" s="3"/>
      <c r="P40" s="3"/>
      <c r="Q40" s="3"/>
      <c r="R40" s="3"/>
      <c r="S40" s="3"/>
      <c r="T40" s="3"/>
      <c r="U40" s="3"/>
      <c r="V40" s="3"/>
      <c r="W40" s="3"/>
      <c r="X40" s="3"/>
      <c r="Y40" s="3"/>
      <c r="Z40" s="3"/>
      <c r="AA40" s="3"/>
      <c r="AB40" s="3"/>
    </row>
    <row r="41" spans="4:28">
      <c r="G41" s="3"/>
      <c r="H41" s="3"/>
      <c r="I41" s="238"/>
      <c r="J41" s="3"/>
      <c r="K41" s="3"/>
      <c r="N41" s="238"/>
      <c r="O41" s="3"/>
      <c r="P41" s="3"/>
      <c r="Q41" s="3"/>
      <c r="R41" s="3"/>
      <c r="S41" s="3"/>
      <c r="T41" s="3"/>
      <c r="U41" s="3"/>
      <c r="V41" s="3"/>
      <c r="W41" s="3"/>
      <c r="X41" s="3"/>
      <c r="Y41" s="3"/>
      <c r="Z41" s="3"/>
      <c r="AA41" s="3"/>
      <c r="AB41" s="3"/>
    </row>
    <row r="42" spans="4:28" ht="13">
      <c r="G42" s="3"/>
      <c r="H42" s="3"/>
      <c r="I42" s="238"/>
      <c r="J42" s="3"/>
      <c r="K42" s="3"/>
      <c r="M42" s="14"/>
      <c r="N42" s="238"/>
      <c r="O42" s="3"/>
      <c r="P42" s="3"/>
      <c r="Q42" s="3"/>
      <c r="R42" s="3"/>
      <c r="S42" s="3"/>
      <c r="T42" s="3"/>
      <c r="U42" s="3"/>
      <c r="V42" s="3"/>
      <c r="W42" s="3"/>
      <c r="X42" s="3"/>
      <c r="Y42" s="3"/>
      <c r="Z42" s="3"/>
      <c r="AA42" s="3"/>
      <c r="AB42" s="3"/>
    </row>
    <row r="43" spans="4:28" ht="13">
      <c r="M43" s="14"/>
      <c r="N43" s="248"/>
      <c r="O43" s="3"/>
      <c r="P43" s="3"/>
      <c r="Q43" s="3"/>
      <c r="R43" s="3"/>
      <c r="S43" s="3"/>
      <c r="T43" s="3"/>
      <c r="U43" s="3"/>
      <c r="V43" s="3"/>
      <c r="W43" s="3"/>
      <c r="X43" s="3"/>
      <c r="Y43" s="3"/>
      <c r="Z43" s="3"/>
      <c r="AA43" s="3"/>
      <c r="AB43" s="3"/>
    </row>
    <row r="44" spans="4:28" ht="13">
      <c r="D44" s="5"/>
      <c r="N44" s="238"/>
      <c r="O44" s="3"/>
      <c r="P44" s="3"/>
      <c r="Q44" s="3"/>
      <c r="R44" s="3"/>
      <c r="S44" s="3"/>
      <c r="T44" s="3"/>
      <c r="U44" s="3"/>
      <c r="V44" s="3"/>
      <c r="W44" s="3"/>
      <c r="X44" s="3"/>
      <c r="Y44" s="3"/>
      <c r="Z44" s="3"/>
      <c r="AA44" s="3"/>
      <c r="AB44" s="3"/>
    </row>
    <row r="45" spans="4:28">
      <c r="N45" s="238"/>
      <c r="O45" s="3"/>
      <c r="P45" s="3"/>
      <c r="Q45" s="3"/>
      <c r="R45" s="3"/>
      <c r="S45" s="3"/>
      <c r="T45" s="3"/>
      <c r="U45" s="3"/>
      <c r="V45" s="3"/>
      <c r="W45" s="3"/>
      <c r="X45" s="3"/>
      <c r="Y45" s="3"/>
      <c r="Z45" s="3"/>
      <c r="AA45" s="3"/>
      <c r="AB45" s="3"/>
    </row>
    <row r="46" spans="4:28">
      <c r="N46" s="238"/>
      <c r="O46" s="3"/>
      <c r="P46" s="3"/>
      <c r="Q46" s="3"/>
      <c r="R46" s="3"/>
      <c r="S46" s="3"/>
      <c r="T46" s="3"/>
      <c r="U46" s="3"/>
      <c r="V46" s="3"/>
      <c r="W46" s="3"/>
      <c r="X46" s="3"/>
      <c r="Y46" s="3"/>
      <c r="Z46" s="3"/>
      <c r="AA46" s="3"/>
      <c r="AB46" s="3"/>
    </row>
    <row r="47" spans="4:28">
      <c r="N47" s="238"/>
      <c r="O47" s="3"/>
      <c r="P47" s="3"/>
      <c r="Q47" s="3"/>
      <c r="R47" s="3"/>
      <c r="S47" s="3"/>
      <c r="T47" s="3"/>
      <c r="U47" s="3"/>
      <c r="V47" s="3"/>
      <c r="W47" s="3"/>
      <c r="X47" s="3"/>
      <c r="Y47" s="3"/>
      <c r="Z47" s="3"/>
      <c r="AA47" s="3"/>
      <c r="AB47" s="3"/>
    </row>
    <row r="48" spans="4:28">
      <c r="N48" s="238"/>
      <c r="O48" s="3"/>
      <c r="P48" s="3"/>
      <c r="Q48" s="3"/>
      <c r="R48" s="3"/>
      <c r="S48" s="3"/>
      <c r="T48" s="3"/>
      <c r="U48" s="3"/>
      <c r="V48" s="3"/>
      <c r="W48" s="3"/>
      <c r="X48" s="3"/>
      <c r="Y48" s="3"/>
      <c r="Z48" s="3"/>
      <c r="AA48" s="3"/>
      <c r="AB48" s="3"/>
    </row>
    <row r="49" spans="14:28">
      <c r="N49" s="238"/>
      <c r="O49" s="3"/>
      <c r="P49" s="3"/>
      <c r="Q49" s="3"/>
      <c r="R49" s="3"/>
      <c r="S49" s="3"/>
      <c r="T49" s="3"/>
      <c r="U49" s="3"/>
      <c r="V49" s="3"/>
      <c r="W49" s="3"/>
      <c r="X49" s="3"/>
      <c r="Y49" s="3"/>
      <c r="Z49" s="3"/>
      <c r="AA49" s="3"/>
      <c r="AB49" s="3"/>
    </row>
    <row r="50" spans="14:28">
      <c r="N50" s="238"/>
      <c r="O50" s="3"/>
      <c r="P50" s="3"/>
      <c r="Q50" s="3"/>
      <c r="R50" s="3"/>
      <c r="S50" s="3"/>
      <c r="T50" s="3"/>
      <c r="U50" s="3"/>
      <c r="V50" s="3"/>
      <c r="W50" s="3"/>
      <c r="X50" s="3"/>
      <c r="Y50" s="3"/>
      <c r="Z50" s="3"/>
      <c r="AA50" s="3"/>
      <c r="AB50" s="3"/>
    </row>
    <row r="51" spans="14:28">
      <c r="N51" s="238"/>
      <c r="O51" s="3"/>
      <c r="P51" s="3"/>
      <c r="Q51" s="3"/>
      <c r="R51" s="3"/>
      <c r="S51" s="3"/>
      <c r="T51" s="3"/>
      <c r="U51" s="3"/>
      <c r="V51" s="3"/>
      <c r="W51" s="3"/>
      <c r="X51" s="3"/>
      <c r="Y51" s="3"/>
      <c r="Z51" s="3"/>
      <c r="AA51" s="3"/>
      <c r="AB51" s="3"/>
    </row>
    <row r="52" spans="14:28">
      <c r="N52" s="238"/>
      <c r="O52" s="3"/>
      <c r="P52" s="3"/>
      <c r="Q52" s="3"/>
      <c r="R52" s="3"/>
      <c r="S52" s="3"/>
      <c r="T52" s="3"/>
      <c r="U52" s="3"/>
      <c r="V52" s="3"/>
      <c r="W52" s="3"/>
      <c r="X52" s="3"/>
      <c r="Y52" s="3"/>
      <c r="Z52" s="3"/>
      <c r="AA52" s="3"/>
      <c r="AB52" s="3"/>
    </row>
    <row r="53" spans="14:28">
      <c r="N53" s="238"/>
      <c r="O53" s="3"/>
      <c r="P53" s="3"/>
      <c r="Q53" s="3"/>
      <c r="R53" s="3"/>
      <c r="S53" s="3"/>
      <c r="T53" s="3"/>
      <c r="U53" s="3"/>
      <c r="V53" s="3"/>
      <c r="W53" s="3"/>
      <c r="X53" s="3"/>
      <c r="Y53" s="3"/>
      <c r="Z53" s="3"/>
      <c r="AA53" s="3"/>
      <c r="AB53" s="3"/>
    </row>
    <row r="54" spans="14:28">
      <c r="N54" s="238"/>
      <c r="O54" s="3"/>
      <c r="P54" s="3"/>
      <c r="Q54" s="3"/>
      <c r="R54" s="3"/>
      <c r="S54" s="3"/>
      <c r="T54" s="3"/>
      <c r="U54" s="3"/>
      <c r="V54" s="3"/>
      <c r="W54" s="3"/>
      <c r="X54" s="3"/>
      <c r="Y54" s="3"/>
      <c r="Z54" s="3"/>
      <c r="AA54" s="3"/>
      <c r="AB54" s="3"/>
    </row>
    <row r="55" spans="14:28">
      <c r="N55" s="238"/>
      <c r="O55" s="3"/>
      <c r="P55" s="3"/>
      <c r="Q55" s="3"/>
      <c r="R55" s="3"/>
      <c r="S55" s="3"/>
      <c r="T55" s="3"/>
      <c r="U55" s="3"/>
      <c r="V55" s="3"/>
      <c r="W55" s="3"/>
      <c r="X55" s="3"/>
      <c r="Y55" s="3"/>
      <c r="Z55" s="3"/>
      <c r="AA55" s="3"/>
      <c r="AB55" s="3"/>
    </row>
    <row r="56" spans="14:28">
      <c r="N56" s="238"/>
      <c r="O56" s="3"/>
      <c r="P56" s="3"/>
      <c r="Q56" s="3"/>
      <c r="R56" s="3"/>
      <c r="S56" s="3"/>
      <c r="T56" s="3"/>
      <c r="U56" s="3"/>
      <c r="V56" s="3"/>
      <c r="W56" s="3"/>
      <c r="X56" s="3"/>
      <c r="Y56" s="3"/>
      <c r="Z56" s="3"/>
      <c r="AA56" s="3"/>
      <c r="AB56" s="3"/>
    </row>
    <row r="57" spans="14:28">
      <c r="N57" s="238"/>
      <c r="O57" s="3"/>
      <c r="P57" s="3"/>
      <c r="Q57" s="3"/>
      <c r="R57" s="3"/>
      <c r="S57" s="3"/>
      <c r="T57" s="3"/>
      <c r="U57" s="3"/>
      <c r="V57" s="3"/>
      <c r="W57" s="3"/>
      <c r="X57" s="3"/>
      <c r="Y57" s="3"/>
      <c r="Z57" s="3"/>
      <c r="AA57" s="3"/>
      <c r="AB57" s="3"/>
    </row>
    <row r="58" spans="14:28">
      <c r="N58" s="238"/>
      <c r="O58" s="3"/>
      <c r="P58" s="3"/>
      <c r="Q58" s="3"/>
      <c r="R58" s="3"/>
      <c r="S58" s="3"/>
      <c r="T58" s="3"/>
      <c r="U58" s="3"/>
      <c r="V58" s="3"/>
      <c r="W58" s="3"/>
      <c r="X58" s="3"/>
      <c r="Y58" s="3"/>
      <c r="Z58" s="3"/>
      <c r="AA58" s="3"/>
      <c r="AB58" s="3"/>
    </row>
    <row r="59" spans="14:28">
      <c r="N59" s="238"/>
      <c r="O59" s="3"/>
      <c r="P59" s="3"/>
      <c r="Q59" s="3"/>
      <c r="R59" s="3"/>
      <c r="S59" s="3"/>
      <c r="T59" s="3"/>
      <c r="U59" s="3"/>
      <c r="V59" s="3"/>
      <c r="W59" s="3"/>
      <c r="X59" s="3"/>
      <c r="Y59" s="3"/>
      <c r="Z59" s="3"/>
      <c r="AA59" s="3"/>
      <c r="AB59" s="3"/>
    </row>
    <row r="60" spans="14:28">
      <c r="N60" s="238"/>
      <c r="O60" s="3"/>
      <c r="P60" s="3"/>
      <c r="Q60" s="3"/>
      <c r="R60" s="3"/>
      <c r="S60" s="3"/>
      <c r="T60" s="3"/>
      <c r="U60" s="3"/>
      <c r="V60" s="3"/>
      <c r="W60" s="3"/>
      <c r="X60" s="3"/>
      <c r="Y60" s="3"/>
      <c r="Z60" s="3"/>
      <c r="AA60" s="3"/>
      <c r="AB60" s="3"/>
    </row>
    <row r="61" spans="14:28">
      <c r="N61" s="238"/>
      <c r="O61" s="3"/>
      <c r="P61" s="3"/>
      <c r="Q61" s="3"/>
      <c r="R61" s="3"/>
      <c r="S61" s="3"/>
      <c r="T61" s="3"/>
      <c r="U61" s="3"/>
      <c r="V61" s="3"/>
      <c r="W61" s="3"/>
      <c r="X61" s="3"/>
      <c r="Y61" s="3"/>
      <c r="Z61" s="3"/>
      <c r="AA61" s="3"/>
      <c r="AB61" s="3"/>
    </row>
  </sheetData>
  <sheetProtection algorithmName="SHA-512" hashValue="4V7yjC+9eWM/MsLac1R1Cq2MsjuA/BHVH63eBUF7pyM1nLvu1inRTDfrKrzfQPF7W5LTdlyQO7JzeMXelKM9DQ==" saltValue="6oWdgleEKBojZK0hycW71Q==" spinCount="100000" sheet="1"/>
  <customSheetViews>
    <customSheetView guid="{EB7FE26D-7077-48F2-8515-D783BE87A220}" scale="70" state="hidden">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B74"/>
  <sheetViews>
    <sheetView workbookViewId="0"/>
  </sheetViews>
  <sheetFormatPr defaultColWidth="8.81640625" defaultRowHeight="12.5"/>
  <cols>
    <col min="1" max="1" width="3" customWidth="1"/>
    <col min="2" max="2" width="6.1796875" customWidth="1"/>
    <col min="3" max="3" width="32.453125" customWidth="1"/>
    <col min="4" max="4" width="7.36328125" customWidth="1"/>
    <col min="5" max="5" width="11" customWidth="1"/>
    <col min="6" max="6" width="12.36328125" customWidth="1"/>
    <col min="7" max="7" width="10.36328125" customWidth="1"/>
    <col min="8" max="8" width="16.81640625" customWidth="1"/>
    <col min="9" max="9" width="12.453125" style="239" customWidth="1"/>
    <col min="10" max="10" width="16" customWidth="1"/>
    <col min="11" max="11" width="11.36328125" customWidth="1"/>
    <col min="12" max="12" width="11.453125" customWidth="1"/>
    <col min="13" max="13" width="10.81640625" style="13" customWidth="1"/>
    <col min="14" max="14" width="9.1796875" style="239"/>
    <col min="15" max="15" width="8" customWidth="1"/>
    <col min="16" max="16" width="5.81640625" customWidth="1"/>
    <col min="17" max="17" width="6" customWidth="1"/>
    <col min="18" max="19" width="7.453125" customWidth="1"/>
    <col min="21" max="21" width="18.453125" customWidth="1"/>
    <col min="22" max="22" width="12.453125" customWidth="1"/>
    <col min="24" max="25" width="9.6328125" customWidth="1"/>
    <col min="26" max="26" width="11.453125" customWidth="1"/>
    <col min="27" max="27" width="18.453125" customWidth="1"/>
    <col min="28" max="28" width="63.453125" customWidth="1"/>
  </cols>
  <sheetData>
    <row r="1" spans="1:28" ht="18">
      <c r="A1" s="1" t="s">
        <v>34</v>
      </c>
      <c r="I1" s="230"/>
      <c r="N1" s="230"/>
    </row>
    <row r="2" spans="1:28" ht="14">
      <c r="A2" s="54" t="s">
        <v>311</v>
      </c>
      <c r="I2" s="230"/>
      <c r="N2" s="230"/>
    </row>
    <row r="3" spans="1:28" s="179" customFormat="1" ht="13">
      <c r="D3" s="180"/>
      <c r="E3" s="180"/>
      <c r="F3" s="180"/>
      <c r="G3" s="180"/>
      <c r="H3" s="180"/>
      <c r="I3" s="257"/>
      <c r="J3" s="180"/>
      <c r="K3" s="180"/>
      <c r="L3" s="180"/>
      <c r="M3" s="181"/>
      <c r="N3" s="257"/>
      <c r="O3" s="180"/>
      <c r="P3" s="110" t="s">
        <v>55</v>
      </c>
      <c r="Q3" s="110"/>
      <c r="R3" s="110"/>
      <c r="S3" s="110"/>
      <c r="T3" s="110"/>
      <c r="U3" s="110"/>
      <c r="V3" s="190" t="s">
        <v>54</v>
      </c>
      <c r="W3" s="56"/>
      <c r="X3" s="56"/>
      <c r="Y3" s="56"/>
      <c r="Z3" s="56"/>
      <c r="AA3" s="56"/>
      <c r="AB3" s="110"/>
    </row>
    <row r="4" spans="1:28" s="185" customFormat="1" ht="52">
      <c r="A4" s="185" t="s">
        <v>52</v>
      </c>
      <c r="B4" s="185" t="s">
        <v>50</v>
      </c>
      <c r="C4" s="135" t="s">
        <v>59</v>
      </c>
      <c r="D4" s="111" t="s">
        <v>153</v>
      </c>
      <c r="E4" s="135" t="s">
        <v>49</v>
      </c>
      <c r="F4" s="138" t="s">
        <v>35</v>
      </c>
      <c r="G4" s="111" t="s">
        <v>37</v>
      </c>
      <c r="H4" s="138" t="s">
        <v>35</v>
      </c>
      <c r="I4" s="244" t="s">
        <v>51</v>
      </c>
      <c r="J4" s="185" t="s">
        <v>35</v>
      </c>
      <c r="K4" s="83" t="s">
        <v>61</v>
      </c>
      <c r="L4" s="138" t="s">
        <v>35</v>
      </c>
      <c r="M4" s="155" t="s">
        <v>279</v>
      </c>
      <c r="N4" s="244" t="s">
        <v>92</v>
      </c>
      <c r="O4" s="138" t="s">
        <v>35</v>
      </c>
      <c r="P4" s="110" t="s">
        <v>38</v>
      </c>
      <c r="Q4" s="110" t="s">
        <v>39</v>
      </c>
      <c r="R4" s="110" t="s">
        <v>40</v>
      </c>
      <c r="S4" s="110" t="s">
        <v>41</v>
      </c>
      <c r="T4" s="111" t="s">
        <v>42</v>
      </c>
      <c r="U4" s="111" t="s">
        <v>227</v>
      </c>
      <c r="V4" s="56" t="s">
        <v>38</v>
      </c>
      <c r="W4" s="56" t="s">
        <v>39</v>
      </c>
      <c r="X4" s="56" t="s">
        <v>40</v>
      </c>
      <c r="Y4" s="56" t="s">
        <v>41</v>
      </c>
      <c r="Z4" s="57" t="s">
        <v>42</v>
      </c>
      <c r="AA4" s="57" t="s">
        <v>227</v>
      </c>
      <c r="AB4" s="110" t="s">
        <v>87</v>
      </c>
    </row>
    <row r="5" spans="1:28" s="128" customFormat="1" ht="39">
      <c r="A5" s="128" t="s">
        <v>273</v>
      </c>
      <c r="C5" s="133" t="s">
        <v>275</v>
      </c>
      <c r="D5" s="110"/>
      <c r="F5" s="127"/>
      <c r="G5" s="75"/>
      <c r="H5" s="127"/>
      <c r="I5" s="246"/>
      <c r="K5" s="188"/>
      <c r="L5" s="127"/>
      <c r="M5" s="134"/>
      <c r="N5" s="246"/>
      <c r="O5" s="127"/>
      <c r="P5" s="126"/>
      <c r="Q5" s="126"/>
      <c r="R5" s="126"/>
      <c r="S5" s="126"/>
      <c r="T5" s="126"/>
      <c r="U5" s="126"/>
      <c r="V5" s="58"/>
      <c r="W5" s="58"/>
      <c r="X5" s="58"/>
      <c r="Y5" s="58"/>
      <c r="Z5" s="58"/>
      <c r="AA5" s="58"/>
      <c r="AB5" s="75"/>
    </row>
    <row r="6" spans="1:28" ht="26">
      <c r="B6" t="s">
        <v>274</v>
      </c>
      <c r="C6" s="12" t="s">
        <v>276</v>
      </c>
      <c r="D6" s="110"/>
      <c r="E6" s="45" t="s">
        <v>272</v>
      </c>
      <c r="F6" s="46" t="s">
        <v>272</v>
      </c>
      <c r="G6" s="187">
        <v>1.0045200000000001</v>
      </c>
      <c r="H6" s="299" t="s">
        <v>529</v>
      </c>
      <c r="I6" s="251">
        <f>'Step5-Waste treatment+recycling'!C9</f>
        <v>0</v>
      </c>
      <c r="J6" s="299" t="s">
        <v>453</v>
      </c>
      <c r="K6" s="188">
        <f>I6*G6</f>
        <v>0</v>
      </c>
      <c r="L6" s="7" t="s">
        <v>351</v>
      </c>
      <c r="M6" s="39" t="s">
        <v>353</v>
      </c>
      <c r="N6" s="444">
        <f>K6</f>
        <v>0</v>
      </c>
      <c r="O6" s="3" t="s">
        <v>36</v>
      </c>
      <c r="P6" s="130">
        <v>2E-3</v>
      </c>
      <c r="Q6" s="130">
        <v>2.3999999999999998E-3</v>
      </c>
      <c r="R6" s="130"/>
      <c r="S6" s="191" t="s">
        <v>272</v>
      </c>
      <c r="T6" s="130"/>
      <c r="U6" s="130">
        <v>1.2E-4</v>
      </c>
      <c r="V6" s="113">
        <f t="shared" ref="V6:AA6" si="0">$N6*P6</f>
        <v>0</v>
      </c>
      <c r="W6" s="113">
        <f t="shared" si="0"/>
        <v>0</v>
      </c>
      <c r="X6" s="113">
        <f t="shared" si="0"/>
        <v>0</v>
      </c>
      <c r="Y6" s="198" t="s">
        <v>272</v>
      </c>
      <c r="Z6" s="113">
        <f t="shared" si="0"/>
        <v>0</v>
      </c>
      <c r="AA6" s="113">
        <f t="shared" si="0"/>
        <v>0</v>
      </c>
      <c r="AB6" s="75"/>
    </row>
    <row r="7" spans="1:28" s="55" customFormat="1" ht="13">
      <c r="B7" s="103"/>
      <c r="C7" s="135"/>
      <c r="D7" s="75"/>
      <c r="G7" s="75"/>
      <c r="I7" s="246"/>
      <c r="K7" s="188"/>
      <c r="M7" s="106"/>
      <c r="N7" s="247"/>
      <c r="P7" s="126"/>
      <c r="Q7" s="126"/>
      <c r="R7" s="126"/>
      <c r="S7" s="126"/>
      <c r="T7" s="126"/>
      <c r="U7" s="126"/>
      <c r="V7" s="113"/>
      <c r="W7" s="113"/>
      <c r="X7" s="113"/>
      <c r="Y7" s="113"/>
      <c r="Z7" s="113"/>
      <c r="AA7" s="113"/>
      <c r="AB7" s="75"/>
    </row>
    <row r="8" spans="1:28" ht="26">
      <c r="A8" s="3"/>
      <c r="B8" s="3" t="s">
        <v>148</v>
      </c>
      <c r="C8" s="12" t="s">
        <v>277</v>
      </c>
      <c r="D8" s="110"/>
      <c r="E8" s="44" t="s">
        <v>521</v>
      </c>
      <c r="F8" s="44" t="s">
        <v>522</v>
      </c>
      <c r="G8" s="126">
        <v>1.1000000000000001</v>
      </c>
      <c r="H8" s="44" t="s">
        <v>522</v>
      </c>
      <c r="I8" s="251">
        <f>'Step5-Waste treatment+recycling'!C10</f>
        <v>0</v>
      </c>
      <c r="J8" s="299" t="s">
        <v>523</v>
      </c>
      <c r="K8" s="188">
        <f>I8*G8/1000</f>
        <v>0</v>
      </c>
      <c r="L8" s="3" t="s">
        <v>36</v>
      </c>
      <c r="M8" s="14"/>
      <c r="N8" s="247">
        <f>K8</f>
        <v>0</v>
      </c>
      <c r="O8" s="3" t="s">
        <v>36</v>
      </c>
      <c r="P8" s="284">
        <v>0.33</v>
      </c>
      <c r="Q8" s="284"/>
      <c r="R8" s="284">
        <v>0.34</v>
      </c>
      <c r="S8" s="284"/>
      <c r="T8" s="284">
        <v>0.33</v>
      </c>
      <c r="U8" s="284"/>
      <c r="V8" s="113">
        <f t="shared" ref="V8:AA8" si="1">$N8*P8</f>
        <v>0</v>
      </c>
      <c r="W8" s="113">
        <f t="shared" si="1"/>
        <v>0</v>
      </c>
      <c r="X8" s="113">
        <f t="shared" si="1"/>
        <v>0</v>
      </c>
      <c r="Y8" s="113">
        <f t="shared" si="1"/>
        <v>0</v>
      </c>
      <c r="Z8" s="113">
        <f t="shared" si="1"/>
        <v>0</v>
      </c>
      <c r="AA8" s="113">
        <f t="shared" si="1"/>
        <v>0</v>
      </c>
      <c r="AB8" s="75"/>
    </row>
    <row r="9" spans="1:28" s="55" customFormat="1" ht="13">
      <c r="A9" s="151"/>
      <c r="B9" s="103"/>
      <c r="C9" s="136"/>
      <c r="D9" s="110"/>
      <c r="E9" s="105"/>
      <c r="F9" s="103"/>
      <c r="G9" s="75"/>
      <c r="H9" s="103"/>
      <c r="I9" s="247"/>
      <c r="K9" s="189"/>
      <c r="L9" s="103"/>
      <c r="M9" s="161"/>
      <c r="N9" s="247"/>
      <c r="O9" s="103"/>
      <c r="P9" s="342"/>
      <c r="Q9" s="342"/>
      <c r="R9" s="342"/>
      <c r="S9" s="342"/>
      <c r="T9" s="342"/>
      <c r="U9" s="342"/>
      <c r="V9" s="113"/>
      <c r="W9" s="113"/>
      <c r="X9" s="113"/>
      <c r="Y9" s="113"/>
      <c r="Z9" s="113"/>
      <c r="AA9" s="113"/>
      <c r="AB9" s="75"/>
    </row>
    <row r="10" spans="1:28" s="127" customFormat="1" ht="13">
      <c r="B10" s="127" t="s">
        <v>148</v>
      </c>
      <c r="C10" s="133" t="s">
        <v>278</v>
      </c>
      <c r="D10" s="110"/>
      <c r="E10" s="186" t="s">
        <v>43</v>
      </c>
      <c r="F10" s="186" t="s">
        <v>43</v>
      </c>
      <c r="G10" s="342">
        <v>0.6</v>
      </c>
      <c r="H10" s="186" t="s">
        <v>43</v>
      </c>
      <c r="I10" s="251"/>
      <c r="J10" s="186" t="s">
        <v>43</v>
      </c>
      <c r="K10" s="188">
        <f>I10*G10/1000</f>
        <v>0</v>
      </c>
      <c r="L10" s="127" t="s">
        <v>36</v>
      </c>
      <c r="M10" s="134"/>
      <c r="N10" s="247">
        <f>K10</f>
        <v>0</v>
      </c>
      <c r="O10" s="127" t="s">
        <v>36</v>
      </c>
      <c r="P10" s="284">
        <v>0.3</v>
      </c>
      <c r="Q10" s="284">
        <v>0.1</v>
      </c>
      <c r="R10" s="284"/>
      <c r="S10" s="284"/>
      <c r="T10" s="284">
        <v>0.3</v>
      </c>
      <c r="U10" s="284">
        <v>0.3</v>
      </c>
      <c r="V10" s="113">
        <f t="shared" ref="V10:AA10" si="2">$N10*P10</f>
        <v>0</v>
      </c>
      <c r="W10" s="113">
        <f t="shared" si="2"/>
        <v>0</v>
      </c>
      <c r="X10" s="113">
        <f t="shared" si="2"/>
        <v>0</v>
      </c>
      <c r="Y10" s="113">
        <f t="shared" si="2"/>
        <v>0</v>
      </c>
      <c r="Z10" s="113">
        <f t="shared" si="2"/>
        <v>0</v>
      </c>
      <c r="AA10" s="113">
        <f t="shared" si="2"/>
        <v>0</v>
      </c>
      <c r="AB10" s="75"/>
    </row>
    <row r="11" spans="1:28" s="3" customFormat="1" ht="13">
      <c r="E11" s="11"/>
      <c r="I11" s="248"/>
      <c r="K11" s="21"/>
      <c r="M11" s="29"/>
      <c r="N11" s="255"/>
      <c r="O11" s="28"/>
      <c r="P11" s="23"/>
      <c r="Q11" s="23"/>
      <c r="R11" s="24"/>
      <c r="S11" s="24"/>
      <c r="T11" s="23"/>
      <c r="V11" s="25"/>
      <c r="W11" s="25"/>
      <c r="X11" s="25"/>
      <c r="Y11" s="25"/>
      <c r="Z11" s="25"/>
      <c r="AA11" s="25"/>
    </row>
    <row r="12" spans="1:28" s="3" customFormat="1" ht="13">
      <c r="C12" s="3" t="s">
        <v>280</v>
      </c>
      <c r="D12" s="3" t="s">
        <v>281</v>
      </c>
      <c r="E12" s="11"/>
      <c r="I12" s="248"/>
      <c r="K12" s="21"/>
      <c r="M12" s="28"/>
      <c r="N12" s="255"/>
      <c r="O12" s="28"/>
      <c r="P12" s="23"/>
      <c r="Q12" s="23"/>
      <c r="R12" s="24"/>
      <c r="S12" s="24"/>
      <c r="T12" s="23"/>
      <c r="V12" s="22"/>
      <c r="W12" s="22"/>
      <c r="X12" s="22"/>
      <c r="Y12" s="22"/>
      <c r="Z12" s="22"/>
      <c r="AA12" s="22"/>
    </row>
    <row r="13" spans="1:28" s="3" customFormat="1" ht="13">
      <c r="D13" s="3" t="s">
        <v>345</v>
      </c>
      <c r="E13" s="11"/>
      <c r="I13" s="248"/>
      <c r="K13" s="21"/>
      <c r="M13" s="28"/>
      <c r="N13" s="255"/>
      <c r="O13" s="28"/>
      <c r="P13" s="23"/>
      <c r="Q13" s="23"/>
      <c r="R13" s="24"/>
      <c r="S13" s="24"/>
      <c r="T13" s="23"/>
      <c r="V13" s="22"/>
      <c r="W13" s="22"/>
      <c r="X13" s="22"/>
      <c r="Y13" s="22"/>
      <c r="Z13" s="22"/>
      <c r="AA13" s="22"/>
    </row>
    <row r="14" spans="1:28" s="3" customFormat="1" ht="13">
      <c r="D14" s="36" t="s">
        <v>352</v>
      </c>
      <c r="E14" s="11"/>
      <c r="I14" s="248"/>
      <c r="K14" s="21"/>
      <c r="M14" s="30"/>
      <c r="N14" s="255"/>
      <c r="O14" s="28"/>
      <c r="P14" s="23"/>
      <c r="Q14" s="23"/>
      <c r="R14" s="24"/>
      <c r="S14" s="24"/>
      <c r="T14" s="23"/>
      <c r="V14" s="22"/>
      <c r="W14" s="22"/>
      <c r="X14" s="22"/>
      <c r="Y14" s="22"/>
      <c r="Z14" s="22"/>
      <c r="AA14" s="22"/>
    </row>
    <row r="15" spans="1:28" s="3" customFormat="1" ht="13">
      <c r="E15" s="11"/>
      <c r="I15" s="248"/>
      <c r="K15" s="21"/>
      <c r="M15" s="30"/>
      <c r="N15" s="255"/>
      <c r="O15" s="28"/>
      <c r="P15" s="23"/>
      <c r="Q15" s="23"/>
      <c r="R15" s="24"/>
      <c r="S15" s="24"/>
      <c r="T15" s="23"/>
      <c r="V15" s="22"/>
      <c r="W15" s="22"/>
      <c r="X15" s="22"/>
      <c r="Y15" s="22"/>
      <c r="Z15" s="22"/>
      <c r="AA15" s="22"/>
    </row>
    <row r="16" spans="1:28" s="3" customFormat="1" ht="13">
      <c r="E16" s="11"/>
      <c r="F16" s="445"/>
      <c r="G16" s="445"/>
      <c r="H16" s="447"/>
      <c r="I16" s="248"/>
      <c r="K16" s="21"/>
      <c r="M16" s="31"/>
      <c r="N16" s="255"/>
      <c r="O16" s="28"/>
      <c r="P16" s="23"/>
      <c r="Q16" s="23"/>
      <c r="R16" s="24"/>
      <c r="S16" s="24"/>
      <c r="T16" s="23"/>
      <c r="V16" s="22"/>
      <c r="W16" s="22"/>
      <c r="X16" s="22"/>
      <c r="Y16" s="22"/>
      <c r="Z16" s="22"/>
      <c r="AA16" s="22"/>
    </row>
    <row r="17" spans="3:27" s="3" customFormat="1" ht="13">
      <c r="C17" s="7"/>
      <c r="D17" s="7"/>
      <c r="E17" s="11"/>
      <c r="F17" s="445"/>
      <c r="G17" s="445"/>
      <c r="H17" s="447"/>
      <c r="I17" s="446"/>
      <c r="K17" s="21"/>
      <c r="M17" s="29"/>
      <c r="N17" s="255"/>
      <c r="O17" s="28"/>
      <c r="P17" s="23"/>
      <c r="Q17" s="23"/>
      <c r="R17" s="24"/>
      <c r="S17" s="24"/>
      <c r="T17" s="23"/>
      <c r="V17" s="25"/>
      <c r="W17" s="25"/>
      <c r="X17" s="25"/>
      <c r="Y17" s="25"/>
      <c r="Z17" s="25"/>
      <c r="AA17" s="25"/>
    </row>
    <row r="18" spans="3:27" s="3" customFormat="1" ht="13">
      <c r="C18" s="7"/>
      <c r="D18" s="7"/>
      <c r="E18" s="11"/>
      <c r="F18" s="445"/>
      <c r="G18" s="445"/>
      <c r="H18" s="447"/>
      <c r="I18" s="446"/>
      <c r="K18" s="21"/>
      <c r="M18" s="29"/>
      <c r="N18" s="255"/>
      <c r="O18" s="28"/>
      <c r="P18" s="23"/>
      <c r="Q18" s="23"/>
      <c r="R18" s="24"/>
      <c r="S18" s="24"/>
      <c r="T18" s="23"/>
      <c r="V18" s="22"/>
      <c r="W18" s="22"/>
      <c r="X18" s="22"/>
      <c r="Y18" s="22"/>
      <c r="Z18" s="22"/>
      <c r="AA18" s="22"/>
    </row>
    <row r="19" spans="3:27" s="3" customFormat="1" ht="13">
      <c r="C19" s="7"/>
      <c r="D19" s="7"/>
      <c r="E19" s="11"/>
      <c r="F19" s="445"/>
      <c r="G19" s="445"/>
      <c r="H19" s="447"/>
      <c r="I19" s="446"/>
      <c r="K19" s="22"/>
      <c r="M19" s="29"/>
      <c r="N19" s="255"/>
      <c r="O19" s="28"/>
      <c r="P19" s="23"/>
      <c r="Q19" s="23"/>
      <c r="R19" s="24"/>
      <c r="S19" s="24"/>
      <c r="T19" s="23"/>
      <c r="V19" s="22"/>
      <c r="W19" s="22"/>
      <c r="X19" s="22"/>
      <c r="Y19" s="22"/>
      <c r="Z19" s="22"/>
      <c r="AA19" s="22"/>
    </row>
    <row r="20" spans="3:27" s="3" customFormat="1" ht="13">
      <c r="E20" s="11"/>
      <c r="F20" s="445"/>
      <c r="G20" s="445"/>
      <c r="H20" s="447"/>
      <c r="I20" s="446"/>
      <c r="K20" s="22"/>
      <c r="M20" s="29"/>
      <c r="N20" s="255"/>
      <c r="O20" s="28"/>
      <c r="P20" s="23"/>
      <c r="Q20" s="23"/>
      <c r="R20" s="24"/>
      <c r="S20" s="24"/>
      <c r="T20" s="23"/>
      <c r="V20" s="22"/>
      <c r="W20" s="22"/>
      <c r="X20" s="22"/>
      <c r="Y20" s="22"/>
      <c r="Z20" s="22"/>
      <c r="AA20" s="22"/>
    </row>
    <row r="21" spans="3:27" s="3" customFormat="1" ht="13">
      <c r="E21" s="11"/>
      <c r="F21" s="445"/>
      <c r="G21" s="445"/>
      <c r="H21" s="445"/>
      <c r="I21" s="446"/>
      <c r="K21" s="22"/>
      <c r="M21" s="30"/>
      <c r="N21" s="255"/>
      <c r="O21" s="28"/>
      <c r="P21" s="23"/>
      <c r="Q21" s="23"/>
      <c r="R21" s="24"/>
      <c r="S21" s="24"/>
      <c r="T21" s="23"/>
      <c r="V21" s="22"/>
      <c r="W21" s="22"/>
      <c r="X21" s="22"/>
      <c r="Y21" s="22"/>
      <c r="Z21" s="22"/>
      <c r="AA21" s="22"/>
    </row>
    <row r="22" spans="3:27" s="3" customFormat="1" ht="13">
      <c r="E22" s="11"/>
      <c r="I22" s="248"/>
      <c r="K22" s="22"/>
      <c r="M22" s="30"/>
      <c r="N22" s="255"/>
      <c r="O22" s="28"/>
      <c r="P22" s="23"/>
      <c r="Q22" s="23"/>
      <c r="R22" s="24"/>
      <c r="S22" s="24"/>
      <c r="T22" s="23"/>
      <c r="V22" s="22"/>
      <c r="W22" s="22"/>
      <c r="X22" s="22"/>
      <c r="Y22" s="22"/>
      <c r="Z22" s="22"/>
      <c r="AA22" s="22"/>
    </row>
    <row r="23" spans="3:27" s="3" customFormat="1" ht="13">
      <c r="C23" s="7"/>
      <c r="D23" s="7"/>
      <c r="E23" s="11"/>
      <c r="I23" s="248"/>
      <c r="K23" s="22"/>
      <c r="M23" s="31"/>
      <c r="N23" s="255"/>
      <c r="O23" s="28"/>
      <c r="P23" s="23"/>
      <c r="Q23" s="23"/>
      <c r="R23" s="24"/>
      <c r="S23" s="24"/>
      <c r="T23" s="23"/>
      <c r="V23" s="22"/>
      <c r="W23" s="22"/>
      <c r="X23" s="22"/>
      <c r="Y23" s="22"/>
      <c r="Z23" s="22"/>
      <c r="AA23" s="22"/>
    </row>
    <row r="24" spans="3:27" s="3" customFormat="1" ht="13">
      <c r="C24" s="26"/>
      <c r="D24" s="26"/>
      <c r="E24" s="11"/>
      <c r="I24" s="248"/>
      <c r="K24" s="22"/>
      <c r="M24" s="29"/>
      <c r="N24" s="255"/>
      <c r="O24" s="28"/>
      <c r="P24" s="23"/>
      <c r="Q24" s="23"/>
      <c r="R24" s="24"/>
      <c r="S24" s="24"/>
      <c r="T24" s="23"/>
      <c r="V24" s="22"/>
      <c r="W24" s="22"/>
      <c r="X24" s="22"/>
      <c r="Y24" s="22"/>
      <c r="Z24" s="22"/>
      <c r="AA24" s="22"/>
    </row>
    <row r="25" spans="3:27" s="3" customFormat="1" ht="13">
      <c r="E25" s="11"/>
      <c r="I25" s="248"/>
      <c r="K25" s="22"/>
      <c r="M25" s="29"/>
      <c r="N25" s="255"/>
      <c r="O25" s="28"/>
      <c r="P25" s="23"/>
      <c r="Q25" s="23"/>
      <c r="R25" s="24"/>
      <c r="S25" s="24"/>
      <c r="T25" s="23"/>
      <c r="V25" s="22"/>
      <c r="W25" s="22"/>
      <c r="X25" s="22"/>
      <c r="Y25" s="22"/>
      <c r="Z25" s="22"/>
      <c r="AA25" s="22"/>
    </row>
    <row r="26" spans="3:27" s="3" customFormat="1" ht="13">
      <c r="E26" s="11"/>
      <c r="I26" s="248"/>
      <c r="K26" s="22"/>
      <c r="M26" s="29"/>
      <c r="N26" s="255"/>
      <c r="O26" s="28"/>
      <c r="P26" s="23"/>
      <c r="Q26" s="23"/>
      <c r="R26" s="24"/>
      <c r="S26" s="24"/>
      <c r="T26" s="23"/>
      <c r="V26" s="22"/>
      <c r="W26" s="22"/>
      <c r="X26" s="22"/>
      <c r="Y26" s="22"/>
      <c r="Z26" s="22"/>
      <c r="AA26" s="22"/>
    </row>
    <row r="27" spans="3:27" s="3" customFormat="1" ht="13">
      <c r="E27" s="11"/>
      <c r="I27" s="248"/>
      <c r="K27" s="22"/>
      <c r="M27" s="28"/>
      <c r="N27" s="255"/>
      <c r="O27" s="28"/>
      <c r="P27" s="23"/>
      <c r="Q27" s="23"/>
      <c r="R27" s="24"/>
      <c r="S27" s="24"/>
      <c r="T27" s="23"/>
      <c r="V27" s="22"/>
      <c r="W27" s="22"/>
      <c r="X27" s="22"/>
      <c r="Y27" s="22"/>
      <c r="Z27" s="22"/>
      <c r="AA27" s="22"/>
    </row>
    <row r="28" spans="3:27" s="3" customFormat="1" ht="13">
      <c r="E28" s="11"/>
      <c r="I28" s="248"/>
      <c r="K28" s="21"/>
      <c r="M28" s="29"/>
      <c r="N28" s="255"/>
      <c r="O28" s="28"/>
      <c r="P28" s="23"/>
      <c r="Q28" s="23"/>
      <c r="R28" s="24"/>
      <c r="S28" s="24"/>
      <c r="T28" s="23"/>
      <c r="V28" s="22"/>
      <c r="W28" s="22"/>
      <c r="X28" s="22"/>
      <c r="Y28" s="22"/>
      <c r="Z28" s="22"/>
      <c r="AA28" s="22"/>
    </row>
    <row r="29" spans="3:27" s="3" customFormat="1" ht="13">
      <c r="E29" s="11"/>
      <c r="I29" s="248"/>
      <c r="K29" s="21"/>
      <c r="M29" s="29"/>
      <c r="N29" s="255"/>
      <c r="O29" s="28"/>
      <c r="P29" s="23"/>
      <c r="Q29" s="23"/>
      <c r="R29" s="24"/>
      <c r="S29" s="24"/>
      <c r="T29" s="23"/>
      <c r="V29" s="22"/>
      <c r="W29" s="22"/>
      <c r="X29" s="22"/>
      <c r="Y29" s="22"/>
      <c r="Z29" s="22"/>
      <c r="AA29" s="22"/>
    </row>
    <row r="30" spans="3:27" s="3" customFormat="1" ht="13">
      <c r="C30" s="7"/>
      <c r="D30" s="7"/>
      <c r="E30" s="11"/>
      <c r="I30" s="248"/>
      <c r="K30" s="21"/>
      <c r="M30" s="29"/>
      <c r="N30" s="255"/>
      <c r="O30" s="28"/>
      <c r="P30" s="23"/>
      <c r="Q30" s="23"/>
      <c r="R30" s="24"/>
      <c r="S30" s="24"/>
      <c r="T30" s="23"/>
      <c r="V30" s="25"/>
      <c r="W30" s="25"/>
      <c r="X30" s="25"/>
      <c r="Y30" s="25"/>
      <c r="Z30" s="25"/>
      <c r="AA30" s="25"/>
    </row>
    <row r="31" spans="3:27" s="3" customFormat="1" ht="13">
      <c r="C31" s="7"/>
      <c r="D31" s="7"/>
      <c r="E31" s="11"/>
      <c r="I31" s="248"/>
      <c r="K31" s="21"/>
      <c r="M31" s="30"/>
      <c r="N31" s="255"/>
      <c r="O31" s="28"/>
      <c r="P31" s="23"/>
      <c r="Q31" s="23"/>
      <c r="R31" s="23"/>
      <c r="S31" s="23"/>
      <c r="T31" s="23"/>
      <c r="U31" s="23"/>
      <c r="V31" s="22"/>
      <c r="W31" s="22"/>
      <c r="X31" s="22"/>
      <c r="Y31" s="22"/>
      <c r="Z31" s="22"/>
      <c r="AA31" s="22"/>
    </row>
    <row r="32" spans="3:27" s="3" customFormat="1" ht="13">
      <c r="C32" s="7"/>
      <c r="D32" s="7"/>
      <c r="E32" s="11"/>
      <c r="I32" s="248"/>
      <c r="K32" s="21"/>
      <c r="M32" s="30"/>
      <c r="N32" s="255"/>
      <c r="O32" s="28"/>
      <c r="P32" s="23"/>
      <c r="Q32" s="23"/>
      <c r="R32" s="24"/>
      <c r="S32" s="24"/>
      <c r="T32" s="23"/>
      <c r="V32" s="22"/>
      <c r="W32" s="22"/>
      <c r="X32" s="22"/>
      <c r="Y32" s="22"/>
      <c r="Z32" s="22"/>
      <c r="AA32" s="22"/>
    </row>
    <row r="33" spans="3:27" s="3" customFormat="1" ht="13">
      <c r="C33" s="7"/>
      <c r="D33" s="7"/>
      <c r="E33" s="11"/>
      <c r="I33" s="248"/>
      <c r="K33" s="21"/>
      <c r="M33" s="29"/>
      <c r="N33" s="255"/>
      <c r="O33" s="28"/>
      <c r="P33" s="23"/>
      <c r="Q33" s="23"/>
      <c r="R33" s="24"/>
      <c r="S33" s="24"/>
      <c r="T33" s="23"/>
      <c r="V33" s="22"/>
      <c r="W33" s="22"/>
      <c r="X33" s="22"/>
      <c r="Y33" s="22"/>
      <c r="Z33" s="22"/>
      <c r="AA33" s="22"/>
    </row>
    <row r="34" spans="3:27" s="3" customFormat="1" ht="13">
      <c r="E34" s="11"/>
      <c r="I34" s="248"/>
      <c r="K34" s="21"/>
      <c r="M34" s="29"/>
      <c r="N34" s="255"/>
      <c r="O34" s="28"/>
      <c r="P34" s="23"/>
      <c r="Q34" s="23"/>
      <c r="R34" s="24"/>
      <c r="S34" s="24"/>
      <c r="T34" s="23"/>
      <c r="V34" s="22"/>
      <c r="W34" s="22"/>
      <c r="X34" s="22"/>
      <c r="Y34" s="22"/>
      <c r="Z34" s="22"/>
      <c r="AA34" s="22"/>
    </row>
    <row r="35" spans="3:27" s="3" customFormat="1" ht="13">
      <c r="E35" s="11"/>
      <c r="I35" s="248"/>
      <c r="K35" s="21"/>
      <c r="M35" s="29"/>
      <c r="N35" s="255"/>
      <c r="O35" s="28"/>
      <c r="P35" s="23"/>
      <c r="Q35" s="23"/>
      <c r="R35" s="24"/>
      <c r="S35" s="24"/>
      <c r="T35" s="23"/>
      <c r="V35" s="22"/>
      <c r="W35" s="22"/>
      <c r="X35" s="22"/>
      <c r="Y35" s="22"/>
      <c r="Z35" s="22"/>
      <c r="AA35" s="22"/>
    </row>
    <row r="36" spans="3:27" s="3" customFormat="1" ht="13">
      <c r="C36" s="7"/>
      <c r="D36" s="7"/>
      <c r="E36" s="11"/>
      <c r="I36" s="248"/>
      <c r="K36" s="21"/>
      <c r="M36" s="28"/>
      <c r="N36" s="255"/>
      <c r="O36" s="28"/>
      <c r="P36" s="23"/>
      <c r="Q36" s="23"/>
      <c r="R36" s="24"/>
      <c r="S36" s="24"/>
      <c r="T36" s="23"/>
      <c r="V36" s="25"/>
      <c r="W36" s="25"/>
      <c r="X36" s="25"/>
      <c r="Y36" s="25"/>
      <c r="Z36" s="25"/>
      <c r="AA36" s="25"/>
    </row>
    <row r="37" spans="3:27" s="3" customFormat="1" ht="13">
      <c r="C37" s="7"/>
      <c r="D37" s="7"/>
      <c r="E37" s="11"/>
      <c r="I37" s="248"/>
      <c r="K37" s="21"/>
      <c r="M37" s="28"/>
      <c r="N37" s="255"/>
      <c r="O37" s="28"/>
      <c r="P37" s="23"/>
      <c r="Q37" s="23"/>
      <c r="R37" s="24"/>
      <c r="S37" s="24"/>
      <c r="T37" s="23"/>
      <c r="V37" s="22"/>
      <c r="W37" s="22"/>
      <c r="X37" s="22"/>
      <c r="Y37" s="22"/>
      <c r="Z37" s="22"/>
      <c r="AA37" s="22"/>
    </row>
    <row r="38" spans="3:27" s="3" customFormat="1" ht="13">
      <c r="C38" s="7"/>
      <c r="D38" s="7"/>
      <c r="I38" s="238"/>
      <c r="M38" s="31"/>
      <c r="N38" s="255"/>
      <c r="O38" s="28"/>
      <c r="P38" s="23"/>
      <c r="Q38" s="23"/>
      <c r="R38" s="24"/>
      <c r="S38" s="24"/>
      <c r="T38" s="23"/>
      <c r="V38" s="22"/>
      <c r="W38" s="22"/>
      <c r="X38" s="22"/>
      <c r="Y38" s="22"/>
      <c r="Z38" s="22"/>
      <c r="AA38" s="22"/>
    </row>
    <row r="39" spans="3:27" s="3" customFormat="1" ht="13">
      <c r="C39" s="7"/>
      <c r="D39" s="7"/>
      <c r="I39" s="238"/>
      <c r="M39" s="29"/>
      <c r="N39" s="255"/>
      <c r="O39" s="28"/>
    </row>
    <row r="40" spans="3:27" s="3" customFormat="1" ht="13">
      <c r="I40" s="238"/>
      <c r="M40" s="29"/>
      <c r="N40" s="255"/>
      <c r="O40" s="28"/>
    </row>
    <row r="41" spans="3:27" s="3" customFormat="1" ht="13">
      <c r="I41" s="238"/>
      <c r="M41" s="29"/>
      <c r="N41" s="255"/>
      <c r="O41" s="28"/>
    </row>
    <row r="42" spans="3:27" s="3" customFormat="1" ht="13">
      <c r="C42" s="7"/>
      <c r="D42" s="7"/>
      <c r="I42" s="238"/>
      <c r="M42" s="28"/>
      <c r="N42" s="255"/>
      <c r="O42" s="28"/>
    </row>
    <row r="43" spans="3:27" s="3" customFormat="1">
      <c r="I43" s="238"/>
      <c r="M43" s="28"/>
      <c r="N43" s="255"/>
      <c r="O43" s="28"/>
    </row>
    <row r="44" spans="3:27" s="3" customFormat="1">
      <c r="I44" s="238"/>
      <c r="M44" s="28"/>
      <c r="N44" s="255"/>
      <c r="O44" s="28"/>
    </row>
    <row r="45" spans="3:27" s="3" customFormat="1" ht="13">
      <c r="I45" s="238"/>
      <c r="M45" s="30"/>
      <c r="N45" s="255"/>
      <c r="O45" s="28"/>
    </row>
    <row r="46" spans="3:27" s="3" customFormat="1" ht="13">
      <c r="C46" s="7"/>
      <c r="D46" s="7"/>
      <c r="I46" s="238"/>
      <c r="M46" s="30"/>
      <c r="N46" s="255"/>
      <c r="O46" s="28"/>
    </row>
    <row r="47" spans="3:27" s="3" customFormat="1" ht="13">
      <c r="I47" s="238"/>
      <c r="M47" s="31"/>
      <c r="N47" s="255"/>
      <c r="O47" s="28"/>
    </row>
    <row r="48" spans="3:27" s="3" customFormat="1" ht="13">
      <c r="I48" s="238"/>
      <c r="M48" s="31"/>
      <c r="N48" s="255"/>
      <c r="O48" s="28"/>
    </row>
    <row r="49" spans="9:15" s="3" customFormat="1" ht="13">
      <c r="I49" s="238"/>
      <c r="M49" s="30"/>
      <c r="N49" s="255"/>
      <c r="O49" s="28"/>
    </row>
    <row r="50" spans="9:15" s="3" customFormat="1" ht="13">
      <c r="I50" s="238"/>
      <c r="M50" s="30"/>
      <c r="N50" s="255"/>
      <c r="O50" s="28"/>
    </row>
    <row r="51" spans="9:15" s="3" customFormat="1" ht="13">
      <c r="I51" s="238"/>
      <c r="M51" s="31"/>
      <c r="N51" s="255"/>
      <c r="O51" s="17"/>
    </row>
    <row r="52" spans="9:15" s="3" customFormat="1" ht="13">
      <c r="I52" s="238"/>
      <c r="M52" s="31"/>
      <c r="N52" s="255"/>
      <c r="O52" s="28"/>
    </row>
    <row r="53" spans="9:15" s="3" customFormat="1" ht="13">
      <c r="I53" s="238"/>
      <c r="M53" s="30"/>
      <c r="N53" s="255"/>
      <c r="O53" s="28"/>
    </row>
    <row r="54" spans="9:15" s="3" customFormat="1" ht="13">
      <c r="I54" s="238"/>
      <c r="M54" s="30"/>
      <c r="N54" s="255"/>
      <c r="O54" s="28"/>
    </row>
    <row r="55" spans="9:15" s="3" customFormat="1" ht="13">
      <c r="I55" s="238"/>
      <c r="M55" s="31"/>
      <c r="N55" s="255"/>
      <c r="O55" s="17"/>
    </row>
    <row r="56" spans="9:15" s="3" customFormat="1" ht="13">
      <c r="I56" s="238"/>
      <c r="M56" s="31"/>
      <c r="N56" s="256"/>
      <c r="O56" s="28"/>
    </row>
    <row r="57" spans="9:15" s="3" customFormat="1" ht="13">
      <c r="I57" s="238"/>
      <c r="M57" s="31"/>
      <c r="N57" s="256"/>
      <c r="O57" s="28"/>
    </row>
    <row r="58" spans="9:15" s="3" customFormat="1" ht="13">
      <c r="I58" s="238"/>
      <c r="M58" s="31"/>
      <c r="N58" s="256"/>
      <c r="O58" s="28"/>
    </row>
    <row r="59" spans="9:15" s="3" customFormat="1" ht="13">
      <c r="I59" s="238"/>
      <c r="M59" s="31"/>
      <c r="N59" s="256"/>
      <c r="O59" s="28"/>
    </row>
    <row r="60" spans="9:15" s="3" customFormat="1" ht="13">
      <c r="I60" s="238"/>
      <c r="M60" s="31"/>
      <c r="N60" s="256"/>
      <c r="O60" s="28"/>
    </row>
    <row r="61" spans="9:15" s="3" customFormat="1" ht="13">
      <c r="I61" s="238"/>
      <c r="M61" s="31"/>
      <c r="N61" s="256"/>
      <c r="O61" s="28"/>
    </row>
    <row r="62" spans="9:15" s="3" customFormat="1" ht="13">
      <c r="I62" s="238"/>
      <c r="M62" s="31"/>
      <c r="N62" s="256"/>
      <c r="O62" s="28"/>
    </row>
    <row r="63" spans="9:15" s="3" customFormat="1" ht="13">
      <c r="I63" s="238"/>
      <c r="M63" s="31"/>
      <c r="N63" s="256"/>
      <c r="O63" s="28"/>
    </row>
    <row r="64" spans="9:15" s="3" customFormat="1" ht="13">
      <c r="I64" s="238"/>
      <c r="M64" s="29"/>
      <c r="N64" s="256"/>
      <c r="O64" s="28"/>
    </row>
    <row r="65" spans="3:15" s="3" customFormat="1" ht="13">
      <c r="I65" s="238"/>
      <c r="M65" s="29"/>
      <c r="N65" s="256"/>
      <c r="O65" s="28"/>
    </row>
    <row r="66" spans="3:15" s="3" customFormat="1" ht="13">
      <c r="C66" s="7"/>
      <c r="D66" s="7"/>
      <c r="I66" s="238"/>
      <c r="M66" s="29"/>
      <c r="N66" s="256"/>
      <c r="O66" s="28"/>
    </row>
    <row r="67" spans="3:15" s="3" customFormat="1">
      <c r="I67" s="238"/>
      <c r="M67" s="28"/>
      <c r="N67" s="256"/>
      <c r="O67" s="28"/>
    </row>
    <row r="68" spans="3:15" s="3" customFormat="1">
      <c r="I68" s="238"/>
      <c r="M68" s="28"/>
      <c r="N68" s="256"/>
      <c r="O68" s="28"/>
    </row>
    <row r="69" spans="3:15">
      <c r="M69" s="28"/>
      <c r="N69" s="256"/>
      <c r="O69" s="28"/>
    </row>
    <row r="70" spans="3:15" ht="13">
      <c r="M70" s="30"/>
      <c r="N70" s="256"/>
      <c r="O70" s="28"/>
    </row>
    <row r="71" spans="3:15" ht="13">
      <c r="M71" s="30"/>
      <c r="N71" s="255"/>
      <c r="O71" s="28"/>
    </row>
    <row r="72" spans="3:15">
      <c r="M72" s="28"/>
      <c r="N72" s="256"/>
      <c r="O72" s="28"/>
    </row>
    <row r="73" spans="3:15">
      <c r="M73" s="28"/>
      <c r="N73" s="256"/>
      <c r="O73" s="28"/>
    </row>
    <row r="74" spans="3:15">
      <c r="M74" s="28"/>
      <c r="N74" s="256"/>
      <c r="O74" s="28"/>
    </row>
  </sheetData>
  <sheetProtection algorithmName="SHA-512" hashValue="ch+CSBWTkNApj2A1IROwVGg3i5UC7PNXsx05lM9axbhO+dxXYbBjeN8CFWe4pWAxo7mXHqFhyAjOU8zsEmX+XQ==" saltValue="Z0vJMG7EN/9K5noCO4BmZw==" spinCount="100000" sheet="1" objects="1" scenarios="1"/>
  <customSheetViews>
    <customSheetView guid="{EB7FE26D-7077-48F2-8515-D783BE87A220}" scale="70" state="hidden">
      <selection activeCell="A6" sqref="A6"/>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P53"/>
  <sheetViews>
    <sheetView workbookViewId="0">
      <selection activeCell="C25" sqref="C25"/>
    </sheetView>
  </sheetViews>
  <sheetFormatPr defaultColWidth="9.1796875" defaultRowHeight="12.5"/>
  <cols>
    <col min="1" max="1" width="39.81640625" style="339" customWidth="1"/>
    <col min="2" max="2" width="11.81640625" style="360" customWidth="1"/>
    <col min="3" max="3" width="12.81640625" style="339" customWidth="1"/>
    <col min="4" max="5" width="29.36328125" style="339" customWidth="1"/>
    <col min="6" max="6" width="15" style="405" customWidth="1"/>
    <col min="7" max="7" width="13.1796875" style="339" customWidth="1"/>
    <col min="8" max="8" width="13.36328125" style="339" customWidth="1"/>
    <col min="9" max="9" width="12.81640625" style="339" customWidth="1"/>
    <col min="10" max="11" width="14.453125" style="339" customWidth="1"/>
    <col min="12" max="12" width="16.1796875" style="339" customWidth="1"/>
    <col min="13" max="13" width="8" style="339" customWidth="1"/>
    <col min="14" max="14" width="9.1796875" style="339"/>
    <col min="15" max="15" width="2.6328125" style="587" hidden="1" customWidth="1"/>
    <col min="16" max="16384" width="9.1796875" style="339"/>
  </cols>
  <sheetData>
    <row r="1" spans="1:16" ht="13">
      <c r="A1" s="390" t="s">
        <v>425</v>
      </c>
      <c r="B1" s="491"/>
    </row>
    <row r="2" spans="1:16" ht="30" customHeight="1">
      <c r="A2" s="840" t="str">
        <f>IF(ISNA(MATCH("n",O7:O48,0)),"",trans_warning)</f>
        <v/>
      </c>
      <c r="B2" s="841"/>
      <c r="C2" s="841"/>
      <c r="D2" s="841"/>
      <c r="E2" s="841"/>
      <c r="F2" s="841"/>
      <c r="G2" s="841"/>
      <c r="H2" s="841"/>
      <c r="I2" s="841"/>
      <c r="J2" s="841"/>
      <c r="K2" s="841"/>
      <c r="L2" s="841"/>
      <c r="M2" s="842"/>
    </row>
    <row r="3" spans="1:16" s="361" customFormat="1" ht="26">
      <c r="A3" s="710" t="s">
        <v>312</v>
      </c>
      <c r="B3" s="712" t="s">
        <v>365</v>
      </c>
      <c r="C3" s="712" t="s">
        <v>496</v>
      </c>
      <c r="D3" s="710"/>
      <c r="E3" s="713"/>
      <c r="F3" s="721" t="s">
        <v>358</v>
      </c>
      <c r="G3" s="837" t="s">
        <v>363</v>
      </c>
      <c r="H3" s="838"/>
      <c r="I3" s="838"/>
      <c r="J3" s="838"/>
      <c r="K3" s="838"/>
      <c r="L3" s="839"/>
      <c r="M3" s="710"/>
      <c r="O3" s="835"/>
    </row>
    <row r="4" spans="1:16" ht="39">
      <c r="A4" s="710"/>
      <c r="B4" s="718" t="str">
        <f>quest</f>
        <v>Y/N/?</v>
      </c>
      <c r="C4" s="712" t="s">
        <v>1119</v>
      </c>
      <c r="D4" s="712" t="s">
        <v>35</v>
      </c>
      <c r="E4" s="716" t="s">
        <v>1055</v>
      </c>
      <c r="F4" s="722" t="s">
        <v>362</v>
      </c>
      <c r="G4" s="717" t="s">
        <v>38</v>
      </c>
      <c r="H4" s="717" t="s">
        <v>39</v>
      </c>
      <c r="I4" s="717" t="s">
        <v>40</v>
      </c>
      <c r="J4" s="712" t="s">
        <v>499</v>
      </c>
      <c r="K4" s="712" t="s">
        <v>42</v>
      </c>
      <c r="L4" s="712" t="s">
        <v>364</v>
      </c>
      <c r="M4" s="710" t="s">
        <v>357</v>
      </c>
      <c r="N4" s="323" t="s">
        <v>56</v>
      </c>
    </row>
    <row r="5" spans="1:16" ht="33" customHeight="1">
      <c r="A5" s="265"/>
      <c r="B5" s="344"/>
      <c r="C5" s="264"/>
      <c r="D5" s="701"/>
      <c r="E5" s="272"/>
      <c r="F5" s="847" t="s">
        <v>505</v>
      </c>
      <c r="G5" s="848" t="str">
        <f>IF('Step5-Waste treatment+recycling'!B4=yes,trans1,IF('Step5-Waste treatment+recycling'!B4=no,trans2,trans3))</f>
        <v>Less than 2/3 (two thirds; 67%) of the general waste is collected and deposited on lined landfills or incinerated with pollution abatement</v>
      </c>
      <c r="H5" s="849"/>
      <c r="I5" s="849"/>
      <c r="J5" s="849"/>
      <c r="K5" s="849"/>
      <c r="L5" s="849"/>
      <c r="M5" s="850"/>
      <c r="N5" s="765"/>
      <c r="O5" s="231"/>
      <c r="P5" s="766"/>
    </row>
    <row r="6" spans="1:16" ht="26.5" thickBot="1">
      <c r="A6" s="265" t="s">
        <v>389</v>
      </c>
      <c r="B6" s="416"/>
      <c r="C6" s="397"/>
      <c r="D6" s="272"/>
      <c r="E6" s="345"/>
      <c r="F6" s="847"/>
      <c r="G6" s="410" t="str">
        <f>IF('Step5-Waste treatment+recycling'!E4=yes,trans4,IF('Step5-Waste treatment+recycling'!E4=no,trans5,trans3))</f>
        <v>Less than 1/3 (one third = 33%) of the mercury-added products waste is safely collected and treated separately</v>
      </c>
      <c r="H6" s="686"/>
      <c r="I6" s="686"/>
      <c r="J6" s="686"/>
      <c r="K6" s="686"/>
      <c r="L6" s="686"/>
      <c r="M6" s="261"/>
      <c r="N6" s="463"/>
    </row>
    <row r="7" spans="1:16" ht="13.5" thickBot="1">
      <c r="A7" s="414" t="s">
        <v>426</v>
      </c>
      <c r="B7" s="774"/>
      <c r="C7" s="415"/>
      <c r="D7" s="273"/>
      <c r="E7" s="665"/>
      <c r="F7" s="460" t="str">
        <f>IF(AND($B7&lt;&gt;no,$B7&lt;&gt;yes,$B7&lt;&gt;que),pres,IF($B7=yes,'5-6 Other int use'!K7,IF($B7=no,0,IF($B7=que,que,pres))))</f>
        <v>Present?</v>
      </c>
      <c r="G7" s="707" t="str">
        <f>IF($F7=pres,pres,IF(OR('Step5-Waste treatment+recycling'!$B$4=yes,'Step5-Waste treatment+recycling'!$B$4=no),IF(OR($B7=yes,$B7=yes,$B7=yes,),'5-6 Other int use'!V6, IF(AND($B7=no,$B7=no,$B7=no),"-", IF(OR($B7=que,$B7=que,$B7=que),que, pres))),_SeF4))</f>
        <v>Present?</v>
      </c>
      <c r="H7" s="707" t="str">
        <f>IF($F7=pres,pres,IF(OR('Step5-Waste treatment+recycling'!$B$4=yes,'Step5-Waste treatment+recycling'!$B$4=no),IF(OR($B7=yes,$B7=yes,$B7=yes,),'5-6 Other int use'!W6, IF(AND($B7=no,$B7=no,$B7=no),"-", IF(OR($B7=que,$B7=que,$B7=que),que, pres))),_SeF4))</f>
        <v>Present?</v>
      </c>
      <c r="I7" s="707" t="str">
        <f>IF($F7=pres,pres,IF(OR('Step5-Waste treatment+recycling'!$B$4=yes,'Step5-Waste treatment+recycling'!$B$4=no),IF(OR($B7=yes,$B7=yes,$B7=yes,),'5-6 Other int use'!X6, IF(AND($B7=no,$B7=no,$B7=no),"-", IF(OR($B7=que,$B7=que,$B7=que),que, pres))),_SeF4))</f>
        <v>Present?</v>
      </c>
      <c r="J7" s="707" t="str">
        <f>IF($F7=pres,pres,IF(OR('Step5-Waste treatment+recycling'!$B$4=yes,'Step5-Waste treatment+recycling'!$B$4=no),IF(OR($B7=yes,$B7=yes,$B7=yes,),'5-6 Other int use'!Y6, IF(AND($B7=no,$B7=no,$B7=no),"-", IF(OR($B7=que,$B7=que,$B7=que),que, pres))),_SeF4))</f>
        <v>Present?</v>
      </c>
      <c r="K7" s="707" t="str">
        <f>IF($F7=pres,pres,IF(OR('Step5-Waste treatment+recycling'!$B$4=yes,'Step5-Waste treatment+recycling'!$B$4=no),IF(OR($B7=yes,$B7=yes,$B7=yes,),'5-6 Other int use'!Z6, IF(AND($B7=no,$B7=no,$B7=no),"-", IF(OR($B7=que,$B7=que,$B7=que),que, pres))),_SeF4))</f>
        <v>Present?</v>
      </c>
      <c r="L7" s="707" t="str">
        <f>IF($F7=pres,pres,IF(OR('Step5-Waste treatment+recycling'!$B$4=yes,'Step5-Waste treatment+recycling'!$B$4=no),IF(OR($B7=yes,$B7=yes,$B7=yes,),'5-6 Other int use'!AA6, IF(AND($B7=no,$B7=no,$B7=no),"-", IF(OR($B7=que,$B7=que,$B7=que),que, pres))),_SeF4))</f>
        <v>Present?</v>
      </c>
      <c r="M7" s="273" t="s">
        <v>211</v>
      </c>
      <c r="N7" s="463"/>
      <c r="O7" s="587" t="str">
        <f>INDEX('Range-thresholds'!$G$6:$G$73,MATCH(A7,'Range-thresholds'!$A$6:$A$73,0))</f>
        <v/>
      </c>
    </row>
    <row r="8" spans="1:16">
      <c r="A8" s="367" t="s">
        <v>399</v>
      </c>
      <c r="B8" s="420"/>
      <c r="C8" s="421">
        <f>'Step1-Country data'!$B$6</f>
        <v>0</v>
      </c>
      <c r="D8" s="273" t="s">
        <v>953</v>
      </c>
      <c r="E8" s="273"/>
      <c r="F8" s="456"/>
      <c r="G8" s="408" t="str">
        <f>IF(OR('Step5-Waste treatment+recycling'!$B$4=yes,'Step5-Waste treatment+recycling'!$B$4=no),IF($B$7=yes,'5-6 Other int use'!V7, IF($B$7=no,0, IF($B$7=que,que, pres))),_SeF4)</f>
        <v>Present?</v>
      </c>
      <c r="H8" s="408" t="str">
        <f>IF(OR('Step5-Waste treatment+recycling'!$B$4=yes,'Step5-Waste treatment+recycling'!$B$4=no),IF($B$7=yes,'5-6 Other int use'!W7, IF($B$7=no,0, IF($B$7=que,que, pres))),_SeF4)</f>
        <v>Present?</v>
      </c>
      <c r="I8" s="408" t="str">
        <f>IF(OR('Step5-Waste treatment+recycling'!$B$4=yes,'Step5-Waste treatment+recycling'!$B$4=no),IF($B$7=yes,'5-6 Other int use'!X7, IF($B$7=no,0, IF($B$7=que,que, pres))),_SeF4)</f>
        <v>Present?</v>
      </c>
      <c r="J8" s="408" t="str">
        <f>IF(OR('Step5-Waste treatment+recycling'!$B$4=yes,'Step5-Waste treatment+recycling'!$B$4=no),IF($B$7=yes,'5-6 Other int use'!Y7, IF($B$7=no,0, IF($B$7=que,que, pres))),_SeF4)</f>
        <v>Present?</v>
      </c>
      <c r="K8" s="408" t="str">
        <f>IF(OR('Step5-Waste treatment+recycling'!$B$4=yes,'Step5-Waste treatment+recycling'!$B$4=no),IF($B$7=yes,'5-6 Other int use'!Z7, IF($B$7=no,0, IF($B$7=que,que, pres))),_SeF4)</f>
        <v>Present?</v>
      </c>
      <c r="L8" s="408" t="str">
        <f>IF(OR('Step5-Waste treatment+recycling'!$B$4=yes,'Step5-Waste treatment+recycling'!$B$4=no),IF($B$7=yes,'5-6 Other int use'!AA7, IF($B$7=no,0, IF($B$7=que,que, pres))),_SeF4)</f>
        <v>Present?</v>
      </c>
      <c r="M8" s="273"/>
      <c r="N8" s="463"/>
    </row>
    <row r="9" spans="1:16">
      <c r="A9" s="367" t="s">
        <v>400</v>
      </c>
      <c r="B9" s="422"/>
      <c r="C9" s="421">
        <f>'Step1-Country data'!$B$6</f>
        <v>0</v>
      </c>
      <c r="D9" s="273" t="s">
        <v>953</v>
      </c>
      <c r="E9" s="273"/>
      <c r="F9" s="457"/>
      <c r="G9" s="408" t="str">
        <f>IF(OR('Step5-Waste treatment+recycling'!$B$4=yes,'Step5-Waste treatment+recycling'!$B$4=no),IF($B7=yes,'5-6 Other int use'!V8, IF($B7=no,0, IF($B7=que,que, pres))),_SeF4)</f>
        <v>Present?</v>
      </c>
      <c r="H9" s="408" t="str">
        <f>IF(OR('Step5-Waste treatment+recycling'!$B$4=yes,'Step5-Waste treatment+recycling'!$B$4=no),IF($B7=yes,'5-6 Other int use'!W8, IF($B7=no,0, IF($B7=que,que, pres))),_SeF4)</f>
        <v>Present?</v>
      </c>
      <c r="I9" s="408" t="str">
        <f>IF(OR('Step5-Waste treatment+recycling'!$B$4=yes,'Step5-Waste treatment+recycling'!$B$4=no),IF($B7=yes,'5-6 Other int use'!X8, IF($B7=no,0, IF($B7=que,que, pres))),_SeF4)</f>
        <v>Present?</v>
      </c>
      <c r="J9" s="408" t="str">
        <f>IF(OR('Step5-Waste treatment+recycling'!$B$4=yes,'Step5-Waste treatment+recycling'!$B$4=no),IF($B7=yes,'5-6 Other int use'!Y8, IF($B7=no,0, IF($B7=que,que, pres))),_SeF4)</f>
        <v>Present?</v>
      </c>
      <c r="K9" s="408" t="str">
        <f>IF(OR('Step5-Waste treatment+recycling'!$B$4=yes,'Step5-Waste treatment+recycling'!$B$4=no),IF($B7=yes,'5-6 Other int use'!Z8, IF($B7=no,0, IF($B7=que,que, pres))),_SeF4)</f>
        <v>Present?</v>
      </c>
      <c r="L9" s="408" t="str">
        <f>IF(OR('Step5-Waste treatment+recycling'!$B$4=yes,'Step5-Waste treatment+recycling'!$B$4=no),IF($B7=yes,'5-6 Other int use'!AA8, IF($B7=no,0, IF($B7=que,que, pres))),_SeF4)</f>
        <v>Present?</v>
      </c>
      <c r="M9" s="273"/>
      <c r="N9" s="463"/>
    </row>
    <row r="10" spans="1:16">
      <c r="A10" s="662" t="s">
        <v>1114</v>
      </c>
      <c r="B10" s="422"/>
      <c r="C10" s="421">
        <f>'Step1-Country data'!$B$6</f>
        <v>0</v>
      </c>
      <c r="D10" s="273" t="s">
        <v>953</v>
      </c>
      <c r="E10" s="273"/>
      <c r="F10" s="456"/>
      <c r="G10" s="408" t="str">
        <f>IF(OR('Step5-Waste treatment+recycling'!$B$4=yes,'Step5-Waste treatment+recycling'!$B$4=no),IF($B7=yes,SUM('5-6 Other int use'!V10,'5-6 Other int use'!V11), IF($B7=no,0, IF($B7=que,que, pres))),_SeF4)</f>
        <v>Present?</v>
      </c>
      <c r="H10" s="408" t="str">
        <f>IF(OR('Step5-Waste treatment+recycling'!$B$4=yes,'Step5-Waste treatment+recycling'!$B$4=no),IF($B7=yes,SUM('5-6 Other int use'!W10,'5-6 Other int use'!W11), IF($B7=no,0, IF($B7=que,que, pres))),_SeF4)</f>
        <v>Present?</v>
      </c>
      <c r="I10" s="408" t="str">
        <f>IF(OR('Step5-Waste treatment+recycling'!$B$4=yes,'Step5-Waste treatment+recycling'!$B$4=no),IF($B7=yes,SUM('5-6 Other int use'!X10,'5-6 Other int use'!X11), IF($B7=no,0, IF($B7=que,que, pres))),_SeF4)</f>
        <v>Present?</v>
      </c>
      <c r="J10" s="408" t="str">
        <f>IF(OR('Step5-Waste treatment+recycling'!$B$4=yes,'Step5-Waste treatment+recycling'!$B$4=no),IF($B7=yes,SUM('5-6 Other int use'!Y10,'5-6 Other int use'!Y11), IF($B7=no,0, IF($B7=que,que, pres))),_SeF4)</f>
        <v>Present?</v>
      </c>
      <c r="K10" s="408" t="str">
        <f>IF(OR('Step5-Waste treatment+recycling'!$B$4=yes,'Step5-Waste treatment+recycling'!$B$4=no),IF($B7=yes,SUM('5-6 Other int use'!Z10,'5-6 Other int use'!Z11), IF($B7=no,0, IF($B7=que,que, pres))),_SeF4)</f>
        <v>Present?</v>
      </c>
      <c r="L10" s="408" t="str">
        <f>IF(OR('Step5-Waste treatment+recycling'!$B$4=yes,'Step5-Waste treatment+recycling'!$B$4=no),IF($B7=yes,SUM('5-6 Other int use'!AA10,'5-6 Other int use'!AA11), IF($B7=no,0, IF($B7=que,que, pres))),_SeF4)</f>
        <v>Present?</v>
      </c>
      <c r="M10" s="273"/>
      <c r="N10" s="463"/>
    </row>
    <row r="11" spans="1:16">
      <c r="A11" s="367"/>
      <c r="B11" s="422"/>
      <c r="C11" s="496">
        <f>'Step1-Country data'!C23</f>
        <v>0.82919079065322876</v>
      </c>
      <c r="D11" s="345" t="s">
        <v>954</v>
      </c>
      <c r="E11" s="345"/>
      <c r="F11" s="458"/>
      <c r="G11" s="495"/>
      <c r="H11" s="495"/>
      <c r="I11" s="408"/>
      <c r="J11" s="408"/>
      <c r="K11" s="408"/>
      <c r="L11" s="408"/>
      <c r="M11" s="273"/>
      <c r="N11" s="463"/>
    </row>
    <row r="12" spans="1:16" ht="62.5">
      <c r="A12" s="367"/>
      <c r="B12" s="422"/>
      <c r="C12" s="496"/>
      <c r="D12" s="345"/>
      <c r="E12" s="672" t="s">
        <v>1039</v>
      </c>
      <c r="F12" s="652"/>
      <c r="G12" s="652" t="s">
        <v>1116</v>
      </c>
      <c r="H12" s="652" t="s">
        <v>1115</v>
      </c>
      <c r="I12" s="280"/>
      <c r="J12" s="280"/>
      <c r="K12" s="280"/>
      <c r="L12" s="280"/>
      <c r="M12" s="273"/>
      <c r="N12" s="463"/>
    </row>
    <row r="13" spans="1:16" ht="25">
      <c r="A13" s="367"/>
      <c r="B13" s="422"/>
      <c r="C13" s="496"/>
      <c r="D13" s="653" t="s">
        <v>1037</v>
      </c>
      <c r="E13" s="652" t="s">
        <v>1038</v>
      </c>
      <c r="F13" s="652"/>
      <c r="G13" s="654">
        <f>100-H13-I13-J13-K13-L13</f>
        <v>100</v>
      </c>
      <c r="H13" s="659"/>
      <c r="I13" s="280"/>
      <c r="J13" s="280"/>
      <c r="K13" s="280"/>
      <c r="L13" s="280"/>
      <c r="M13" s="697" t="s">
        <v>1133</v>
      </c>
      <c r="N13" s="464"/>
    </row>
    <row r="14" spans="1:16">
      <c r="A14" s="367"/>
      <c r="B14" s="273"/>
      <c r="C14" s="355"/>
      <c r="D14" s="355"/>
      <c r="E14" s="355"/>
      <c r="F14" s="458"/>
      <c r="G14" s="355"/>
      <c r="H14" s="355"/>
      <c r="I14" s="497"/>
      <c r="J14" s="262"/>
      <c r="K14" s="413"/>
      <c r="L14" s="262"/>
      <c r="M14" s="273"/>
      <c r="N14" s="463"/>
    </row>
    <row r="15" spans="1:16" s="323" customFormat="1" ht="13.5" thickBot="1">
      <c r="A15" s="406" t="s">
        <v>440</v>
      </c>
      <c r="B15" s="411" t="str">
        <f>IF(OR(AND(B16&lt;&gt;no,B16&lt;&gt;yes,B16&lt;&gt;que),AND(B17&lt;&gt;no,B17&lt;&gt;yes,B17&lt;&gt;que),AND(B18&lt;&gt;no,B18&lt;&gt;yes,B18&lt;&gt;que)),pres,IF(OR($B16=yes,$B17=yes,$B18=yes),yes,IF(AND($B16=no,$B17=no,$B18=no),no,IF(OR($B16=que,$B17=que,$B18=que),que,pres))))</f>
        <v>Present?</v>
      </c>
      <c r="C15" s="412">
        <f>SUM(C16:C18)</f>
        <v>0</v>
      </c>
      <c r="D15" s="273"/>
      <c r="E15" s="273"/>
      <c r="F15" s="460" t="str">
        <f>IF(OR(AND(B16&lt;&gt;no,B16&lt;&gt;yes,B16&lt;&gt;que),AND(B17&lt;&gt;no,B17&lt;&gt;yes,B17&lt;&gt;que),AND(B18&lt;&gt;no,B18&lt;&gt;yes,B18&lt;&gt;que)),pres,IF(OR($B16=yes,$B17=yes,$B18=yes),'5-5 Cons prod'!K12,IF(AND($B16=no,$B17=no,$B18=no),0,IF(OR($B16=que,$B17=que,$B18=que),que,pres))))</f>
        <v>Present?</v>
      </c>
      <c r="G15" s="407" t="str">
        <f>IF($F15=pres,pres,IF(OR('Step5-Waste treatment+recycling'!$B$4=yes,'Step5-Waste treatment+recycling'!$B$4=no),IF(OR($B16=yes,$B17=yes,$B18=yes,),SUM('5-5 Cons prod'!V13:V15), IF(AND($B16=no,$B17=no,$B18=no),"-", IF(OR($B16=que,$B17=que,$B18=que),que, pres))),_SeF4))</f>
        <v>Present?</v>
      </c>
      <c r="H15" s="407" t="str">
        <f>IF($F15=pres,pres,IF(OR('Step5-Waste treatment+recycling'!$B$4=yes,'Step5-Waste treatment+recycling'!$B$4=no),IF(OR($B16=yes,$B17=yes,$B18=yes,),SUM('5-5 Cons prod'!W13:W15), IF(AND($B16=no,$B17=no,$B18=no),"-", IF(OR($B16=que,$B17=que,$B18=que),que, pres))),_SeF4))</f>
        <v>Present?</v>
      </c>
      <c r="I15" s="407" t="str">
        <f>IF($F15=pres,pres,IF(OR('Step5-Waste treatment+recycling'!$B$4=yes,'Step5-Waste treatment+recycling'!$B$4=no),IF(OR($B16=yes,$B17=yes,$B18=yes,),SUM('5-5 Cons prod'!X13:X15), IF(AND($B16=no,$B17=no,$B18=no),"-", IF(OR($B16=que,$B17=que,$B18=que),que, pres))),_SeF4))</f>
        <v>Present?</v>
      </c>
      <c r="J15" s="407" t="str">
        <f>IF($F15=pres,pres,IF(OR('Step5-Waste treatment+recycling'!$B$4=yes,'Step5-Waste treatment+recycling'!$B$4=no),IF(OR($B16=yes,$B17=yes,$B18=yes,),SUM('5-5 Cons prod'!Y13:Y15), IF(AND($B16=no,$B17=no,$B18=no),"-", IF(OR($B16=que,$B17=que,$B18=que),que, pres))),_SeF4))</f>
        <v>Present?</v>
      </c>
      <c r="K15" s="407" t="str">
        <f>IF($F15=pres,pres,IF(OR('Step5-Waste treatment+recycling'!$B$4=yes,'Step5-Waste treatment+recycling'!$B$4=no),IF(OR($B16=yes,$B17=yes,$B18=yes,),SUM('5-5 Cons prod'!Z13:Z15), IF(AND($B16=no,$B17=no,$B18=no),"-", IF(OR($B16=que,$B17=que,$B18=que),que, pres))),_SeF4))</f>
        <v>Present?</v>
      </c>
      <c r="L15" s="407" t="str">
        <f>IF($F15=pres,pres,IF(OR('Step5-Waste treatment+recycling'!$B$4=yes,'Step5-Waste treatment+recycling'!$B$4=no),IF(OR($B16=yes,$B17=yes,$B18=yes,),SUM('5-5 Cons prod'!AA13:AA15), IF(AND($B16=no,$B17=no,$B18=no),"-", IF(OR($B16=que,$B17=que,$B18=que),que, pres))),_SeF4))</f>
        <v>Present?</v>
      </c>
      <c r="M15" s="273" t="s">
        <v>89</v>
      </c>
      <c r="N15" s="463"/>
      <c r="O15" s="587" t="str">
        <f>INDEX('Range-thresholds'!$G$6:$G$73,MATCH(A15,'Range-thresholds'!$A$6:$A$73,0))</f>
        <v/>
      </c>
    </row>
    <row r="16" spans="1:16">
      <c r="A16" s="275" t="s">
        <v>390</v>
      </c>
      <c r="B16" s="666"/>
      <c r="C16" s="377"/>
      <c r="D16" s="345" t="s">
        <v>955</v>
      </c>
      <c r="E16" s="394"/>
      <c r="F16" s="457" t="str">
        <f>IF(OR($B16=yes,$B16=yes),'5-5 Cons prod'!K13, IF(OR($B16=no,$B16=no),"-", IF($B16=que,que, pres)))</f>
        <v>Present?</v>
      </c>
      <c r="G16" s="280"/>
      <c r="H16" s="280"/>
      <c r="I16" s="280"/>
      <c r="J16" s="280"/>
      <c r="K16" s="280"/>
      <c r="L16" s="280"/>
      <c r="M16" s="273"/>
      <c r="N16" s="463"/>
    </row>
    <row r="17" spans="1:15" ht="25">
      <c r="A17" s="275" t="s">
        <v>391</v>
      </c>
      <c r="B17" s="612"/>
      <c r="C17" s="378"/>
      <c r="D17" s="345" t="s">
        <v>955</v>
      </c>
      <c r="E17" s="345"/>
      <c r="F17" s="456" t="str">
        <f>IF(OR($B17=yes,$B17=yes),'5-5 Cons prod'!K14+'5-5 Cons prod'!K16, IF(OR($B17=no,$B17=no),"-", IF($B17=que,que, pres)))</f>
        <v>Present?</v>
      </c>
      <c r="G17" s="280"/>
      <c r="H17" s="280"/>
      <c r="I17" s="280"/>
      <c r="J17" s="280"/>
      <c r="K17" s="280"/>
      <c r="L17" s="280"/>
      <c r="M17" s="273"/>
      <c r="N17" s="463"/>
    </row>
    <row r="18" spans="1:15" ht="25.5" thickBot="1">
      <c r="A18" s="275" t="s">
        <v>430</v>
      </c>
      <c r="B18" s="611"/>
      <c r="C18" s="400"/>
      <c r="D18" s="345" t="s">
        <v>955</v>
      </c>
      <c r="E18" s="394"/>
      <c r="F18" s="457" t="str">
        <f>IF(OR($B18=yes,$B18=yes),'5-5 Cons prod'!K15, IF(OR($B18=no,$B18=no),"-", IF($B18=que,que, pres)))</f>
        <v>Present?</v>
      </c>
      <c r="G18" s="280"/>
      <c r="H18" s="280"/>
      <c r="I18" s="280"/>
      <c r="J18" s="280"/>
      <c r="K18" s="280"/>
      <c r="L18" s="280"/>
      <c r="M18" s="273" t="s">
        <v>89</v>
      </c>
      <c r="N18" s="463"/>
    </row>
    <row r="19" spans="1:15" ht="13" thickBot="1">
      <c r="A19" s="367"/>
      <c r="B19" s="417"/>
      <c r="C19" s="418"/>
      <c r="D19" s="273"/>
      <c r="E19" s="273"/>
      <c r="F19" s="456"/>
      <c r="G19" s="280"/>
      <c r="H19" s="280"/>
      <c r="I19" s="280"/>
      <c r="J19" s="280"/>
      <c r="K19" s="280"/>
      <c r="L19" s="280"/>
      <c r="M19" s="273"/>
      <c r="N19" s="463"/>
    </row>
    <row r="20" spans="1:15" ht="13" thickBot="1">
      <c r="A20" s="275" t="s">
        <v>113</v>
      </c>
      <c r="B20" s="663"/>
      <c r="C20" s="421">
        <f>'Step1-Country data'!$B$6</f>
        <v>0</v>
      </c>
      <c r="D20" s="273" t="s">
        <v>953</v>
      </c>
      <c r="E20" s="273"/>
      <c r="F20" s="460" t="str">
        <f>IF(OR($B20=yes,$B20=yes),'5-5 Cons prod'!K20, IF(OR($B20=no,$B20=no),"-", IF($B20=que,que, pres)))</f>
        <v>Present?</v>
      </c>
      <c r="G20" s="408" t="str">
        <f>IF(OR('Step5-Waste treatment+recycling'!$B$4=yes,'Step5-Waste treatment+recycling'!$B$4=no),IF($B20=yes,SUM('5-5 Cons prod'!V21:V23), IF($B20=no,0, IF($B20=que,que, pres))),_SeF4)</f>
        <v>Present?</v>
      </c>
      <c r="H20" s="408" t="str">
        <f>IF(OR('Step5-Waste treatment+recycling'!$B$4=yes,'Step5-Waste treatment+recycling'!$B$4=yes,'Step5-Waste treatment+recycling'!$B$4=no,'Step5-Waste treatment+recycling'!$B$4=no),IF($B20=yes,SUM('5-5 Cons prod'!W21:W23), IF($B20=no,0, IF($B20=que,que, pres))),_SeF4)</f>
        <v>Present?</v>
      </c>
      <c r="I20" s="408" t="str">
        <f>IF(OR('Step5-Waste treatment+recycling'!$B$4=yes,'Step5-Waste treatment+recycling'!$B$4=yes,'Step5-Waste treatment+recycling'!$B$4=no,'Step5-Waste treatment+recycling'!$B$4=no),IF($B20=yes,SUM('5-5 Cons prod'!X21:X23), IF($B20=no,0, IF($B20=que,que, pres))),_SeF4)</f>
        <v>Present?</v>
      </c>
      <c r="J20" s="408" t="str">
        <f>IF(OR('Step5-Waste treatment+recycling'!$B$4=yes,'Step5-Waste treatment+recycling'!$B$4=yes,'Step5-Waste treatment+recycling'!$B$4=no,'Step5-Waste treatment+recycling'!$B$4=no),IF($B20=yes,SUM('5-5 Cons prod'!Y21:Y23), IF($B20=no,0, IF($B20=que,que, pres))),_SeF4)</f>
        <v>Present?</v>
      </c>
      <c r="K20" s="408" t="str">
        <f>IF(OR('Step5-Waste treatment+recycling'!$B$4=yes,'Step5-Waste treatment+recycling'!$B$4=yes,'Step5-Waste treatment+recycling'!$B$4=no,'Step5-Waste treatment+recycling'!$B$4=no),IF($B20=yes,SUM('5-5 Cons prod'!Z21:Z23), IF($B20=no,0, IF($B20=que,que, pres))),_SeF4)</f>
        <v>Present?</v>
      </c>
      <c r="L20" s="408" t="str">
        <f>IF(OR('Step5-Waste treatment+recycling'!$B$4=yes,'Step5-Waste treatment+recycling'!$B$4=yes,'Step5-Waste treatment+recycling'!$B$4=no,'Step5-Waste treatment+recycling'!$B$4=no),IF($B20=yes,SUM('5-5 Cons prod'!AA21:AA23), IF($B20=no,0, IF($B20=que,que, pres))),_SeF4)</f>
        <v>Present?</v>
      </c>
      <c r="M20" s="273" t="s">
        <v>114</v>
      </c>
      <c r="N20" s="463"/>
      <c r="O20" s="587" t="str">
        <f>INDEX('Range-thresholds'!$G$6:$G$73,MATCH(A20,'Range-thresholds'!$A$6:$A$73,0))</f>
        <v/>
      </c>
    </row>
    <row r="21" spans="1:15">
      <c r="A21" s="275"/>
      <c r="B21" s="275"/>
      <c r="C21" s="498">
        <f>'Step1-Country data'!$D$23</f>
        <v>100</v>
      </c>
      <c r="D21" s="345" t="s">
        <v>711</v>
      </c>
      <c r="E21" s="345"/>
      <c r="F21" s="459"/>
      <c r="G21" s="408"/>
      <c r="H21" s="408"/>
      <c r="I21" s="408"/>
      <c r="J21" s="408"/>
      <c r="K21" s="408"/>
      <c r="L21" s="408"/>
      <c r="M21" s="273"/>
      <c r="N21" s="463"/>
    </row>
    <row r="22" spans="1:15">
      <c r="A22" s="367"/>
      <c r="B22" s="413"/>
      <c r="C22" s="376"/>
      <c r="D22" s="273"/>
      <c r="E22" s="273"/>
      <c r="F22" s="456"/>
      <c r="G22" s="280"/>
      <c r="H22" s="280"/>
      <c r="I22" s="280"/>
      <c r="J22" s="280"/>
      <c r="K22" s="280"/>
      <c r="L22" s="280"/>
      <c r="M22" s="273"/>
      <c r="N22" s="463"/>
    </row>
    <row r="23" spans="1:15" ht="13.5" thickBot="1">
      <c r="A23" s="406" t="s">
        <v>319</v>
      </c>
      <c r="B23" s="411" t="str">
        <f>IF(OR(AND(B24&lt;&gt;no,B24&lt;&gt;yes,B24&lt;&gt;que),AND(B25&lt;&gt;no,B25&lt;&gt;yes,B25&lt;&gt;que),AND(B26&lt;&gt;no,B26&lt;&gt;yes,B26&lt;&gt;que)),pres,IF(OR($B24=yes,$B25=yes,$B26=yes),yes,IF(AND($B24=no,$B25=no,$B26=no),no,IF(OR($B24=que,$B25=que,$B26=que),que,pres))))</f>
        <v>Present?</v>
      </c>
      <c r="C23" s="412">
        <f>SUM(C24:C26)</f>
        <v>0</v>
      </c>
      <c r="D23" s="345" t="s">
        <v>955</v>
      </c>
      <c r="E23" s="345"/>
      <c r="F23" s="460" t="str">
        <f>IF(OR(AND(B24&lt;&gt;no,B24&lt;&gt;yes,B24&lt;&gt;que),AND(B25&lt;&gt;no,B25&lt;&gt;yes,B25&lt;&gt;que),AND(B26&lt;&gt;no,B26&lt;&gt;yes,B26&lt;&gt;que)),pres,IF(OR($B24=yes,$B25=yes,$B26=yes),'5-5 Cons prod'!K27,IF(AND($B24=no,$B25=no,$B26=no),0,IF(OR($B24=que,$B25=que,$B26=que),que,pres))))</f>
        <v>Present?</v>
      </c>
      <c r="G23" s="407" t="str">
        <f>IF($F23=pres,pres,IF(OR('Step5-Waste treatment+recycling'!$B$4=yes,'Step5-Waste treatment+recycling'!$B$4=no),IF(OR($B24=yes,$B25=yes,$B26=yes,),SUM('5-5 Cons prod'!V28:V30), IF(AND($B24=no,$B25=no,$B26=no),"-", IF(OR($B24=que,$B25=que,$B26=que),que, pres))),_SeF4))</f>
        <v>Present?</v>
      </c>
      <c r="H23" s="407" t="str">
        <f>IF($F23=pres,pres,IF(OR('Step5-Waste treatment+recycling'!$B$4=yes,'Step5-Waste treatment+recycling'!$B$4=no),IF(OR($B24=yes,$B25=yes,$B26=yes,),SUM('5-5 Cons prod'!W28:W30), IF(AND($B24=no,$B25=no,$B26=no),"-", IF(OR($B24=que,$B25=que,$B26=que),que, pres))),_SeF4))</f>
        <v>Present?</v>
      </c>
      <c r="I23" s="407" t="str">
        <f>IF($F23=pres,pres,IF(OR('Step5-Waste treatment+recycling'!$B$4=yes,'Step5-Waste treatment+recycling'!$B$4=no),IF(OR($B24=yes,$B25=yes,$B26=yes,),SUM('5-5 Cons prod'!X28:X30), IF(AND($B24=no,$B25=no,$B26=no),"-", IF(OR($B24=que,$B25=que,$B26=que),que, pres))),_SeF4))</f>
        <v>Present?</v>
      </c>
      <c r="J23" s="407" t="str">
        <f>IF($F23=pres,pres,IF(OR('Step5-Waste treatment+recycling'!$B$4=yes,'Step5-Waste treatment+recycling'!$B$4=no),IF(OR($B24=yes,$B25=yes,$B26=yes,),SUM('5-5 Cons prod'!Y28:Y30), IF(AND($B24=no,$B25=no,$B26=no),"-", IF(OR($B24=que,$B25=que,$B26=que),que, pres))),_SeF4))</f>
        <v>Present?</v>
      </c>
      <c r="K23" s="407" t="str">
        <f>IF($F23=pres,pres,IF(OR('Step5-Waste treatment+recycling'!$B$4=yes,'Step5-Waste treatment+recycling'!$B$4=no),IF(OR($B24=yes,$B25=yes,$B26=yes,),SUM('5-5 Cons prod'!Z28:Z30), IF(AND($B24=no,$B25=no,$B26=no),"-", IF(OR($B24=que,$B25=que,$B26=que),que, pres))),_SeF4))</f>
        <v>Present?</v>
      </c>
      <c r="L23" s="407" t="str">
        <f>IF($F23=pres,pres,IF(OR('Step5-Waste treatment+recycling'!$B$4=yes,'Step5-Waste treatment+recycling'!$B$4=no),IF(OR($B24=yes,$B25=yes,$B26=yes,),SUM('5-5 Cons prod'!AA28:AA30), IF(AND($B24=no,$B25=no,$B26=no),"-", IF(OR($B24=que,$B25=que,$B26=que),que, pres))),_SeF4))</f>
        <v>Present?</v>
      </c>
      <c r="M23" s="273" t="s">
        <v>119</v>
      </c>
      <c r="N23" s="463"/>
      <c r="O23" s="587" t="str">
        <f>INDEX('Range-thresholds'!$G$6:$G$73,MATCH(A23,'Range-thresholds'!$A$6:$A$73,0))</f>
        <v/>
      </c>
    </row>
    <row r="24" spans="1:15">
      <c r="A24" s="275" t="s">
        <v>120</v>
      </c>
      <c r="B24" s="666"/>
      <c r="C24" s="377"/>
      <c r="D24" s="345" t="s">
        <v>955</v>
      </c>
      <c r="E24" s="345"/>
      <c r="F24" s="456" t="str">
        <f>IF(OR($B24=yes,$B24=yes),'5-5 Cons prod'!K28, IF(OR($B24=no,$B24=no),"-", IF($B24=que,que, pres)))</f>
        <v>Present?</v>
      </c>
      <c r="G24" s="280"/>
      <c r="H24" s="280"/>
      <c r="I24" s="280"/>
      <c r="J24" s="280"/>
      <c r="K24" s="280"/>
      <c r="L24" s="280"/>
      <c r="M24" s="273"/>
      <c r="N24" s="463"/>
    </row>
    <row r="25" spans="1:15">
      <c r="A25" s="275" t="s">
        <v>121</v>
      </c>
      <c r="B25" s="612"/>
      <c r="C25" s="378"/>
      <c r="D25" s="345" t="s">
        <v>955</v>
      </c>
      <c r="E25" s="394"/>
      <c r="F25" s="457" t="str">
        <f>IF(OR($B25=yes,$B25=yes),'5-5 Cons prod'!K29, IF(OR($B25=no,$B25=no),"-", IF($B25=que,que, pres)))</f>
        <v>Present?</v>
      </c>
      <c r="G25" s="280"/>
      <c r="H25" s="280"/>
      <c r="I25" s="280"/>
      <c r="J25" s="280"/>
      <c r="K25" s="280"/>
      <c r="L25" s="280"/>
      <c r="M25" s="273"/>
      <c r="N25" s="463"/>
    </row>
    <row r="26" spans="1:15" ht="25.5" thickBot="1">
      <c r="A26" s="275" t="s">
        <v>395</v>
      </c>
      <c r="B26" s="611"/>
      <c r="C26" s="400"/>
      <c r="D26" s="345" t="s">
        <v>955</v>
      </c>
      <c r="E26" s="345"/>
      <c r="F26" s="456" t="str">
        <f>IF(OR($B26=yes,$B26=yes),SUM('5-5 Cons prod'!K30:K33), IF(OR($B26=no,$B26=no),"-", IF($B26=que,que, pres)))</f>
        <v>Present?</v>
      </c>
      <c r="G26" s="280"/>
      <c r="H26" s="280"/>
      <c r="I26" s="280"/>
      <c r="J26" s="280"/>
      <c r="K26" s="280"/>
      <c r="L26" s="280"/>
      <c r="M26" s="273"/>
      <c r="N26" s="463"/>
    </row>
    <row r="27" spans="1:15">
      <c r="A27" s="367"/>
      <c r="B27" s="413"/>
      <c r="C27" s="376"/>
      <c r="D27" s="273"/>
      <c r="E27" s="273"/>
      <c r="F27" s="456"/>
      <c r="G27" s="280"/>
      <c r="H27" s="280"/>
      <c r="I27" s="280"/>
      <c r="J27" s="280"/>
      <c r="K27" s="280"/>
      <c r="L27" s="280"/>
      <c r="M27" s="273"/>
      <c r="N27" s="463"/>
    </row>
    <row r="28" spans="1:15" ht="13.5" thickBot="1">
      <c r="A28" s="406" t="s">
        <v>132</v>
      </c>
      <c r="B28" s="411" t="str">
        <f>IF(OR(AND(B29&lt;&gt;no,B29&lt;&gt;yes,B29&lt;&gt;que),AND(B30&lt;&gt;no,B30&lt;&gt;yes,B30&lt;&gt;que),AND(B31&lt;&gt;no,B31&lt;&gt;yes,B31&lt;&gt;que)),pres,IF(OR($B29=yes,$B30=yes,$B31=yes),yes,IF(AND($B29=no,$B30=no,$B31=no),no,IF(OR($B29=que,$B30=que,$B31=que),que,pres))))</f>
        <v>Present?</v>
      </c>
      <c r="C28" s="412">
        <f>SUM(C29:C31)</f>
        <v>1</v>
      </c>
      <c r="D28" s="409" t="s">
        <v>467</v>
      </c>
      <c r="E28" s="409"/>
      <c r="F28" s="460" t="str">
        <f>IF(OR(AND(B29&lt;&gt;no,B29&lt;&gt;yes,B29&lt;&gt;que),AND(B30&lt;&gt;no,B30&lt;&gt;yes,B30&lt;&gt;que),AND(B31&lt;&gt;no,B31&lt;&gt;yes,B31&lt;&gt;que)),pres,IF(OR($B29=yes,$B30=yes,$B31=yes),'5-5 Cons prod'!K42,IF(AND($B29=no,$B30=no,$B31=no),0,IF(OR($B29=que,$B30=que,$B31=que),que,pres))))</f>
        <v>Present?</v>
      </c>
      <c r="G28" s="407" t="str">
        <f>IF($F28=pres,pres,IF(OR('Step5-Waste treatment+recycling'!$B$4=yes,'Step5-Waste treatment+recycling'!$B$4=no),IF(OR($B29=yes,$B30=yes,$B31=yes,),SUM('5-5 Cons prod'!V43:V45), IF(AND($B29=no,$B30=no,$B31=no),"-", IF(OR($B29=que,$B30=que,$B31=que),que, pres))),_SeF4))</f>
        <v>Present?</v>
      </c>
      <c r="H28" s="407" t="str">
        <f>IF($F28=pres,pres,IF(OR('Step5-Waste treatment+recycling'!$B$4=yes,'Step5-Waste treatment+recycling'!$B$4=no),IF(OR($B29=yes,$B30=yes,$B31=yes,),SUM('5-5 Cons prod'!W43:W45), IF(AND($B29=no,$B30=no,$B31=no),"-", IF(OR($B29=que,$B30=que,$B31=que),que, pres))),_SeF4))</f>
        <v>Present?</v>
      </c>
      <c r="I28" s="407" t="str">
        <f>IF($F28=pres,pres,IF(OR('Step5-Waste treatment+recycling'!$B$4=yes,'Step5-Waste treatment+recycling'!$B$4=no),IF(OR($B29=yes,$B30=yes,$B31=yes,),SUM('5-5 Cons prod'!X43:X45), IF(AND($B29=no,$B30=no,$B31=no),"-", IF(OR($B29=que,$B30=que,$B31=que),que, pres))),_SeF4))</f>
        <v>Present?</v>
      </c>
      <c r="J28" s="407" t="str">
        <f>IF($F28=pres,pres,IF(OR('Step5-Waste treatment+recycling'!$B$4=yes,'Step5-Waste treatment+recycling'!$B$4=no),IF(OR($B29=yes,$B30=yes,$B31=yes,),SUM('5-5 Cons prod'!Y43:Y45), IF(AND($B29=no,$B30=no,$B31=no),"-", IF(OR($B29=que,$B30=que,$B31=que),que, pres))),_SeF4))</f>
        <v>Present?</v>
      </c>
      <c r="K28" s="407" t="str">
        <f>IF($F28=pres,pres,IF(OR('Step5-Waste treatment+recycling'!$B$4=yes,'Step5-Waste treatment+recycling'!$B$4=no),IF(OR($B29=yes,$B30=yes,$B31=yes,),SUM('5-5 Cons prod'!Z43:Z45), IF(AND($B29=no,$B30=no,$B31=no),"-", IF(OR($B29=que,$B30=que,$B31=que),que, pres))),_SeF4))</f>
        <v>Present?</v>
      </c>
      <c r="L28" s="407" t="str">
        <f>IF($F28=pres,pres,IF(OR('Step5-Waste treatment+recycling'!$B$4=yes,'Step5-Waste treatment+recycling'!$B$4=no),IF(OR($B29=yes,$B30=yes,$B31=yes,),SUM('5-5 Cons prod'!AA43:AA45), IF(AND($B29=no,$B30=no,$B31=no),"-", IF(OR($B29=que,$B30=que,$B31=que),que, pres))),_SeF4))</f>
        <v>Present?</v>
      </c>
      <c r="M28" s="273" t="s">
        <v>131</v>
      </c>
      <c r="N28" s="463"/>
      <c r="O28" s="587" t="str">
        <f>INDEX('Range-thresholds'!$G$6:$G$73,MATCH(A28,'Range-thresholds'!$A$6:$A$73,0))</f>
        <v/>
      </c>
    </row>
    <row r="29" spans="1:15" ht="25">
      <c r="A29" s="275" t="s">
        <v>396</v>
      </c>
      <c r="B29" s="666"/>
      <c r="C29" s="377">
        <v>1</v>
      </c>
      <c r="D29" s="345" t="s">
        <v>956</v>
      </c>
      <c r="E29" s="345"/>
      <c r="F29" s="456" t="str">
        <f>IF(OR($B29=yes,$B29=yes),'5-5 Cons prod'!K43, IF(OR($B29=no,$B29=no),"-", IF($B29=que,que, pres)))</f>
        <v>Present?</v>
      </c>
      <c r="G29" s="280"/>
      <c r="H29" s="280"/>
      <c r="I29" s="280"/>
      <c r="J29" s="280"/>
      <c r="K29" s="280"/>
      <c r="L29" s="280"/>
      <c r="M29" s="273"/>
      <c r="N29" s="463"/>
    </row>
    <row r="30" spans="1:15" ht="25">
      <c r="A30" s="275" t="s">
        <v>397</v>
      </c>
      <c r="B30" s="612"/>
      <c r="C30" s="378"/>
      <c r="D30" s="345" t="s">
        <v>956</v>
      </c>
      <c r="E30" s="345"/>
      <c r="F30" s="456" t="str">
        <f>IF(OR($B30=yes,$B30=yes),SUM('5-5 Cons prod'!K44:K46), IF(OR($B30=no,$B30=no),"-", IF($B30=que,que, pres)))</f>
        <v>Present?</v>
      </c>
      <c r="G30" s="280"/>
      <c r="H30" s="280"/>
      <c r="I30" s="280"/>
      <c r="J30" s="280"/>
      <c r="K30" s="280"/>
      <c r="L30" s="280"/>
      <c r="M30" s="273"/>
      <c r="N30" s="463"/>
    </row>
    <row r="31" spans="1:15" ht="25.5" thickBot="1">
      <c r="A31" s="275" t="s">
        <v>398</v>
      </c>
      <c r="B31" s="611"/>
      <c r="C31" s="400"/>
      <c r="D31" s="345" t="s">
        <v>956</v>
      </c>
      <c r="E31" s="345"/>
      <c r="F31" s="456" t="str">
        <f>IF(OR($B31=yes,$B31=yes),SUM('5-5 Cons prod'!K47), IF(OR($B31=no,$B31=no),"-", IF($B31=que,que, pres)))</f>
        <v>Present?</v>
      </c>
      <c r="G31" s="280"/>
      <c r="H31" s="280"/>
      <c r="I31" s="280"/>
      <c r="J31" s="280"/>
      <c r="K31" s="280"/>
      <c r="L31" s="280"/>
      <c r="M31" s="273"/>
      <c r="N31" s="463"/>
    </row>
    <row r="32" spans="1:15" ht="13" thickBot="1">
      <c r="A32" s="367"/>
      <c r="B32" s="401"/>
      <c r="C32" s="419"/>
      <c r="D32" s="394"/>
      <c r="E32" s="394"/>
      <c r="F32" s="456"/>
      <c r="G32" s="280"/>
      <c r="H32" s="280"/>
      <c r="I32" s="280"/>
      <c r="J32" s="280"/>
      <c r="K32" s="280"/>
      <c r="L32" s="280"/>
      <c r="M32" s="273"/>
      <c r="N32" s="463"/>
    </row>
    <row r="33" spans="1:15" ht="25.5" thickBot="1">
      <c r="A33" s="275" t="s">
        <v>388</v>
      </c>
      <c r="B33" s="667"/>
      <c r="C33" s="421">
        <f>'Step1-Country data'!$B$6</f>
        <v>0</v>
      </c>
      <c r="D33" s="273" t="s">
        <v>953</v>
      </c>
      <c r="E33" s="273"/>
      <c r="F33" s="460" t="str">
        <f>IF(OR($B33=yes,$B33=yes),'5-5 Cons prod'!K51, IF(OR($B33=no,$B33=no),"-", IF($B33=que,que, pres)))</f>
        <v>Present?</v>
      </c>
      <c r="G33" s="408" t="str">
        <f>IF(OR('Step5-Waste treatment+recycling'!$B$4=yes,'Step5-Waste treatment+recycling'!$B$4=no),IF($B33=yes,SUM('5-5 Cons prod'!V52:V53), IF($B33=no,0, IF($B33=que,que, pres))),_SeF4)</f>
        <v>Present?</v>
      </c>
      <c r="H33" s="408" t="str">
        <f>IF(OR('Step5-Waste treatment+recycling'!$B$4=yes,'Step5-Waste treatment+recycling'!$B$4=no),IF($B33=yes,SUM('5-5 Cons prod'!W52:W53), IF($B33=no,0, IF($B33=que,que, pres))),_SeF4)</f>
        <v>Present?</v>
      </c>
      <c r="I33" s="408" t="str">
        <f>IF(OR('Step5-Waste treatment+recycling'!$B$4=yes,'Step5-Waste treatment+recycling'!$B$4=no),IF($B33=yes,SUM('5-5 Cons prod'!X52:X53), IF($B33=no,0, IF($B33=que,que, pres))),_SeF4)</f>
        <v>Present?</v>
      </c>
      <c r="J33" s="408" t="str">
        <f>IF(OR('Step5-Waste treatment+recycling'!$B$4=yes,'Step5-Waste treatment+recycling'!$B$4=no),IF($B33=yes,SUM('5-5 Cons prod'!Y52:Y53), IF($B33=no,0, IF($B33=que,que, pres))),_SeF4)</f>
        <v>Present?</v>
      </c>
      <c r="K33" s="408" t="str">
        <f>IF(OR('Step5-Waste treatment+recycling'!$B$4=yes,'Step5-Waste treatment+recycling'!$B$4=no),IF($B33=yes,SUM('5-5 Cons prod'!Z52:Z53), IF($B33=no,0, IF($B33=que,que, pres))),_SeF4)</f>
        <v>Present?</v>
      </c>
      <c r="L33" s="408" t="str">
        <f>IF(OR('Step5-Waste treatment+recycling'!$B$4=yes,'Step5-Waste treatment+recycling'!$B$4=no),IF($B33=yes,SUM('5-5 Cons prod'!AA52:AA53), IF($B33=no,0, IF($B33=que,que, pres))),_SeF4)</f>
        <v>Present?</v>
      </c>
      <c r="M33" s="273" t="s">
        <v>466</v>
      </c>
      <c r="N33" s="463"/>
      <c r="O33" s="587" t="str">
        <f>INDEX('Range-thresholds'!$G$6:$G$73,MATCH(A33,'Range-thresholds'!$A$6:$A$73,0))</f>
        <v/>
      </c>
    </row>
    <row r="34" spans="1:15">
      <c r="A34" s="275"/>
      <c r="B34" s="275"/>
      <c r="C34" s="498">
        <f>'Step1-Country data'!$D$23</f>
        <v>100</v>
      </c>
      <c r="D34" s="345" t="s">
        <v>957</v>
      </c>
      <c r="E34" s="345"/>
      <c r="F34" s="459"/>
      <c r="G34" s="408"/>
      <c r="H34" s="408"/>
      <c r="I34" s="408"/>
      <c r="J34" s="408"/>
      <c r="K34" s="408"/>
      <c r="L34" s="408"/>
      <c r="M34" s="273"/>
      <c r="N34" s="463"/>
    </row>
    <row r="35" spans="1:15" ht="13" thickBot="1">
      <c r="A35" s="367"/>
      <c r="B35" s="401"/>
      <c r="C35" s="419"/>
      <c r="D35" s="394"/>
      <c r="E35" s="394"/>
      <c r="F35" s="456"/>
      <c r="G35" s="280"/>
      <c r="H35" s="280"/>
      <c r="I35" s="280"/>
      <c r="J35" s="280"/>
      <c r="K35" s="280"/>
      <c r="L35" s="280"/>
      <c r="M35" s="273"/>
      <c r="N35" s="463"/>
    </row>
    <row r="36" spans="1:15" ht="13" thickBot="1">
      <c r="A36" s="275" t="s">
        <v>392</v>
      </c>
      <c r="B36" s="613"/>
      <c r="C36" s="403"/>
      <c r="D36" s="345" t="s">
        <v>958</v>
      </c>
      <c r="E36" s="345"/>
      <c r="F36" s="460" t="str">
        <f>IF(OR($B36=yes,$B36=yes),'5-5 Cons prod'!K61, IF(OR($B36=no,$B36=no),"-", IF($B36=que,que, pres)))</f>
        <v>Present?</v>
      </c>
      <c r="G36" s="408" t="str">
        <f>IF(OR('Step5-Waste treatment+recycling'!$B$4=yes,'Step5-Waste treatment+recycling'!$B$4=no),IF($B36=yes,'5-5 Cons prod'!V61, IF($B36=no,0, IF($B36=que,que, pres))),_SeF4)</f>
        <v>Present?</v>
      </c>
      <c r="H36" s="408" t="str">
        <f>IF(OR('Step5-Waste treatment+recycling'!$B$4=yes,'Step5-Waste treatment+recycling'!$B$4=no),IF($B36=yes,'5-5 Cons prod'!W61, IF($B36=no,0, IF($B36=que,que, pres))),_SeF4)</f>
        <v>Present?</v>
      </c>
      <c r="I36" s="408" t="str">
        <f>IF(OR('Step5-Waste treatment+recycling'!$B$4=yes,'Step5-Waste treatment+recycling'!$B$4=no),IF($B36=yes,'5-5 Cons prod'!X61, IF($B36=no,0, IF($B36=que,que, pres))),_SeF4)</f>
        <v>Present?</v>
      </c>
      <c r="J36" s="408" t="str">
        <f>IF(OR('Step5-Waste treatment+recycling'!$B$4=yes,'Step5-Waste treatment+recycling'!$B$4=no),IF($B36=yes,'5-5 Cons prod'!Y61, IF($B36=no,0, IF($B36=que,que, pres))),_SeF4)</f>
        <v>Present?</v>
      </c>
      <c r="K36" s="408" t="str">
        <f>IF(OR('Step5-Waste treatment+recycling'!$B$4=yes,'Step5-Waste treatment+recycling'!$B$4=no),IF($B36=yes,'5-5 Cons prod'!Z61, IF($B36=no,0, IF($B36=que,que, pres))),_SeF4)</f>
        <v>Present?</v>
      </c>
      <c r="L36" s="408" t="str">
        <f>IF(OR('Step5-Waste treatment+recycling'!$B$4=yes,'Step5-Waste treatment+recycling'!$B$4=no),IF($B36=yes,'5-5 Cons prod'!AA61, IF($B36=no,0, IF($B36=que,que, pres))),_SeF4)</f>
        <v>Present?</v>
      </c>
      <c r="M36" s="273" t="s">
        <v>386</v>
      </c>
      <c r="N36" s="463"/>
      <c r="O36" s="587" t="str">
        <f>INDEX('Range-thresholds'!$G$6:$G$73,MATCH(A36,'Range-thresholds'!$A$6:$A$73,0))</f>
        <v/>
      </c>
    </row>
    <row r="37" spans="1:15" ht="13" thickBot="1">
      <c r="A37" s="367"/>
      <c r="B37" s="401"/>
      <c r="C37" s="419"/>
      <c r="D37" s="273"/>
      <c r="E37" s="273"/>
      <c r="F37" s="456"/>
      <c r="G37" s="280"/>
      <c r="H37" s="280"/>
      <c r="I37" s="280"/>
      <c r="J37" s="280"/>
      <c r="K37" s="280"/>
      <c r="L37" s="280"/>
      <c r="M37" s="273"/>
      <c r="N37" s="463"/>
    </row>
    <row r="38" spans="1:15" ht="25.5" thickBot="1">
      <c r="A38" s="275" t="s">
        <v>393</v>
      </c>
      <c r="B38" s="613"/>
      <c r="C38" s="583"/>
      <c r="D38" s="274" t="s">
        <v>959</v>
      </c>
      <c r="E38" s="274"/>
      <c r="F38" s="460" t="str">
        <f>IF(OR($B38=yes,$B38=yes),'5-5 Cons prod'!K65, IF(OR($B38=no,$B38=no),"-", IF($B38=que,que, pres)))</f>
        <v>Present?</v>
      </c>
      <c r="G38" s="408" t="str">
        <f>IF(OR('Step5-Waste treatment+recycling'!$B$4=yes,'Step5-Waste treatment+recycling'!$B$4=no),IF($B38=yes,'5-5 Cons prod'!V65, IF($B38=no,0, IF($B38=que,que, pres))),_SeF4)</f>
        <v>Present?</v>
      </c>
      <c r="H38" s="408" t="str">
        <f>IF(OR('Step5-Waste treatment+recycling'!$B$4=yes,'Step5-Waste treatment+recycling'!$B$4=no),IF($B38=yes,'5-5 Cons prod'!W65, IF($B38=no,0, IF($B38=que,que, pres))),_SeF4)</f>
        <v>Present?</v>
      </c>
      <c r="I38" s="408" t="str">
        <f>IF(OR('Step5-Waste treatment+recycling'!$B$4=yes,'Step5-Waste treatment+recycling'!$B$4=no),IF($B38=yes,'5-5 Cons prod'!X65, IF($B38=no,0, IF($B38=que,que, pres))),_SeF4)</f>
        <v>Present?</v>
      </c>
      <c r="J38" s="408" t="str">
        <f>IF(OR('Step5-Waste treatment+recycling'!$B$4=yes,'Step5-Waste treatment+recycling'!$B$4=no),IF($B38=yes,'5-5 Cons prod'!Y65, IF($B38=no,0, IF($B38=que,que, pres))),_SeF4)</f>
        <v>Present?</v>
      </c>
      <c r="K38" s="408" t="str">
        <f>IF(OR('Step5-Waste treatment+recycling'!$B$4=yes,'Step5-Waste treatment+recycling'!$B$4=no),IF($B38=yes,'5-5 Cons prod'!Z65, IF($B38=no,0, IF($B38=que,que, pres))),_SeF4)</f>
        <v>Present?</v>
      </c>
      <c r="L38" s="408" t="str">
        <f>IF(OR('Step5-Waste treatment+recycling'!$B$4=yes,'Step5-Waste treatment+recycling'!$B$4=no),IF($B38=yes,'5-5 Cons prod'!AA65, IF($B38=no,0, IF($B38=que,que, pres))),_SeF4)</f>
        <v>Present?</v>
      </c>
      <c r="M38" s="273" t="s">
        <v>465</v>
      </c>
      <c r="N38" s="463"/>
      <c r="O38" s="587" t="str">
        <f>INDEX('Range-thresholds'!$G$6:$G$73,MATCH(A38,'Range-thresholds'!$A$6:$A$73,0))</f>
        <v/>
      </c>
    </row>
    <row r="39" spans="1:15" ht="13" thickBot="1">
      <c r="A39" s="367"/>
      <c r="B39" s="401"/>
      <c r="C39" s="419"/>
      <c r="D39" s="273"/>
      <c r="E39" s="273"/>
      <c r="F39" s="456"/>
      <c r="G39" s="280"/>
      <c r="H39" s="280"/>
      <c r="I39" s="280"/>
      <c r="J39" s="280"/>
      <c r="K39" s="280"/>
      <c r="L39" s="280"/>
      <c r="M39" s="273"/>
      <c r="N39" s="463"/>
    </row>
    <row r="40" spans="1:15" ht="25.5" thickBot="1">
      <c r="A40" s="275" t="s">
        <v>459</v>
      </c>
      <c r="B40" s="613"/>
      <c r="C40" s="403"/>
      <c r="D40" s="345" t="s">
        <v>955</v>
      </c>
      <c r="E40" s="345"/>
      <c r="F40" s="460" t="str">
        <f>IF(OR($B40=yes,$B40=yes),'5-6 Other int use'!K15, IF(OR($B40=no,$B40=no),"-", IF($B40=que,que, pres)))</f>
        <v>Present?</v>
      </c>
      <c r="G40" s="408" t="str">
        <f>IF(OR('Step5-Waste treatment+recycling'!$B$4=yes,'Step5-Waste treatment+recycling'!$B$4=no),IF($B40=yes,'5-6 Other int use'!V15, IF($B40=no,0, IF($B40=que,que, pres))),_SeF4)</f>
        <v>Present?</v>
      </c>
      <c r="H40" s="408" t="str">
        <f>IF(OR('Step5-Waste treatment+recycling'!$B$4=yes,'Step5-Waste treatment+recycling'!$B$4=no),IF($B40=yes,'5-6 Other int use'!W15, IF($B40=no,0, IF($B40=que,que, pres))),_SeF4)</f>
        <v>Present?</v>
      </c>
      <c r="I40" s="408" t="str">
        <f>IF(OR('Step5-Waste treatment+recycling'!$B$4=yes,'Step5-Waste treatment+recycling'!$B$4=no),IF($B40=yes,'5-6 Other int use'!X15, IF($B40=no,0, IF($B40=que,que, pres))),_SeF4)</f>
        <v>Present?</v>
      </c>
      <c r="J40" s="408" t="str">
        <f>IF(OR('Step5-Waste treatment+recycling'!$B$4=yes,'Step5-Waste treatment+recycling'!$B$4=no),IF($B40=yes,'5-6 Other int use'!Y15, IF($B40=no,0, IF($B40=que,que, pres))),_SeF4)</f>
        <v>Present?</v>
      </c>
      <c r="K40" s="408" t="str">
        <f>IF(OR('Step5-Waste treatment+recycling'!$B$4=yes,'Step5-Waste treatment+recycling'!$B$4=no),IF($B40=yes,'5-6 Other int use'!Z15, IF($B40=no,0, IF($B40=que,que, pres))),_SeF4)</f>
        <v>Present?</v>
      </c>
      <c r="L40" s="408" t="str">
        <f>IF(OR('Step5-Waste treatment+recycling'!$B$4=yes,'Step5-Waste treatment+recycling'!$B$4=no),IF($B40=yes,'5-6 Other int use'!AA15, IF($B40=no,0, IF($B40=que,que, pres))),_SeF4)</f>
        <v>Present?</v>
      </c>
      <c r="M40" s="273" t="s">
        <v>225</v>
      </c>
      <c r="N40" s="463"/>
      <c r="O40" s="587" t="str">
        <f>INDEX('Range-thresholds'!$G$6:$G$73,MATCH(A40,'Range-thresholds'!$A$6:$A$73,0))</f>
        <v/>
      </c>
    </row>
    <row r="41" spans="1:15" ht="13" thickBot="1">
      <c r="A41" s="367"/>
      <c r="B41" s="401"/>
      <c r="C41" s="419"/>
      <c r="D41" s="273"/>
      <c r="E41" s="273"/>
      <c r="F41" s="456"/>
      <c r="G41" s="280"/>
      <c r="H41" s="280"/>
      <c r="I41" s="280"/>
      <c r="J41" s="280"/>
      <c r="K41" s="280"/>
      <c r="L41" s="280"/>
      <c r="M41" s="273"/>
      <c r="N41" s="463"/>
    </row>
    <row r="42" spans="1:15" ht="13" thickBot="1">
      <c r="A42" s="275" t="s">
        <v>458</v>
      </c>
      <c r="B42" s="663"/>
      <c r="C42" s="421">
        <f>'Step1-Country data'!$B$6</f>
        <v>0</v>
      </c>
      <c r="D42" s="273" t="s">
        <v>953</v>
      </c>
      <c r="E42" s="273"/>
      <c r="F42" s="460" t="str">
        <f>IF(OR($B42=yes,$B42=yes),'5-6 Other int use'!K24, IF(OR($B42=no,$B42=no),"-", IF($B42=que,que, pres)))</f>
        <v>Present?</v>
      </c>
      <c r="G42" s="408" t="str">
        <f>IF(OR('Step5-Waste treatment+recycling'!$B$4=yes,'Step5-Waste treatment+recycling'!$B$4=no),IF($B42=yes,'5-6 Other int use'!V24, IF($B42=no,0, IF($B42=que,que, pres))),_SeF4)</f>
        <v>Present?</v>
      </c>
      <c r="H42" s="408" t="str">
        <f>IF(OR('Step5-Waste treatment+recycling'!$B$4=yes,'Step5-Waste treatment+recycling'!$B$4=no),IF($B42=yes,'5-6 Other int use'!W24, IF($B42=no,0, IF($B42=que,que, pres))),_SeF4)</f>
        <v>Present?</v>
      </c>
      <c r="I42" s="408" t="str">
        <f>IF(OR('Step5-Waste treatment+recycling'!$B$4=yes,'Step5-Waste treatment+recycling'!$B$4=no),IF($B42=yes,'5-6 Other int use'!X24, IF($B42=no,0, IF($B42=que,que, pres))),_SeF4)</f>
        <v>Present?</v>
      </c>
      <c r="J42" s="408" t="str">
        <f>IF(OR('Step5-Waste treatment+recycling'!$B$4=yes,'Step5-Waste treatment+recycling'!$B$4=no),IF($B42=yes,'5-6 Other int use'!Y24, IF($B42=no,0, IF($B42=que,que, pres))),_SeF4)</f>
        <v>Present?</v>
      </c>
      <c r="K42" s="408" t="str">
        <f>IF(OR('Step5-Waste treatment+recycling'!$B$4=yes,'Step5-Waste treatment+recycling'!$B$4=no),IF($B42=yes,'5-6 Other int use'!Z24, IF($B42=no,0, IF($B42=que,que, pres))),_SeF4)</f>
        <v>Present?</v>
      </c>
      <c r="L42" s="408" t="str">
        <f>IF(OR('Step5-Waste treatment+recycling'!$B$4=yes,'Step5-Waste treatment+recycling'!$B$4=no),IF($B42=yes,'5-6 Other int use'!AA24, IF($B42=no,0, IF($B42=que,que, pres))),_SeF4)</f>
        <v>Present?</v>
      </c>
      <c r="M42" s="273" t="s">
        <v>225</v>
      </c>
      <c r="N42" s="463"/>
      <c r="O42" s="587" t="str">
        <f>INDEX('Range-thresholds'!$G$6:$G$73,MATCH(A42,'Range-thresholds'!$A$6:$A$73,0))</f>
        <v/>
      </c>
    </row>
    <row r="43" spans="1:15">
      <c r="A43" s="275"/>
      <c r="B43" s="275"/>
      <c r="C43" s="498">
        <f>'Step1-Country data'!$D$23</f>
        <v>100</v>
      </c>
      <c r="D43" s="345" t="s">
        <v>957</v>
      </c>
      <c r="E43" s="345"/>
      <c r="F43" s="459"/>
      <c r="G43" s="408"/>
      <c r="H43" s="408"/>
      <c r="I43" s="408"/>
      <c r="J43" s="408"/>
      <c r="K43" s="408"/>
      <c r="L43" s="408"/>
      <c r="M43" s="273"/>
      <c r="N43" s="463"/>
    </row>
    <row r="44" spans="1:15" ht="13" thickBot="1">
      <c r="A44" s="275"/>
      <c r="B44" s="500"/>
      <c r="C44" s="498"/>
      <c r="D44" s="345"/>
      <c r="E44" s="345"/>
      <c r="F44" s="459"/>
      <c r="G44" s="408"/>
      <c r="H44" s="408"/>
      <c r="I44" s="408"/>
      <c r="J44" s="408"/>
      <c r="K44" s="408"/>
      <c r="L44" s="408"/>
      <c r="M44" s="273"/>
      <c r="N44" s="463"/>
    </row>
    <row r="45" spans="1:15" ht="13" thickBot="1">
      <c r="A45" s="275" t="s">
        <v>462</v>
      </c>
      <c r="B45" s="663"/>
      <c r="C45" s="421">
        <f>'Step1-Country data'!$B$6</f>
        <v>0</v>
      </c>
      <c r="D45" s="273" t="s">
        <v>953</v>
      </c>
      <c r="E45" s="273"/>
      <c r="F45" s="460" t="str">
        <f>IF(OR($B45=yes,$B45=yes),'5-6 Other int use'!K37, IF(OR($B45=no,$B45=no),"-", IF($B45=que,que, pres)))</f>
        <v>Present?</v>
      </c>
      <c r="G45" s="408" t="str">
        <f>IF(OR('Step5-Waste treatment+recycling'!$B$4=yes,'Step5-Waste treatment+recycling'!$B$4=no),IF($B45=yes,'5-6 Other int use'!V37, IF($B45=no,0, IF($B45=que,que, pres))),_SeF4)</f>
        <v>Present?</v>
      </c>
      <c r="H45" s="408" t="str">
        <f>IF(OR('Step5-Waste treatment+recycling'!$B$4=yes,'Step5-Waste treatment+recycling'!$B$4=no),IF($B45=yes,'5-6 Other int use'!W37, IF($B45=no,0, IF($B45=que,que, pres))),_SeF4)</f>
        <v>Present?</v>
      </c>
      <c r="I45" s="408" t="str">
        <f>IF(OR('Step5-Waste treatment+recycling'!$B$4=yes,'Step5-Waste treatment+recycling'!$B$4=no),IF($B45=yes,'5-6 Other int use'!X37, IF($B45=no,0, IF($B45=que,que, pres))),_SeF4)</f>
        <v>Present?</v>
      </c>
      <c r="J45" s="408" t="str">
        <f>IF(OR('Step5-Waste treatment+recycling'!$B$4=yes,'Step5-Waste treatment+recycling'!$B$4=no),IF($B45=yes,'5-6 Other int use'!Y37, IF($B45=no,0, IF($B45=que,que, pres))),_SeF4)</f>
        <v>Present?</v>
      </c>
      <c r="K45" s="408" t="str">
        <f>IF(OR('Step5-Waste treatment+recycling'!$B$4=yes,'Step5-Waste treatment+recycling'!$B$4=no),IF($B45=yes,'5-6 Other int use'!Z37, IF($B45=no,0, IF($B45=que,que, pres))),_SeF4)</f>
        <v>Present?</v>
      </c>
      <c r="L45" s="408" t="str">
        <f>IF(OR('Step5-Waste treatment+recycling'!$B$4=yes,'Step5-Waste treatment+recycling'!$B$4=no),IF($B45=yes,'5-6 Other int use'!AA37, IF($B45=no,0, IF($B45=que,que, pres))),_SeF4)</f>
        <v>Present?</v>
      </c>
      <c r="M45" s="273" t="s">
        <v>229</v>
      </c>
      <c r="N45" s="463"/>
      <c r="O45" s="587" t="str">
        <f>INDEX('Range-thresholds'!$G$6:$G$73,MATCH(A45,'Range-thresholds'!$A$6:$A$73,0))</f>
        <v/>
      </c>
    </row>
    <row r="46" spans="1:15">
      <c r="A46" s="275"/>
      <c r="B46" s="275"/>
      <c r="C46" s="498">
        <f>'Step1-Country data'!$D$23</f>
        <v>100</v>
      </c>
      <c r="D46" s="345" t="s">
        <v>957</v>
      </c>
      <c r="E46" s="345"/>
      <c r="F46" s="459"/>
      <c r="G46" s="408"/>
      <c r="H46" s="408"/>
      <c r="I46" s="408"/>
      <c r="J46" s="408"/>
      <c r="K46" s="408"/>
      <c r="L46" s="408"/>
      <c r="M46" s="273"/>
      <c r="N46" s="463"/>
    </row>
    <row r="47" spans="1:15" ht="13" thickBot="1">
      <c r="A47" s="275"/>
      <c r="B47" s="500"/>
      <c r="C47" s="498"/>
      <c r="D47" s="345"/>
      <c r="E47" s="345"/>
      <c r="F47" s="459"/>
      <c r="G47" s="408"/>
      <c r="H47" s="408"/>
      <c r="I47" s="408"/>
      <c r="J47" s="408"/>
      <c r="K47" s="408"/>
      <c r="L47" s="408"/>
      <c r="M47" s="273"/>
      <c r="N47" s="463"/>
    </row>
    <row r="48" spans="1:15" ht="25.5" thickBot="1">
      <c r="A48" s="275" t="s">
        <v>441</v>
      </c>
      <c r="B48" s="663"/>
      <c r="C48" s="421">
        <f>'Step1-Country data'!$B$6</f>
        <v>0</v>
      </c>
      <c r="D48" s="273" t="s">
        <v>953</v>
      </c>
      <c r="E48" s="273"/>
      <c r="F48" s="460" t="str">
        <f>IF(OR($B48=yes,$B48=yes),'5-6 Other int use'!K38, IF(OR($B48=no,$B48=no),"-", IF($B48=que,que, pres)))</f>
        <v>Present?</v>
      </c>
      <c r="G48" s="408" t="str">
        <f>IF(OR('Step5-Waste treatment+recycling'!$B$4=yes,'Step5-Waste treatment+recycling'!$B$4=no),IF($B48=yes,'5-6 Other int use'!V38, IF($B48=no,0, IF($B48=que,que, pres))),_SeF4)</f>
        <v>Present?</v>
      </c>
      <c r="H48" s="408" t="str">
        <f>IF(OR('Step5-Waste treatment+recycling'!$B$4=yes,'Step5-Waste treatment+recycling'!$B$4=no),IF($B48=yes,'5-6 Other int use'!W38, IF($B48=no,0, IF($B48=que,que, pres))),_SeF4)</f>
        <v>Present?</v>
      </c>
      <c r="I48" s="408" t="str">
        <f>IF(OR('Step5-Waste treatment+recycling'!$B$4=yes,'Step5-Waste treatment+recycling'!$B$4=no),IF($B48=yes,'5-6 Other int use'!X38, IF($B48=no,0, IF($B48=que,que, pres))),_SeF4)</f>
        <v>Present?</v>
      </c>
      <c r="J48" s="408" t="str">
        <f>IF(OR('Step5-Waste treatment+recycling'!$B$4=yes,'Step5-Waste treatment+recycling'!$B$4=no),IF($B48=yes,'5-6 Other int use'!Y38, IF($B48=no,0, IF($B48=que,que, pres))),_SeF4)</f>
        <v>Present?</v>
      </c>
      <c r="K48" s="408" t="str">
        <f>IF(OR('Step5-Waste treatment+recycling'!$B$4=yes,'Step5-Waste treatment+recycling'!$B$4=no),IF($B48=yes,'5-6 Other int use'!Z38, IF($B48=no,0, IF($B48=que,que, pres))),_SeF4)</f>
        <v>Present?</v>
      </c>
      <c r="L48" s="408" t="str">
        <f>IF(OR('Step5-Waste treatment+recycling'!$B$4=yes,'Step5-Waste treatment+recycling'!$B$4=no),IF($B48=yes,'5-6 Other int use'!AA38, IF($B48=no,0, IF($B48=que,que, pres))),_SeF4)</f>
        <v>Present?</v>
      </c>
      <c r="M48" s="367" t="s">
        <v>387</v>
      </c>
      <c r="N48" s="463"/>
      <c r="O48" s="587" t="str">
        <f>INDEX('Range-thresholds'!$G$6:$G$73,MATCH(A48,'Range-thresholds'!$A$6:$A$73,0))</f>
        <v/>
      </c>
    </row>
    <row r="49" spans="1:14">
      <c r="A49" s="275"/>
      <c r="B49" s="275"/>
      <c r="C49" s="498">
        <f>'Step1-Country data'!$D$23</f>
        <v>100</v>
      </c>
      <c r="D49" s="345" t="s">
        <v>957</v>
      </c>
      <c r="E49" s="345"/>
      <c r="F49" s="459"/>
      <c r="G49" s="408"/>
      <c r="H49" s="408"/>
      <c r="I49" s="408"/>
      <c r="J49" s="408"/>
      <c r="K49" s="408"/>
      <c r="L49" s="408"/>
      <c r="M49" s="273"/>
      <c r="N49" s="463"/>
    </row>
    <row r="52" spans="1:14">
      <c r="A52" s="585" t="s">
        <v>979</v>
      </c>
    </row>
    <row r="53" spans="1:14">
      <c r="A53" s="585"/>
    </row>
  </sheetData>
  <sheetProtection algorithmName="SHA-512" hashValue="bUlT/HQpeoGNxJMt5cFdVSGw98XvsknVwApBP3X3pWmqraLOC4iH0M/A5ubRY2bQOcz1bBM6XNZubTDvJRYRPg==" saltValue="F11iqoi8sS0idW2f9qiAag==" spinCount="100000" sheet="1"/>
  <customSheetViews>
    <customSheetView guid="{EB7FE26D-7077-48F2-8515-D783BE87A220}" fitToPage="1" hiddenColumns="1" topLeftCell="A28">
      <selection activeCell="A3" sqref="A3"/>
      <pageMargins left="0.39370078740157483" right="0.39370078740157483" top="0.74803149606299213" bottom="0.74803149606299213" header="0.31496062992125984" footer="0.31496062992125984"/>
      <pageSetup paperSize="9" scale="53" orientation="landscape" r:id="rId1"/>
      <headerFooter>
        <oddFooter>&amp;L&amp;A
Printed &amp;D</oddFooter>
      </headerFooter>
    </customSheetView>
  </customSheetViews>
  <mergeCells count="4">
    <mergeCell ref="G3:L3"/>
    <mergeCell ref="A2:M2"/>
    <mergeCell ref="F5:F6"/>
    <mergeCell ref="G5:M5"/>
  </mergeCells>
  <conditionalFormatting sqref="F7 F15 F20 F23 F28 F33 F36 F38 F40 F42 F45 F48">
    <cfRule type="expression" dxfId="16" priority="14" stopIfTrue="1">
      <formula>AND(B7="y",O7="n")</formula>
    </cfRule>
  </conditionalFormatting>
  <conditionalFormatting sqref="A2">
    <cfRule type="expression" dxfId="15" priority="13" stopIfTrue="1">
      <formula>$A$2&lt;&gt;""</formula>
    </cfRule>
  </conditionalFormatting>
  <conditionalFormatting sqref="E13:G13 E12:H12">
    <cfRule type="expression" dxfId="14" priority="6">
      <formula>OR($E$7=yes)</formula>
    </cfRule>
  </conditionalFormatting>
  <conditionalFormatting sqref="H13">
    <cfRule type="expression" dxfId="13" priority="5">
      <formula>OR($E$7=yes)</formula>
    </cfRule>
  </conditionalFormatting>
  <conditionalFormatting sqref="G13">
    <cfRule type="expression" dxfId="12" priority="4">
      <formula>$G$9&lt;0</formula>
    </cfRule>
  </conditionalFormatting>
  <conditionalFormatting sqref="D13">
    <cfRule type="expression" dxfId="11" priority="3">
      <formula>$G$13&lt;0</formula>
    </cfRule>
  </conditionalFormatting>
  <conditionalFormatting sqref="M13">
    <cfRule type="expression" dxfId="10" priority="1">
      <formula>OR(NOT($E$7=yes))</formula>
    </cfRule>
  </conditionalFormatting>
  <dataValidations count="7">
    <dataValidation type="decimal" allowBlank="1" showInputMessage="1" showErrorMessage="1" errorTitle="Input error" error="Use digits and decimal mark only." promptTitle="Input cell" prompt="Use digits and decimal mark only." sqref="C16:C18 C24:C26 C29:C31 C36 C38 C40" xr:uid="{00000000-0002-0000-0C00-000000000000}">
      <formula1>-9.99999999999999E+22</formula1>
      <formula2>9.99999999999999E+22</formula2>
    </dataValidation>
    <dataValidation type="list" allowBlank="1" showDropDown="1" showInputMessage="1" showErrorMessage="1" errorTitle="Input error" error="Enter only y, n or ? (or translation of these)" sqref="B19 B32 B34:B35 B37 B39 B41 B43:B44 B46:B47" xr:uid="{00000000-0002-0000-0C00-000001000000}">
      <formula1>yn?</formula1>
    </dataValidation>
    <dataValidation type="list" allowBlank="1" showInputMessage="1" showErrorMessage="1" errorTitle="Input error" error="Enter only y, n or ? (or translation of these)" sqref="B7 B15:B18 B20 B23:B26 B28:B31 B33 B36 B38 B40 B42 B45 B48" xr:uid="{00000000-0002-0000-0C00-000002000000}">
      <formula1>yn?</formula1>
    </dataValidation>
    <dataValidation type="list" allowBlank="1" showInputMessage="1" showErrorMessage="1" sqref="E7" xr:uid="{00000000-0002-0000-0C00-000003000000}">
      <formula1>yn</formula1>
    </dataValidation>
    <dataValidation allowBlank="1" showInputMessage="1" showErrorMessage="1" promptTitle="Default controls" prompt="Cell is blue and reads &quot;Non-default controls entered here&quot;, if you have entered numbers for controls selection. If you want to include controls, enter &quot;y&quot; in column E for the sub-category in question. Otherwise ignore this message." sqref="M13" xr:uid="{00000000-0002-0000-0C00-000004000000}"/>
    <dataValidation allowBlank="1" showInputMessage="1" showErrorMessage="1" promptTitle="Controls" prompt="Enter per cent of total activity rate that is used in clinics with high efficiency amalgam separators (&gt;95% Hg retention)." sqref="H13" xr:uid="{00000000-0002-0000-0C00-000005000000}"/>
    <dataValidation allowBlank="1" showInputMessage="1" showErrorMessage="1" promptTitle="Controls" prompt="Clinics with only chair strainers (automatically calculated)" sqref="G13" xr:uid="{00000000-0002-0000-0C00-000006000000}"/>
  </dataValidations>
  <pageMargins left="0.39370078740157483" right="0.39370078740157483" top="0.74803149606299213" bottom="0.74803149606299213" header="0.31496062992125984" footer="0.31496062992125984"/>
  <pageSetup paperSize="9" scale="53" orientation="landscape" r:id="rId2"/>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2" id="{00000000-000E-0000-0C00-000001000000}">
            <xm:f>OR($G$13&lt;&gt;'Default Controls'!$C$56)</xm:f>
            <x14:dxf>
              <font>
                <color theme="1"/>
              </font>
              <fill>
                <patternFill>
                  <bgColor rgb="FFFFFFCC"/>
                </patternFill>
              </fill>
            </x14:dxf>
          </x14:cfRule>
          <xm:sqref>M13</xm:sqref>
        </x14:conditionalFormatting>
        <x14:conditionalFormatting xmlns:xm="http://schemas.microsoft.com/office/excel/2006/main">
          <x14:cfRule type="expression" priority="8" id="{93A2D4A2-7FB4-4F36-8536-C9BBE7D0CD0D}">
            <xm:f>'Insert IL2 results'!$K$51&lt;&gt;""</xm:f>
            <x14:dxf>
              <font>
                <color rgb="FFFF0000"/>
              </font>
            </x14:dxf>
          </x14:cfRule>
          <xm:sqref>A52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D101"/>
  <sheetViews>
    <sheetView workbookViewId="0">
      <selection activeCell="K8" sqref="K8"/>
    </sheetView>
  </sheetViews>
  <sheetFormatPr defaultColWidth="8.81640625" defaultRowHeight="12.5"/>
  <cols>
    <col min="1" max="1" width="3.453125" customWidth="1"/>
    <col min="2" max="2" width="5.1796875" customWidth="1"/>
    <col min="3" max="3" width="34" customWidth="1"/>
    <col min="4" max="4" width="8.453125" customWidth="1"/>
    <col min="5" max="5" width="10.36328125" customWidth="1"/>
    <col min="7" max="7" width="10.1796875" customWidth="1"/>
    <col min="8" max="8" width="11.453125" customWidth="1"/>
    <col min="9" max="9" width="16.81640625" style="239" customWidth="1"/>
    <col min="10" max="10" width="14.453125" customWidth="1"/>
    <col min="11" max="11" width="10.36328125" bestFit="1" customWidth="1"/>
    <col min="13" max="13" width="33.453125" style="13" customWidth="1"/>
    <col min="14" max="14" width="9.1796875" style="239"/>
    <col min="21" max="21" width="16.453125" customWidth="1"/>
    <col min="27" max="27" width="17" customWidth="1"/>
    <col min="28" max="28" width="63.453125" customWidth="1"/>
  </cols>
  <sheetData>
    <row r="1" spans="1:30" ht="18">
      <c r="A1" s="1" t="s">
        <v>998</v>
      </c>
      <c r="I1" s="230"/>
      <c r="N1" s="230"/>
      <c r="V1" s="22"/>
      <c r="W1" s="3"/>
      <c r="X1" s="3"/>
      <c r="Y1" s="3"/>
      <c r="Z1" s="3"/>
      <c r="AA1" s="3"/>
    </row>
    <row r="2" spans="1:30" ht="14">
      <c r="A2" s="54" t="s">
        <v>311</v>
      </c>
      <c r="I2" s="230"/>
      <c r="L2" s="55"/>
      <c r="M2" s="55"/>
      <c r="N2" s="230"/>
    </row>
    <row r="3" spans="1:30" s="179" customFormat="1" ht="13">
      <c r="D3" s="180"/>
      <c r="E3" s="180"/>
      <c r="F3" s="180"/>
      <c r="G3" s="180"/>
      <c r="H3" s="180"/>
      <c r="I3" s="257"/>
      <c r="J3" s="180"/>
      <c r="K3" s="180"/>
      <c r="L3" s="30"/>
      <c r="M3" s="30"/>
      <c r="N3" s="257"/>
      <c r="O3" s="180"/>
      <c r="P3" s="182" t="s">
        <v>55</v>
      </c>
      <c r="Q3" s="182"/>
      <c r="R3" s="182"/>
      <c r="S3" s="182"/>
      <c r="T3" s="182"/>
      <c r="U3" s="182"/>
      <c r="V3" s="183" t="s">
        <v>54</v>
      </c>
      <c r="W3" s="184"/>
      <c r="X3" s="184"/>
      <c r="Y3" s="184"/>
      <c r="Z3" s="184"/>
      <c r="AA3" s="184"/>
      <c r="AB3" s="182"/>
    </row>
    <row r="4" spans="1:30" s="185" customFormat="1" ht="39">
      <c r="A4" s="185" t="s">
        <v>52</v>
      </c>
      <c r="B4" s="185" t="s">
        <v>50</v>
      </c>
      <c r="C4" s="135" t="s">
        <v>59</v>
      </c>
      <c r="D4" s="111" t="s">
        <v>153</v>
      </c>
      <c r="E4" s="135" t="s">
        <v>49</v>
      </c>
      <c r="F4" s="138" t="s">
        <v>35</v>
      </c>
      <c r="G4" s="111" t="s">
        <v>37</v>
      </c>
      <c r="H4" s="138" t="s">
        <v>35</v>
      </c>
      <c r="I4" s="244" t="s">
        <v>51</v>
      </c>
      <c r="J4" s="185" t="s">
        <v>35</v>
      </c>
      <c r="K4" s="83" t="s">
        <v>61</v>
      </c>
      <c r="L4" s="138" t="s">
        <v>35</v>
      </c>
      <c r="M4" s="125" t="s">
        <v>57</v>
      </c>
      <c r="N4" s="244" t="s">
        <v>92</v>
      </c>
      <c r="O4" s="138" t="s">
        <v>35</v>
      </c>
      <c r="P4" s="110" t="s">
        <v>38</v>
      </c>
      <c r="Q4" s="110" t="s">
        <v>39</v>
      </c>
      <c r="R4" s="110" t="s">
        <v>40</v>
      </c>
      <c r="S4" s="110" t="s">
        <v>41</v>
      </c>
      <c r="T4" s="111" t="s">
        <v>42</v>
      </c>
      <c r="U4" s="111" t="s">
        <v>53</v>
      </c>
      <c r="V4" s="56" t="s">
        <v>38</v>
      </c>
      <c r="W4" s="56" t="s">
        <v>39</v>
      </c>
      <c r="X4" s="56" t="s">
        <v>40</v>
      </c>
      <c r="Y4" s="57" t="s">
        <v>41</v>
      </c>
      <c r="Z4" s="57" t="s">
        <v>42</v>
      </c>
      <c r="AA4" s="57" t="s">
        <v>227</v>
      </c>
      <c r="AB4" s="110" t="s">
        <v>87</v>
      </c>
    </row>
    <row r="5" spans="1:30" s="55" customFormat="1" ht="26">
      <c r="A5" s="55" t="s">
        <v>210</v>
      </c>
      <c r="C5" s="135" t="s">
        <v>213</v>
      </c>
      <c r="D5" s="119"/>
      <c r="F5" s="103"/>
      <c r="G5" s="118"/>
      <c r="H5" s="103"/>
      <c r="I5" s="245"/>
      <c r="K5" s="120"/>
      <c r="L5" s="103"/>
      <c r="M5" s="173"/>
      <c r="N5" s="245"/>
      <c r="O5" s="103"/>
      <c r="P5" s="118"/>
      <c r="Q5" s="118"/>
      <c r="R5" s="118"/>
      <c r="S5" s="118"/>
      <c r="T5" s="118"/>
      <c r="U5" s="118"/>
      <c r="V5" s="121"/>
      <c r="W5" s="121"/>
      <c r="X5" s="121"/>
      <c r="Y5" s="121"/>
      <c r="Z5" s="121"/>
      <c r="AA5" s="121"/>
      <c r="AB5" s="118"/>
    </row>
    <row r="6" spans="1:30" ht="13">
      <c r="B6" t="s">
        <v>211</v>
      </c>
      <c r="C6" s="12" t="s">
        <v>347</v>
      </c>
      <c r="D6" s="110"/>
      <c r="G6" s="75"/>
      <c r="I6" s="246"/>
      <c r="K6" s="113"/>
      <c r="L6" s="3"/>
      <c r="M6" s="14"/>
      <c r="N6" s="246"/>
      <c r="O6" s="3"/>
      <c r="P6" s="75"/>
      <c r="Q6" s="75"/>
      <c r="R6" s="75"/>
      <c r="S6" s="75"/>
      <c r="T6" s="75"/>
      <c r="U6" s="75"/>
      <c r="V6" s="113">
        <f>SUM(V7:V11)</f>
        <v>0</v>
      </c>
      <c r="W6" s="113">
        <f t="shared" ref="W6:AA6" si="0">SUM(W7:W11)</f>
        <v>0</v>
      </c>
      <c r="X6" s="113">
        <f t="shared" si="0"/>
        <v>0</v>
      </c>
      <c r="Y6" s="113">
        <f t="shared" si="0"/>
        <v>0</v>
      </c>
      <c r="Z6" s="113">
        <f>SUM(Z7:Z11)</f>
        <v>0</v>
      </c>
      <c r="AA6" s="113">
        <f t="shared" si="0"/>
        <v>0</v>
      </c>
      <c r="AB6" s="331"/>
    </row>
    <row r="7" spans="1:30" ht="39">
      <c r="C7" s="67" t="s">
        <v>215</v>
      </c>
      <c r="D7" s="110"/>
      <c r="E7" s="6" t="s">
        <v>214</v>
      </c>
      <c r="F7" s="3" t="s">
        <v>118</v>
      </c>
      <c r="G7" s="277">
        <v>0.2</v>
      </c>
      <c r="H7" s="3" t="s">
        <v>118</v>
      </c>
      <c r="I7" s="247">
        <f>'Step1-Country data'!B6</f>
        <v>0</v>
      </c>
      <c r="J7" s="3" t="s">
        <v>117</v>
      </c>
      <c r="K7" s="170">
        <f>(G7*I7/1000)*('Step6-Hg products-substances'!C11/Countrydata!$D$57)</f>
        <v>0</v>
      </c>
      <c r="L7" s="3" t="s">
        <v>36</v>
      </c>
      <c r="M7" s="39" t="s">
        <v>222</v>
      </c>
      <c r="N7" s="247">
        <f>K7</f>
        <v>0</v>
      </c>
      <c r="O7" s="3" t="s">
        <v>36</v>
      </c>
      <c r="P7" s="130">
        <v>0.02</v>
      </c>
      <c r="Q7" s="130">
        <v>0.14000000000000001</v>
      </c>
      <c r="R7" s="130"/>
      <c r="S7" s="130"/>
      <c r="T7" s="130">
        <v>0.12</v>
      </c>
      <c r="U7" s="130">
        <v>0.12</v>
      </c>
      <c r="V7" s="115">
        <f t="shared" ref="V7:AA8" si="1">$N7*P7</f>
        <v>0</v>
      </c>
      <c r="W7" s="115">
        <f t="shared" si="1"/>
        <v>0</v>
      </c>
      <c r="X7" s="115">
        <f t="shared" si="1"/>
        <v>0</v>
      </c>
      <c r="Y7" s="115">
        <f t="shared" si="1"/>
        <v>0</v>
      </c>
      <c r="Z7" s="115">
        <f t="shared" si="1"/>
        <v>0</v>
      </c>
      <c r="AA7" s="115">
        <f t="shared" si="1"/>
        <v>0</v>
      </c>
      <c r="AB7" s="331"/>
    </row>
    <row r="8" spans="1:30" ht="39">
      <c r="C8" s="67" t="s">
        <v>217</v>
      </c>
      <c r="D8" s="110"/>
      <c r="E8" s="6"/>
      <c r="F8" s="3"/>
      <c r="G8" s="75"/>
      <c r="H8" s="3"/>
      <c r="I8" s="247"/>
      <c r="J8" s="3"/>
      <c r="K8" s="167"/>
      <c r="L8" s="3"/>
      <c r="M8" s="39" t="s">
        <v>223</v>
      </c>
      <c r="N8" s="247">
        <f>K7</f>
        <v>0</v>
      </c>
      <c r="O8" s="3" t="s">
        <v>36</v>
      </c>
      <c r="P8" s="130"/>
      <c r="Q8" s="130">
        <v>0.02</v>
      </c>
      <c r="R8" s="130"/>
      <c r="S8" s="130"/>
      <c r="T8" s="130"/>
      <c r="U8" s="130"/>
      <c r="V8" s="115">
        <f t="shared" si="1"/>
        <v>0</v>
      </c>
      <c r="W8" s="115">
        <f t="shared" si="1"/>
        <v>0</v>
      </c>
      <c r="X8" s="115">
        <f t="shared" si="1"/>
        <v>0</v>
      </c>
      <c r="Y8" s="115">
        <f t="shared" si="1"/>
        <v>0</v>
      </c>
      <c r="Z8" s="115">
        <f t="shared" si="1"/>
        <v>0</v>
      </c>
      <c r="AA8" s="115">
        <f t="shared" si="1"/>
        <v>0</v>
      </c>
      <c r="AB8" s="331"/>
    </row>
    <row r="9" spans="1:30" ht="26">
      <c r="C9" s="67" t="s">
        <v>216</v>
      </c>
      <c r="D9" s="110"/>
      <c r="E9" s="6"/>
      <c r="F9" s="3"/>
      <c r="G9" s="75"/>
      <c r="H9" s="3"/>
      <c r="I9" s="247"/>
      <c r="J9" s="3"/>
      <c r="K9" s="167"/>
      <c r="L9" s="3"/>
      <c r="M9" s="39" t="s">
        <v>224</v>
      </c>
      <c r="N9" s="247"/>
      <c r="O9" s="3"/>
      <c r="P9" s="166"/>
      <c r="Q9" s="166"/>
      <c r="R9" s="166"/>
      <c r="S9" s="166"/>
      <c r="T9" s="166"/>
      <c r="U9" s="166"/>
      <c r="V9" s="115"/>
      <c r="W9" s="115"/>
      <c r="X9" s="115"/>
      <c r="Y9" s="115"/>
      <c r="Z9" s="115"/>
      <c r="AA9" s="115"/>
      <c r="AB9" s="331"/>
    </row>
    <row r="10" spans="1:30" ht="39">
      <c r="C10" s="12"/>
      <c r="D10" s="110"/>
      <c r="E10" s="6"/>
      <c r="F10" s="3"/>
      <c r="G10" s="75"/>
      <c r="H10" s="3"/>
      <c r="I10" s="247"/>
      <c r="J10" s="3"/>
      <c r="K10" s="167"/>
      <c r="L10" s="3"/>
      <c r="M10" s="38" t="s">
        <v>220</v>
      </c>
      <c r="N10" s="771">
        <f>$K$7*IF('Step6-Hg products-substances'!$E$7=yes,'Step6-Hg products-substances'!H13/100,'Default Controls'!$D$56/100)</f>
        <v>0</v>
      </c>
      <c r="O10" s="3" t="s">
        <v>36</v>
      </c>
      <c r="P10" s="130"/>
      <c r="Q10" s="130">
        <v>0.02</v>
      </c>
      <c r="R10" s="130"/>
      <c r="S10" s="130">
        <v>0.06</v>
      </c>
      <c r="T10" s="130">
        <v>0.25</v>
      </c>
      <c r="U10" s="130">
        <v>0.25</v>
      </c>
      <c r="V10" s="115">
        <f t="shared" ref="V10:AA11" si="2">$N10*P10</f>
        <v>0</v>
      </c>
      <c r="W10" s="115">
        <f t="shared" si="2"/>
        <v>0</v>
      </c>
      <c r="X10" s="115">
        <f t="shared" si="2"/>
        <v>0</v>
      </c>
      <c r="Y10" s="115">
        <f t="shared" si="2"/>
        <v>0</v>
      </c>
      <c r="Z10" s="115">
        <f t="shared" si="2"/>
        <v>0</v>
      </c>
      <c r="AA10" s="115">
        <f t="shared" si="2"/>
        <v>0</v>
      </c>
      <c r="AB10" s="331"/>
    </row>
    <row r="11" spans="1:30" ht="26">
      <c r="C11" s="12"/>
      <c r="D11" s="110"/>
      <c r="E11" s="6"/>
      <c r="F11" s="3"/>
      <c r="G11" s="75"/>
      <c r="H11" s="3"/>
      <c r="I11" s="247"/>
      <c r="J11" s="3"/>
      <c r="K11" s="167"/>
      <c r="L11" s="3"/>
      <c r="M11" s="38" t="s">
        <v>221</v>
      </c>
      <c r="N11" s="771">
        <f>$K$7*IF('Step6-Hg products-substances'!$E$7=yes,'Step6-Hg products-substances'!$G$13/100,'Default Controls'!$C$56/100)</f>
        <v>0</v>
      </c>
      <c r="O11" s="3" t="s">
        <v>36</v>
      </c>
      <c r="P11" s="130"/>
      <c r="Q11" s="130">
        <v>0.28000000000000003</v>
      </c>
      <c r="R11" s="130">
        <v>0.08</v>
      </c>
      <c r="S11" s="130">
        <v>0.06</v>
      </c>
      <c r="T11" s="130">
        <v>0.08</v>
      </c>
      <c r="U11" s="130">
        <v>0.08</v>
      </c>
      <c r="V11" s="115">
        <f t="shared" si="2"/>
        <v>0</v>
      </c>
      <c r="W11" s="115">
        <f t="shared" si="2"/>
        <v>0</v>
      </c>
      <c r="X11" s="115">
        <f t="shared" si="2"/>
        <v>0</v>
      </c>
      <c r="Y11" s="115">
        <f t="shared" si="2"/>
        <v>0</v>
      </c>
      <c r="Z11" s="115">
        <f t="shared" si="2"/>
        <v>0</v>
      </c>
      <c r="AA11" s="115">
        <f t="shared" si="2"/>
        <v>0</v>
      </c>
      <c r="AB11" s="331"/>
    </row>
    <row r="12" spans="1:30" s="55" customFormat="1" ht="13">
      <c r="C12" s="160"/>
      <c r="D12" s="75"/>
      <c r="E12" s="105"/>
      <c r="F12" s="103"/>
      <c r="G12" s="75"/>
      <c r="H12" s="103"/>
      <c r="I12" s="247"/>
      <c r="K12" s="114"/>
      <c r="L12" s="103"/>
      <c r="M12" s="161"/>
      <c r="N12" s="247"/>
      <c r="O12" s="103"/>
      <c r="P12" s="166"/>
      <c r="Q12" s="166"/>
      <c r="R12" s="166"/>
      <c r="S12" s="166"/>
      <c r="T12" s="166"/>
      <c r="U12" s="169"/>
      <c r="V12" s="115"/>
      <c r="W12" s="115"/>
      <c r="X12" s="115"/>
      <c r="Y12" s="115"/>
      <c r="Z12" s="115"/>
      <c r="AA12" s="115"/>
      <c r="AB12" s="75"/>
    </row>
    <row r="13" spans="1:30" ht="26">
      <c r="B13" s="3" t="s">
        <v>225</v>
      </c>
      <c r="C13" s="26" t="s">
        <v>226</v>
      </c>
      <c r="D13" s="110"/>
      <c r="E13" s="3"/>
      <c r="F13" s="3"/>
      <c r="G13" s="75"/>
      <c r="H13" s="3"/>
      <c r="I13" s="247"/>
      <c r="K13" s="113"/>
      <c r="L13" s="3"/>
      <c r="M13" s="33"/>
      <c r="N13" s="247"/>
      <c r="O13" s="3"/>
      <c r="P13" s="75"/>
      <c r="Q13" s="75"/>
      <c r="R13" s="75"/>
      <c r="S13" s="75"/>
      <c r="T13" s="75"/>
      <c r="U13" s="75"/>
      <c r="V13" s="113">
        <f t="shared" ref="V13:AA13" si="3">SUM(V14+V15+V24)</f>
        <v>0</v>
      </c>
      <c r="W13" s="113">
        <f t="shared" si="3"/>
        <v>0</v>
      </c>
      <c r="X13" s="113">
        <f t="shared" si="3"/>
        <v>0</v>
      </c>
      <c r="Y13" s="113">
        <f t="shared" si="3"/>
        <v>0</v>
      </c>
      <c r="Z13" s="113">
        <f t="shared" si="3"/>
        <v>0</v>
      </c>
      <c r="AA13" s="113">
        <f t="shared" si="3"/>
        <v>0</v>
      </c>
      <c r="AB13" s="75"/>
      <c r="AC13" s="25"/>
      <c r="AD13" s="3"/>
    </row>
    <row r="14" spans="1:30" ht="13">
      <c r="B14" s="3"/>
      <c r="C14" s="26" t="s">
        <v>449</v>
      </c>
      <c r="D14" s="110"/>
      <c r="E14" s="3"/>
      <c r="F14" s="3"/>
      <c r="G14" s="75">
        <v>1</v>
      </c>
      <c r="H14" s="36"/>
      <c r="I14" s="247">
        <f>'Step4-Industrial Hg use'!C14</f>
        <v>0</v>
      </c>
      <c r="J14" s="8" t="s">
        <v>451</v>
      </c>
      <c r="K14" s="167">
        <f>I14*G14</f>
        <v>0</v>
      </c>
      <c r="L14" s="3"/>
      <c r="M14" s="33"/>
      <c r="N14" s="247">
        <f>K14</f>
        <v>0</v>
      </c>
      <c r="O14" s="3" t="s">
        <v>36</v>
      </c>
      <c r="P14" s="296">
        <v>0.01</v>
      </c>
      <c r="Q14" s="296">
        <v>5.0000000000000001E-3</v>
      </c>
      <c r="R14" s="296">
        <v>0.1</v>
      </c>
      <c r="S14" s="296"/>
      <c r="T14" s="296">
        <v>0.1</v>
      </c>
      <c r="U14" s="296">
        <v>0.01</v>
      </c>
      <c r="V14" s="115">
        <f t="shared" ref="V14:AA14" si="4">$N14*P14</f>
        <v>0</v>
      </c>
      <c r="W14" s="115">
        <f t="shared" si="4"/>
        <v>0</v>
      </c>
      <c r="X14" s="115">
        <f t="shared" si="4"/>
        <v>0</v>
      </c>
      <c r="Y14" s="115">
        <f t="shared" si="4"/>
        <v>0</v>
      </c>
      <c r="Z14" s="115">
        <f t="shared" si="4"/>
        <v>0</v>
      </c>
      <c r="AA14" s="115">
        <f t="shared" si="4"/>
        <v>0</v>
      </c>
      <c r="AB14" s="75"/>
      <c r="AC14" s="25"/>
      <c r="AD14" s="3"/>
    </row>
    <row r="15" spans="1:30" ht="13">
      <c r="B15" s="3"/>
      <c r="C15" s="68" t="s">
        <v>251</v>
      </c>
      <c r="D15" s="110"/>
      <c r="E15" s="36" t="s">
        <v>460</v>
      </c>
      <c r="F15" s="3" t="s">
        <v>110</v>
      </c>
      <c r="G15" s="75">
        <v>80</v>
      </c>
      <c r="H15" s="3" t="s">
        <v>110</v>
      </c>
      <c r="I15" s="247">
        <f>'Step6-Hg products-substances'!C40</f>
        <v>0</v>
      </c>
      <c r="J15" t="s">
        <v>271</v>
      </c>
      <c r="K15" s="114">
        <f>G15*I15/1000</f>
        <v>0</v>
      </c>
      <c r="L15" s="3" t="s">
        <v>36</v>
      </c>
      <c r="M15" s="16" t="s">
        <v>100</v>
      </c>
      <c r="N15" s="247"/>
      <c r="O15" s="3"/>
      <c r="P15" s="296"/>
      <c r="Q15" s="296"/>
      <c r="R15" s="296"/>
      <c r="S15" s="296"/>
      <c r="T15" s="296"/>
      <c r="U15" s="283"/>
      <c r="V15" s="309">
        <f t="shared" ref="V15:AA15" si="5">SUM(V16:V18)</f>
        <v>0</v>
      </c>
      <c r="W15" s="309">
        <f t="shared" si="5"/>
        <v>0</v>
      </c>
      <c r="X15" s="309">
        <f t="shared" si="5"/>
        <v>0</v>
      </c>
      <c r="Y15" s="309">
        <f t="shared" si="5"/>
        <v>0</v>
      </c>
      <c r="Z15" s="309">
        <f t="shared" si="5"/>
        <v>0</v>
      </c>
      <c r="AA15" s="309">
        <f t="shared" si="5"/>
        <v>0</v>
      </c>
      <c r="AB15" s="75"/>
      <c r="AC15" s="25"/>
      <c r="AD15" s="3"/>
    </row>
    <row r="16" spans="1:30" ht="26">
      <c r="B16" s="3"/>
      <c r="C16" s="68"/>
      <c r="D16" s="110"/>
      <c r="E16" s="3"/>
      <c r="F16" s="3"/>
      <c r="G16" s="75"/>
      <c r="H16" s="3"/>
      <c r="I16" s="247"/>
      <c r="K16" s="114"/>
      <c r="L16" s="3"/>
      <c r="M16" s="15" t="s">
        <v>97</v>
      </c>
      <c r="N16" s="321">
        <f>IF(AND('Step5-Waste treatment+recycling'!$B$4=yes,'Step5-Waste treatment+recycling'!$E$4=no),K15,0)</f>
        <v>0</v>
      </c>
      <c r="O16" s="3" t="s">
        <v>36</v>
      </c>
      <c r="P16" s="296">
        <v>0.1</v>
      </c>
      <c r="Q16" s="296">
        <v>0.3</v>
      </c>
      <c r="R16" s="296"/>
      <c r="S16" s="296"/>
      <c r="T16" s="296">
        <v>0.6</v>
      </c>
      <c r="U16" s="296"/>
      <c r="V16" s="115">
        <f t="shared" ref="V16:AA18" si="6">$N16*P16</f>
        <v>0</v>
      </c>
      <c r="W16" s="115">
        <f t="shared" si="6"/>
        <v>0</v>
      </c>
      <c r="X16" s="115">
        <f t="shared" si="6"/>
        <v>0</v>
      </c>
      <c r="Y16" s="115">
        <f t="shared" si="6"/>
        <v>0</v>
      </c>
      <c r="Z16" s="115">
        <f t="shared" si="6"/>
        <v>0</v>
      </c>
      <c r="AA16" s="115">
        <f t="shared" si="6"/>
        <v>0</v>
      </c>
      <c r="AB16" s="75"/>
      <c r="AC16" s="25"/>
      <c r="AD16" s="3"/>
    </row>
    <row r="17" spans="2:30" ht="26">
      <c r="B17" s="3"/>
      <c r="C17" s="68"/>
      <c r="D17" s="110"/>
      <c r="E17" s="3"/>
      <c r="F17" s="3"/>
      <c r="G17" s="75"/>
      <c r="H17" s="3"/>
      <c r="I17" s="247"/>
      <c r="K17" s="114"/>
      <c r="L17" s="3"/>
      <c r="M17" s="15" t="s">
        <v>112</v>
      </c>
      <c r="N17" s="321">
        <f>IF(AND('Step5-Waste treatment+recycling'!$B$4=no,OR('Step5-Waste treatment+recycling'!$E$4=no,'Step5-Waste treatment+recycling'!$E$4=yes,'Step5-Waste treatment+recycling'!$E$4="")),K15,0)</f>
        <v>0</v>
      </c>
      <c r="O17" s="3" t="s">
        <v>36</v>
      </c>
      <c r="P17" s="296">
        <v>0.2</v>
      </c>
      <c r="Q17" s="296">
        <v>0.3</v>
      </c>
      <c r="R17" s="296">
        <v>0.2</v>
      </c>
      <c r="S17" s="296"/>
      <c r="T17" s="296">
        <v>0.3</v>
      </c>
      <c r="U17" s="296"/>
      <c r="V17" s="115">
        <f t="shared" si="6"/>
        <v>0</v>
      </c>
      <c r="W17" s="115">
        <f t="shared" si="6"/>
        <v>0</v>
      </c>
      <c r="X17" s="115">
        <f t="shared" si="6"/>
        <v>0</v>
      </c>
      <c r="Y17" s="115">
        <f t="shared" si="6"/>
        <v>0</v>
      </c>
      <c r="Z17" s="115">
        <f t="shared" si="6"/>
        <v>0</v>
      </c>
      <c r="AA17" s="115">
        <f t="shared" si="6"/>
        <v>0</v>
      </c>
      <c r="AB17" s="75"/>
      <c r="AC17" s="25"/>
      <c r="AD17" s="3"/>
    </row>
    <row r="18" spans="2:30" ht="26">
      <c r="B18" s="3"/>
      <c r="C18" s="68"/>
      <c r="D18" s="110"/>
      <c r="E18" s="3"/>
      <c r="F18" s="3"/>
      <c r="G18" s="75"/>
      <c r="H18" s="3"/>
      <c r="I18" s="247"/>
      <c r="K18" s="114"/>
      <c r="L18" s="3"/>
      <c r="M18" s="15" t="s">
        <v>98</v>
      </c>
      <c r="N18" s="321">
        <f>IF(AND('Step5-Waste treatment+recycling'!$B$4=yes,'Step5-Waste treatment+recycling'!$E$4=yes),K15,0)</f>
        <v>0</v>
      </c>
      <c r="O18" s="3" t="s">
        <v>36</v>
      </c>
      <c r="P18" s="296">
        <v>0.1</v>
      </c>
      <c r="Q18" s="296">
        <v>0.3</v>
      </c>
      <c r="R18" s="296"/>
      <c r="S18" s="296"/>
      <c r="T18" s="296">
        <v>0.3</v>
      </c>
      <c r="U18" s="296">
        <v>0.3</v>
      </c>
      <c r="V18" s="115">
        <f t="shared" si="6"/>
        <v>0</v>
      </c>
      <c r="W18" s="115">
        <f t="shared" si="6"/>
        <v>0</v>
      </c>
      <c r="X18" s="115">
        <f t="shared" si="6"/>
        <v>0</v>
      </c>
      <c r="Y18" s="115">
        <f t="shared" si="6"/>
        <v>0</v>
      </c>
      <c r="Z18" s="115">
        <f t="shared" si="6"/>
        <v>0</v>
      </c>
      <c r="AA18" s="115">
        <f t="shared" si="6"/>
        <v>0</v>
      </c>
      <c r="AB18" s="75"/>
      <c r="AC18" s="25"/>
      <c r="AD18" s="3"/>
    </row>
    <row r="19" spans="2:30" ht="13">
      <c r="B19" s="3"/>
      <c r="C19" s="68"/>
      <c r="D19" s="110"/>
      <c r="E19" s="3"/>
      <c r="F19" s="3"/>
      <c r="G19" s="75"/>
      <c r="H19" s="3"/>
      <c r="I19" s="247"/>
      <c r="K19" s="114"/>
      <c r="L19" s="3"/>
      <c r="M19" s="33"/>
      <c r="N19" s="247"/>
      <c r="O19" s="3"/>
      <c r="P19" s="296"/>
      <c r="Q19" s="296"/>
      <c r="R19" s="296"/>
      <c r="S19" s="296"/>
      <c r="T19" s="296"/>
      <c r="U19" s="283"/>
      <c r="V19" s="309"/>
      <c r="W19" s="309"/>
      <c r="X19" s="309"/>
      <c r="Y19" s="309"/>
      <c r="Z19" s="309"/>
      <c r="AA19" s="309"/>
      <c r="AB19" s="75"/>
      <c r="AC19" s="25"/>
      <c r="AD19" s="3"/>
    </row>
    <row r="20" spans="2:30" ht="13">
      <c r="B20" s="3"/>
      <c r="C20" s="68"/>
      <c r="D20" s="110"/>
      <c r="E20" s="3"/>
      <c r="F20" s="3"/>
      <c r="G20" s="75"/>
      <c r="H20" s="3"/>
      <c r="I20" s="247"/>
      <c r="K20" s="114"/>
      <c r="L20" s="3"/>
      <c r="M20" s="33"/>
      <c r="N20" s="247"/>
      <c r="O20" s="3"/>
      <c r="P20" s="296"/>
      <c r="Q20" s="296"/>
      <c r="R20" s="296"/>
      <c r="S20" s="296"/>
      <c r="T20" s="296"/>
      <c r="U20" s="283"/>
      <c r="V20" s="309"/>
      <c r="W20" s="309"/>
      <c r="X20" s="309"/>
      <c r="Y20" s="309"/>
      <c r="Z20" s="309"/>
      <c r="AA20" s="309"/>
      <c r="AB20" s="75"/>
      <c r="AC20" s="25"/>
      <c r="AD20" s="3"/>
    </row>
    <row r="21" spans="2:30" ht="13">
      <c r="B21" s="3"/>
      <c r="C21" s="68"/>
      <c r="D21" s="110"/>
      <c r="E21" s="3"/>
      <c r="F21" s="3"/>
      <c r="G21" s="75"/>
      <c r="H21" s="3"/>
      <c r="I21" s="247"/>
      <c r="K21" s="114"/>
      <c r="L21" s="3"/>
      <c r="M21" s="33"/>
      <c r="N21" s="247"/>
      <c r="O21" s="3"/>
      <c r="P21" s="296"/>
      <c r="Q21" s="296"/>
      <c r="R21" s="296"/>
      <c r="S21" s="296"/>
      <c r="T21" s="296"/>
      <c r="U21" s="283"/>
      <c r="V21" s="309"/>
      <c r="W21" s="309"/>
      <c r="X21" s="309"/>
      <c r="Y21" s="309"/>
      <c r="Z21" s="309"/>
      <c r="AA21" s="309"/>
      <c r="AB21" s="75"/>
      <c r="AC21" s="25"/>
      <c r="AD21" s="3"/>
    </row>
    <row r="22" spans="2:30" ht="13">
      <c r="B22" s="3"/>
      <c r="C22" s="68"/>
      <c r="D22" s="110"/>
      <c r="E22" s="3"/>
      <c r="F22" s="3"/>
      <c r="G22" s="75"/>
      <c r="H22" s="3"/>
      <c r="I22" s="247"/>
      <c r="K22" s="114"/>
      <c r="L22" s="3"/>
      <c r="M22" s="33"/>
      <c r="N22" s="247"/>
      <c r="O22" s="3"/>
      <c r="P22" s="296"/>
      <c r="Q22" s="296"/>
      <c r="R22" s="296"/>
      <c r="S22" s="296"/>
      <c r="T22" s="296"/>
      <c r="U22" s="283"/>
      <c r="V22" s="309"/>
      <c r="W22" s="309"/>
      <c r="X22" s="309"/>
      <c r="Y22" s="309"/>
      <c r="Z22" s="309"/>
      <c r="AA22" s="309"/>
      <c r="AB22" s="75"/>
      <c r="AC22" s="25"/>
      <c r="AD22" s="3"/>
    </row>
    <row r="23" spans="2:30" ht="13">
      <c r="B23" s="3"/>
      <c r="C23" s="68"/>
      <c r="D23" s="110"/>
      <c r="E23" s="3"/>
      <c r="F23" s="3"/>
      <c r="G23" s="75"/>
      <c r="H23" s="3"/>
      <c r="I23" s="247"/>
      <c r="K23" s="114"/>
      <c r="L23" s="3"/>
      <c r="M23" s="33"/>
      <c r="N23" s="247"/>
      <c r="O23" s="3"/>
      <c r="P23" s="296"/>
      <c r="Q23" s="296"/>
      <c r="R23" s="296"/>
      <c r="S23" s="296"/>
      <c r="T23" s="296"/>
      <c r="U23" s="283"/>
      <c r="V23" s="309"/>
      <c r="W23" s="309"/>
      <c r="X23" s="309"/>
      <c r="Y23" s="309"/>
      <c r="Z23" s="309"/>
      <c r="AA23" s="309"/>
      <c r="AB23" s="75"/>
      <c r="AC23" s="25"/>
      <c r="AD23" s="3"/>
    </row>
    <row r="24" spans="2:30" ht="26">
      <c r="B24" s="3"/>
      <c r="C24" s="311" t="s">
        <v>520</v>
      </c>
      <c r="D24" s="312"/>
      <c r="E24" s="313" t="s">
        <v>519</v>
      </c>
      <c r="F24" s="313" t="s">
        <v>110</v>
      </c>
      <c r="G24" s="314">
        <v>5.0000000000000001E-3</v>
      </c>
      <c r="H24" s="313" t="s">
        <v>464</v>
      </c>
      <c r="I24" s="315">
        <f>'Step6-Hg products-substances'!C42</f>
        <v>0</v>
      </c>
      <c r="J24" s="313" t="s">
        <v>117</v>
      </c>
      <c r="K24" s="513">
        <f>(I24*G24/1000)*'Step6-Hg products-substances'!$C$43/100</f>
        <v>0</v>
      </c>
      <c r="L24" s="313" t="s">
        <v>36</v>
      </c>
      <c r="M24" s="16" t="s">
        <v>100</v>
      </c>
      <c r="N24" s="247"/>
      <c r="O24" s="3"/>
      <c r="P24" s="296"/>
      <c r="Q24" s="296"/>
      <c r="R24" s="296"/>
      <c r="S24" s="296"/>
      <c r="T24" s="296"/>
      <c r="U24" s="283"/>
      <c r="V24" s="309">
        <f t="shared" ref="V24:AA24" si="7">SUM(V25:V27)</f>
        <v>0</v>
      </c>
      <c r="W24" s="309">
        <f t="shared" si="7"/>
        <v>0</v>
      </c>
      <c r="X24" s="309">
        <f t="shared" si="7"/>
        <v>0</v>
      </c>
      <c r="Y24" s="309">
        <f t="shared" si="7"/>
        <v>0</v>
      </c>
      <c r="Z24" s="309">
        <f t="shared" si="7"/>
        <v>0</v>
      </c>
      <c r="AA24" s="309">
        <f t="shared" si="7"/>
        <v>0</v>
      </c>
      <c r="AB24" s="75"/>
      <c r="AC24" s="25"/>
      <c r="AD24" s="3"/>
    </row>
    <row r="25" spans="2:30" ht="26">
      <c r="B25" s="3"/>
      <c r="C25" s="68" t="s">
        <v>252</v>
      </c>
      <c r="D25" s="110"/>
      <c r="E25" s="3" t="s">
        <v>43</v>
      </c>
      <c r="F25" s="3" t="s">
        <v>110</v>
      </c>
      <c r="G25" s="75" t="s">
        <v>43</v>
      </c>
      <c r="H25" s="3" t="s">
        <v>110</v>
      </c>
      <c r="I25" s="247"/>
      <c r="J25" t="s">
        <v>271</v>
      </c>
      <c r="K25" s="114" t="e">
        <f t="shared" ref="K25:K32" si="8">G25*I25/1000</f>
        <v>#VALUE!</v>
      </c>
      <c r="L25" s="3" t="s">
        <v>36</v>
      </c>
      <c r="M25" s="15" t="s">
        <v>97</v>
      </c>
      <c r="N25" s="321">
        <f>IF(AND('Step5-Waste treatment+recycling'!$B$4=yes,'Step5-Waste treatment+recycling'!$E$4=no),K24,0)</f>
        <v>0</v>
      </c>
      <c r="O25" s="3" t="s">
        <v>36</v>
      </c>
      <c r="P25" s="296">
        <v>0.1</v>
      </c>
      <c r="Q25" s="296">
        <v>0.3</v>
      </c>
      <c r="R25" s="296"/>
      <c r="S25" s="296"/>
      <c r="T25" s="296">
        <v>0.6</v>
      </c>
      <c r="U25" s="296"/>
      <c r="V25" s="115">
        <f t="shared" ref="V25:V32" si="9">$N25*P25</f>
        <v>0</v>
      </c>
      <c r="W25" s="115">
        <f t="shared" ref="W25:W32" si="10">$N25*Q25</f>
        <v>0</v>
      </c>
      <c r="X25" s="115">
        <f t="shared" ref="X25:X32" si="11">$N25*R25</f>
        <v>0</v>
      </c>
      <c r="Y25" s="115">
        <f t="shared" ref="Y25:Y32" si="12">$N25*S25</f>
        <v>0</v>
      </c>
      <c r="Z25" s="115">
        <f t="shared" ref="Z25:Z32" si="13">$N25*T25</f>
        <v>0</v>
      </c>
      <c r="AA25" s="115">
        <f t="shared" ref="AA25:AA32" si="14">$N25*U25</f>
        <v>0</v>
      </c>
      <c r="AB25" s="75"/>
      <c r="AC25" s="25"/>
      <c r="AD25" s="3"/>
    </row>
    <row r="26" spans="2:30" ht="26">
      <c r="B26" s="3"/>
      <c r="C26" s="68" t="s">
        <v>253</v>
      </c>
      <c r="D26" s="110"/>
      <c r="E26" s="3" t="s">
        <v>43</v>
      </c>
      <c r="F26" s="3" t="s">
        <v>110</v>
      </c>
      <c r="G26" s="75" t="s">
        <v>43</v>
      </c>
      <c r="H26" s="3" t="s">
        <v>110</v>
      </c>
      <c r="I26" s="247"/>
      <c r="J26" t="s">
        <v>271</v>
      </c>
      <c r="K26" s="114" t="e">
        <f t="shared" si="8"/>
        <v>#VALUE!</v>
      </c>
      <c r="L26" s="3" t="s">
        <v>36</v>
      </c>
      <c r="M26" s="15" t="s">
        <v>112</v>
      </c>
      <c r="N26" s="321">
        <f>IF(AND('Step5-Waste treatment+recycling'!$B$4=no,OR('Step5-Waste treatment+recycling'!$E$4=no,'Step5-Waste treatment+recycling'!$E$4=yes,'Step5-Waste treatment+recycling'!$E$4="")),K24,0)</f>
        <v>0</v>
      </c>
      <c r="O26" s="3" t="s">
        <v>36</v>
      </c>
      <c r="P26" s="296">
        <v>0.2</v>
      </c>
      <c r="Q26" s="296">
        <v>0.3</v>
      </c>
      <c r="R26" s="296">
        <v>0.2</v>
      </c>
      <c r="S26" s="296"/>
      <c r="T26" s="296">
        <v>0.3</v>
      </c>
      <c r="U26" s="296"/>
      <c r="V26" s="115">
        <f t="shared" si="9"/>
        <v>0</v>
      </c>
      <c r="W26" s="115">
        <f t="shared" si="10"/>
        <v>0</v>
      </c>
      <c r="X26" s="115">
        <f t="shared" si="11"/>
        <v>0</v>
      </c>
      <c r="Y26" s="115">
        <f t="shared" si="12"/>
        <v>0</v>
      </c>
      <c r="Z26" s="115">
        <f t="shared" si="13"/>
        <v>0</v>
      </c>
      <c r="AA26" s="115">
        <f t="shared" si="14"/>
        <v>0</v>
      </c>
      <c r="AB26" s="75"/>
      <c r="AC26" s="25"/>
      <c r="AD26" s="3"/>
    </row>
    <row r="27" spans="2:30" ht="26">
      <c r="B27" s="3"/>
      <c r="C27" s="68" t="s">
        <v>254</v>
      </c>
      <c r="D27" s="110"/>
      <c r="E27" s="3" t="s">
        <v>43</v>
      </c>
      <c r="F27" s="3" t="s">
        <v>110</v>
      </c>
      <c r="G27" s="75" t="s">
        <v>43</v>
      </c>
      <c r="H27" s="3" t="s">
        <v>110</v>
      </c>
      <c r="I27" s="247"/>
      <c r="J27" t="s">
        <v>271</v>
      </c>
      <c r="K27" s="114" t="e">
        <f t="shared" si="8"/>
        <v>#VALUE!</v>
      </c>
      <c r="L27" s="3" t="s">
        <v>36</v>
      </c>
      <c r="M27" s="15" t="s">
        <v>98</v>
      </c>
      <c r="N27" s="321">
        <f>IF(AND('Step5-Waste treatment+recycling'!$B$4=yes,'Step5-Waste treatment+recycling'!$E$4=yes),K24,0)</f>
        <v>0</v>
      </c>
      <c r="O27" s="3" t="s">
        <v>36</v>
      </c>
      <c r="P27" s="296">
        <v>0.1</v>
      </c>
      <c r="Q27" s="296">
        <v>0.3</v>
      </c>
      <c r="R27" s="296"/>
      <c r="S27" s="296"/>
      <c r="T27" s="296">
        <v>0.3</v>
      </c>
      <c r="U27" s="296">
        <v>0.3</v>
      </c>
      <c r="V27" s="115">
        <f t="shared" si="9"/>
        <v>0</v>
      </c>
      <c r="W27" s="115">
        <f t="shared" si="10"/>
        <v>0</v>
      </c>
      <c r="X27" s="115">
        <f t="shared" si="11"/>
        <v>0</v>
      </c>
      <c r="Y27" s="115">
        <f t="shared" si="12"/>
        <v>0</v>
      </c>
      <c r="Z27" s="115">
        <f t="shared" si="13"/>
        <v>0</v>
      </c>
      <c r="AA27" s="115">
        <f t="shared" si="14"/>
        <v>0</v>
      </c>
      <c r="AB27" s="75"/>
      <c r="AC27" s="25"/>
      <c r="AD27" s="3"/>
    </row>
    <row r="28" spans="2:30" ht="26">
      <c r="B28" s="3"/>
      <c r="C28" s="68" t="s">
        <v>255</v>
      </c>
      <c r="D28" s="110"/>
      <c r="E28" s="3" t="s">
        <v>43</v>
      </c>
      <c r="F28" s="3" t="s">
        <v>110</v>
      </c>
      <c r="G28" s="75" t="s">
        <v>43</v>
      </c>
      <c r="H28" s="3" t="s">
        <v>110</v>
      </c>
      <c r="I28" s="247"/>
      <c r="J28" t="s">
        <v>271</v>
      </c>
      <c r="K28" s="114" t="e">
        <f t="shared" si="8"/>
        <v>#VALUE!</v>
      </c>
      <c r="L28" s="3" t="s">
        <v>36</v>
      </c>
      <c r="M28" s="33"/>
      <c r="N28" s="247"/>
      <c r="O28" s="3" t="s">
        <v>36</v>
      </c>
      <c r="P28" s="75"/>
      <c r="Q28" s="75"/>
      <c r="R28" s="75"/>
      <c r="S28" s="178"/>
      <c r="T28" s="75"/>
      <c r="U28" s="75"/>
      <c r="V28" s="115">
        <f t="shared" si="9"/>
        <v>0</v>
      </c>
      <c r="W28" s="115">
        <f t="shared" si="10"/>
        <v>0</v>
      </c>
      <c r="X28" s="115">
        <f t="shared" si="11"/>
        <v>0</v>
      </c>
      <c r="Y28" s="115">
        <f t="shared" si="12"/>
        <v>0</v>
      </c>
      <c r="Z28" s="115">
        <f t="shared" si="13"/>
        <v>0</v>
      </c>
      <c r="AA28" s="115">
        <f t="shared" si="14"/>
        <v>0</v>
      </c>
      <c r="AB28" s="75"/>
      <c r="AC28" s="25"/>
      <c r="AD28" s="3"/>
    </row>
    <row r="29" spans="2:30" ht="13">
      <c r="B29" s="3"/>
      <c r="C29" s="68" t="s">
        <v>256</v>
      </c>
      <c r="D29" s="110"/>
      <c r="E29" s="3" t="s">
        <v>43</v>
      </c>
      <c r="F29" s="3" t="s">
        <v>110</v>
      </c>
      <c r="G29" s="75" t="s">
        <v>43</v>
      </c>
      <c r="H29" s="3" t="s">
        <v>110</v>
      </c>
      <c r="I29" s="247"/>
      <c r="J29" t="s">
        <v>271</v>
      </c>
      <c r="K29" s="114" t="e">
        <f t="shared" si="8"/>
        <v>#VALUE!</v>
      </c>
      <c r="L29" s="3" t="s">
        <v>36</v>
      </c>
      <c r="M29" s="33"/>
      <c r="N29" s="247"/>
      <c r="O29" s="3" t="s">
        <v>36</v>
      </c>
      <c r="P29" s="75"/>
      <c r="Q29" s="75"/>
      <c r="R29" s="75"/>
      <c r="S29" s="178"/>
      <c r="T29" s="75"/>
      <c r="U29" s="75"/>
      <c r="V29" s="115">
        <f t="shared" si="9"/>
        <v>0</v>
      </c>
      <c r="W29" s="115">
        <f t="shared" si="10"/>
        <v>0</v>
      </c>
      <c r="X29" s="115">
        <f t="shared" si="11"/>
        <v>0</v>
      </c>
      <c r="Y29" s="115">
        <f t="shared" si="12"/>
        <v>0</v>
      </c>
      <c r="Z29" s="115">
        <f t="shared" si="13"/>
        <v>0</v>
      </c>
      <c r="AA29" s="115">
        <f t="shared" si="14"/>
        <v>0</v>
      </c>
      <c r="AB29" s="75"/>
      <c r="AC29" s="25"/>
      <c r="AD29" s="3"/>
    </row>
    <row r="30" spans="2:30" ht="13">
      <c r="B30" s="3"/>
      <c r="C30" s="68" t="s">
        <v>257</v>
      </c>
      <c r="D30" s="110"/>
      <c r="E30" s="3" t="s">
        <v>43</v>
      </c>
      <c r="F30" s="3" t="s">
        <v>110</v>
      </c>
      <c r="G30" s="75" t="s">
        <v>43</v>
      </c>
      <c r="H30" s="3" t="s">
        <v>110</v>
      </c>
      <c r="I30" s="247"/>
      <c r="J30" t="s">
        <v>271</v>
      </c>
      <c r="K30" s="114" t="e">
        <f t="shared" si="8"/>
        <v>#VALUE!</v>
      </c>
      <c r="L30" s="3" t="s">
        <v>36</v>
      </c>
      <c r="M30" s="33"/>
      <c r="N30" s="247"/>
      <c r="O30" s="3" t="s">
        <v>36</v>
      </c>
      <c r="P30" s="75"/>
      <c r="Q30" s="75"/>
      <c r="R30" s="75"/>
      <c r="S30" s="178"/>
      <c r="T30" s="75"/>
      <c r="U30" s="75"/>
      <c r="V30" s="115">
        <f t="shared" si="9"/>
        <v>0</v>
      </c>
      <c r="W30" s="115">
        <f t="shared" si="10"/>
        <v>0</v>
      </c>
      <c r="X30" s="115">
        <f t="shared" si="11"/>
        <v>0</v>
      </c>
      <c r="Y30" s="115">
        <f t="shared" si="12"/>
        <v>0</v>
      </c>
      <c r="Z30" s="115">
        <f t="shared" si="13"/>
        <v>0</v>
      </c>
      <c r="AA30" s="115">
        <f t="shared" si="14"/>
        <v>0</v>
      </c>
      <c r="AB30" s="75"/>
      <c r="AC30" s="25"/>
      <c r="AD30" s="3"/>
    </row>
    <row r="31" spans="2:30" ht="13">
      <c r="B31" s="3"/>
      <c r="C31" s="68" t="s">
        <v>258</v>
      </c>
      <c r="D31" s="110"/>
      <c r="E31" s="3" t="s">
        <v>43</v>
      </c>
      <c r="F31" s="3" t="s">
        <v>110</v>
      </c>
      <c r="G31" s="75" t="s">
        <v>43</v>
      </c>
      <c r="H31" s="3" t="s">
        <v>110</v>
      </c>
      <c r="I31" s="247"/>
      <c r="J31" t="s">
        <v>271</v>
      </c>
      <c r="K31" s="114" t="e">
        <f t="shared" si="8"/>
        <v>#VALUE!</v>
      </c>
      <c r="L31" s="3" t="s">
        <v>36</v>
      </c>
      <c r="M31" s="33"/>
      <c r="N31" s="247"/>
      <c r="O31" s="3" t="s">
        <v>36</v>
      </c>
      <c r="P31" s="75"/>
      <c r="Q31" s="75"/>
      <c r="R31" s="75"/>
      <c r="S31" s="178"/>
      <c r="T31" s="75"/>
      <c r="U31" s="75"/>
      <c r="V31" s="115">
        <f t="shared" si="9"/>
        <v>0</v>
      </c>
      <c r="W31" s="115">
        <f t="shared" si="10"/>
        <v>0</v>
      </c>
      <c r="X31" s="115">
        <f t="shared" si="11"/>
        <v>0</v>
      </c>
      <c r="Y31" s="115">
        <f t="shared" si="12"/>
        <v>0</v>
      </c>
      <c r="Z31" s="115">
        <f t="shared" si="13"/>
        <v>0</v>
      </c>
      <c r="AA31" s="115">
        <f t="shared" si="14"/>
        <v>0</v>
      </c>
      <c r="AB31" s="75"/>
      <c r="AC31" s="25"/>
      <c r="AD31" s="3"/>
    </row>
    <row r="32" spans="2:30" ht="13">
      <c r="B32" s="3"/>
      <c r="C32" s="68" t="s">
        <v>259</v>
      </c>
      <c r="D32" s="110"/>
      <c r="E32" s="3" t="s">
        <v>43</v>
      </c>
      <c r="F32" s="3" t="s">
        <v>110</v>
      </c>
      <c r="G32" s="75" t="s">
        <v>43</v>
      </c>
      <c r="H32" s="3" t="s">
        <v>110</v>
      </c>
      <c r="I32" s="247"/>
      <c r="J32" t="s">
        <v>271</v>
      </c>
      <c r="K32" s="114" t="e">
        <f t="shared" si="8"/>
        <v>#VALUE!</v>
      </c>
      <c r="L32" s="3" t="s">
        <v>36</v>
      </c>
      <c r="M32" s="33"/>
      <c r="N32" s="247"/>
      <c r="O32" s="3" t="s">
        <v>36</v>
      </c>
      <c r="P32" s="75"/>
      <c r="Q32" s="75"/>
      <c r="R32" s="75"/>
      <c r="S32" s="178"/>
      <c r="T32" s="75"/>
      <c r="U32" s="75"/>
      <c r="V32" s="115">
        <f t="shared" si="9"/>
        <v>0</v>
      </c>
      <c r="W32" s="115">
        <f t="shared" si="10"/>
        <v>0</v>
      </c>
      <c r="X32" s="115">
        <f t="shared" si="11"/>
        <v>0</v>
      </c>
      <c r="Y32" s="115">
        <f t="shared" si="12"/>
        <v>0</v>
      </c>
      <c r="Z32" s="115">
        <f t="shared" si="13"/>
        <v>0</v>
      </c>
      <c r="AA32" s="115">
        <f t="shared" si="14"/>
        <v>0</v>
      </c>
      <c r="AB32" s="75"/>
      <c r="AC32" s="25"/>
      <c r="AD32" s="3"/>
    </row>
    <row r="33" spans="1:30" ht="13">
      <c r="B33" s="3"/>
      <c r="C33" s="26"/>
      <c r="D33" s="110"/>
      <c r="E33" s="3"/>
      <c r="F33" s="3"/>
      <c r="G33" s="75"/>
      <c r="H33" s="3"/>
      <c r="I33" s="247"/>
      <c r="K33" s="114"/>
      <c r="L33" s="3"/>
      <c r="M33" s="33"/>
      <c r="N33" s="247"/>
      <c r="O33" s="3"/>
      <c r="P33" s="75"/>
      <c r="Q33" s="75"/>
      <c r="R33" s="75"/>
      <c r="S33" s="75"/>
      <c r="T33" s="75"/>
      <c r="U33" s="75"/>
      <c r="V33" s="113"/>
      <c r="W33" s="113"/>
      <c r="X33" s="113"/>
      <c r="Y33" s="113"/>
      <c r="Z33" s="113"/>
      <c r="AA33" s="113"/>
      <c r="AB33" s="75"/>
      <c r="AC33" s="25"/>
      <c r="AD33" s="3"/>
    </row>
    <row r="34" spans="1:30" s="55" customFormat="1" ht="13">
      <c r="B34" s="103"/>
      <c r="C34" s="136"/>
      <c r="D34" s="110"/>
      <c r="E34" s="103"/>
      <c r="G34" s="75"/>
      <c r="I34" s="246"/>
      <c r="K34" s="58"/>
      <c r="L34" s="103"/>
      <c r="M34" s="173"/>
      <c r="N34" s="247"/>
      <c r="O34" s="103"/>
      <c r="P34" s="169"/>
      <c r="Q34" s="169"/>
      <c r="R34" s="169"/>
      <c r="S34" s="169"/>
      <c r="T34" s="169"/>
      <c r="U34" s="169"/>
      <c r="V34" s="113"/>
      <c r="W34" s="113"/>
      <c r="X34" s="113"/>
      <c r="Y34" s="113"/>
      <c r="Z34" s="113"/>
      <c r="AA34" s="113"/>
      <c r="AB34" s="75"/>
    </row>
    <row r="35" spans="1:30" ht="26">
      <c r="B35" s="3" t="s">
        <v>229</v>
      </c>
      <c r="C35" s="26" t="s">
        <v>228</v>
      </c>
      <c r="D35" s="110"/>
      <c r="E35" s="3"/>
      <c r="F35" s="3"/>
      <c r="G35" s="75"/>
      <c r="H35" s="3"/>
      <c r="I35" s="247"/>
      <c r="K35" s="113"/>
      <c r="L35" s="3"/>
      <c r="M35" s="33"/>
      <c r="N35" s="247"/>
      <c r="O35" s="3"/>
      <c r="P35" s="75"/>
      <c r="Q35" s="75"/>
      <c r="R35" s="75"/>
      <c r="S35" s="75"/>
      <c r="T35" s="75"/>
      <c r="U35" s="75"/>
      <c r="V35" s="113">
        <f t="shared" ref="V35:AA35" si="15">SUM(V39:V49)</f>
        <v>0</v>
      </c>
      <c r="W35" s="113">
        <f t="shared" si="15"/>
        <v>0</v>
      </c>
      <c r="X35" s="113">
        <f t="shared" si="15"/>
        <v>0</v>
      </c>
      <c r="Y35" s="113">
        <f>SUM(Y39:Y49)</f>
        <v>0</v>
      </c>
      <c r="Z35" s="113">
        <f t="shared" si="15"/>
        <v>0</v>
      </c>
      <c r="AA35" s="113">
        <f t="shared" si="15"/>
        <v>0</v>
      </c>
      <c r="AB35" s="75"/>
      <c r="AC35" s="25"/>
      <c r="AD35" s="3"/>
    </row>
    <row r="36" spans="1:30" ht="13">
      <c r="B36" s="3"/>
      <c r="C36" s="26"/>
      <c r="D36" s="110"/>
      <c r="E36" s="3"/>
      <c r="F36" s="3"/>
      <c r="G36" s="75"/>
      <c r="H36" s="3"/>
      <c r="I36" s="247"/>
      <c r="K36" s="113"/>
      <c r="L36" s="3"/>
      <c r="M36" s="33"/>
      <c r="N36" s="247"/>
      <c r="O36" s="3"/>
      <c r="P36" s="75"/>
      <c r="Q36" s="75"/>
      <c r="R36" s="75"/>
      <c r="S36" s="75"/>
      <c r="T36" s="75"/>
      <c r="U36" s="75"/>
      <c r="V36" s="113"/>
      <c r="W36" s="113"/>
      <c r="X36" s="113"/>
      <c r="Y36" s="113"/>
      <c r="Z36" s="113"/>
      <c r="AA36" s="113"/>
      <c r="AB36" s="75"/>
      <c r="AC36" s="25"/>
      <c r="AD36" s="3"/>
    </row>
    <row r="37" spans="1:30" ht="26">
      <c r="A37" s="316"/>
      <c r="B37" s="317"/>
      <c r="C37" s="318" t="s">
        <v>463</v>
      </c>
      <c r="D37" s="319"/>
      <c r="E37" s="317"/>
      <c r="F37" s="317"/>
      <c r="G37" s="320">
        <v>0.01</v>
      </c>
      <c r="H37" s="317"/>
      <c r="I37" s="321">
        <f>'Step6-Hg products-substances'!C42</f>
        <v>0</v>
      </c>
      <c r="J37" s="3" t="s">
        <v>117</v>
      </c>
      <c r="K37" s="340">
        <f>(I37*G37/1000)*'Step6-Hg products-substances'!$C$46/100</f>
        <v>0</v>
      </c>
      <c r="L37" s="317"/>
      <c r="M37" s="322"/>
      <c r="N37" s="321">
        <f>K37</f>
        <v>0</v>
      </c>
      <c r="O37" s="317" t="s">
        <v>36</v>
      </c>
      <c r="P37" s="75"/>
      <c r="Q37" s="75">
        <v>0.33</v>
      </c>
      <c r="R37" s="75"/>
      <c r="S37" s="75"/>
      <c r="T37" s="75">
        <v>0.33</v>
      </c>
      <c r="U37" s="75">
        <v>0.34</v>
      </c>
      <c r="V37" s="309">
        <f t="shared" ref="V37:AA39" si="16">$N37*P37</f>
        <v>0</v>
      </c>
      <c r="W37" s="309">
        <f t="shared" si="16"/>
        <v>0</v>
      </c>
      <c r="X37" s="309">
        <f t="shared" si="16"/>
        <v>0</v>
      </c>
      <c r="Y37" s="309">
        <f t="shared" si="16"/>
        <v>0</v>
      </c>
      <c r="Z37" s="309">
        <f t="shared" si="16"/>
        <v>0</v>
      </c>
      <c r="AA37" s="309">
        <f t="shared" si="16"/>
        <v>0</v>
      </c>
      <c r="AB37" s="75"/>
      <c r="AC37" s="25"/>
      <c r="AD37" s="3"/>
    </row>
    <row r="38" spans="1:30" ht="26">
      <c r="A38" s="316"/>
      <c r="B38" s="317"/>
      <c r="C38" s="318" t="s">
        <v>461</v>
      </c>
      <c r="D38" s="319"/>
      <c r="E38" s="317"/>
      <c r="F38" s="317"/>
      <c r="G38" s="320">
        <v>0.04</v>
      </c>
      <c r="H38" s="317"/>
      <c r="I38" s="321">
        <f>'Step6-Hg products-substances'!C42</f>
        <v>0</v>
      </c>
      <c r="J38" s="3" t="s">
        <v>117</v>
      </c>
      <c r="K38" s="340">
        <f>(I38*G38/1000)*'Step6-Hg products-substances'!$C$49/100</f>
        <v>0</v>
      </c>
      <c r="L38" s="317"/>
      <c r="M38" s="322"/>
      <c r="N38" s="321">
        <f>K38</f>
        <v>0</v>
      </c>
      <c r="O38" s="317" t="s">
        <v>36</v>
      </c>
      <c r="P38" s="75"/>
      <c r="Q38" s="75">
        <v>0.33</v>
      </c>
      <c r="R38" s="75"/>
      <c r="S38" s="75"/>
      <c r="T38" s="75">
        <v>0.33</v>
      </c>
      <c r="U38" s="75">
        <v>0.34</v>
      </c>
      <c r="V38" s="309">
        <f t="shared" si="16"/>
        <v>0</v>
      </c>
      <c r="W38" s="309">
        <f t="shared" si="16"/>
        <v>0</v>
      </c>
      <c r="X38" s="309">
        <f t="shared" si="16"/>
        <v>0</v>
      </c>
      <c r="Y38" s="309">
        <f t="shared" si="16"/>
        <v>0</v>
      </c>
      <c r="Z38" s="309">
        <f t="shared" si="16"/>
        <v>0</v>
      </c>
      <c r="AA38" s="309">
        <f t="shared" si="16"/>
        <v>0</v>
      </c>
      <c r="AB38" s="75"/>
      <c r="AC38" s="25"/>
      <c r="AD38" s="3"/>
    </row>
    <row r="39" spans="1:30" ht="13">
      <c r="C39" s="67" t="s">
        <v>260</v>
      </c>
      <c r="D39" s="110"/>
      <c r="E39" s="3" t="s">
        <v>43</v>
      </c>
      <c r="F39" s="3" t="s">
        <v>110</v>
      </c>
      <c r="G39" s="75" t="s">
        <v>43</v>
      </c>
      <c r="H39" s="3" t="s">
        <v>110</v>
      </c>
      <c r="I39" s="247"/>
      <c r="J39" t="s">
        <v>271</v>
      </c>
      <c r="K39" s="114" t="e">
        <f>G39*I39/1000</f>
        <v>#VALUE!</v>
      </c>
      <c r="L39" s="3" t="s">
        <v>36</v>
      </c>
      <c r="M39" s="33"/>
      <c r="N39" s="247"/>
      <c r="O39" s="3" t="s">
        <v>36</v>
      </c>
      <c r="P39" s="75"/>
      <c r="Q39" s="75"/>
      <c r="R39" s="75"/>
      <c r="S39" s="178"/>
      <c r="T39" s="75"/>
      <c r="U39" s="75"/>
      <c r="V39" s="115">
        <f t="shared" si="16"/>
        <v>0</v>
      </c>
      <c r="W39" s="115">
        <f t="shared" si="16"/>
        <v>0</v>
      </c>
      <c r="X39" s="115">
        <f t="shared" si="16"/>
        <v>0</v>
      </c>
      <c r="Y39" s="115">
        <f t="shared" si="16"/>
        <v>0</v>
      </c>
      <c r="Z39" s="115">
        <f t="shared" si="16"/>
        <v>0</v>
      </c>
      <c r="AA39" s="115">
        <f t="shared" si="16"/>
        <v>0</v>
      </c>
      <c r="AB39" s="75"/>
    </row>
    <row r="40" spans="1:30" ht="13">
      <c r="C40" s="67" t="s">
        <v>261</v>
      </c>
      <c r="D40" s="75"/>
      <c r="E40" s="3" t="s">
        <v>43</v>
      </c>
      <c r="F40" s="3" t="s">
        <v>110</v>
      </c>
      <c r="G40" s="75" t="s">
        <v>43</v>
      </c>
      <c r="H40" s="3" t="s">
        <v>110</v>
      </c>
      <c r="I40" s="247"/>
      <c r="J40" t="s">
        <v>271</v>
      </c>
      <c r="K40" s="114" t="e">
        <f t="shared" ref="K40:K49" si="17">G40*I40/1000</f>
        <v>#VALUE!</v>
      </c>
      <c r="L40" s="3" t="s">
        <v>36</v>
      </c>
      <c r="M40" s="33"/>
      <c r="N40" s="247"/>
      <c r="O40" s="3" t="s">
        <v>36</v>
      </c>
      <c r="P40" s="75"/>
      <c r="Q40" s="75"/>
      <c r="R40" s="75"/>
      <c r="S40" s="178"/>
      <c r="T40" s="75"/>
      <c r="U40" s="75"/>
      <c r="V40" s="115">
        <f t="shared" ref="V40:V49" si="18">$N40*P40</f>
        <v>0</v>
      </c>
      <c r="W40" s="115">
        <f t="shared" ref="W40:W49" si="19">$N40*Q40</f>
        <v>0</v>
      </c>
      <c r="X40" s="115">
        <f t="shared" ref="X40:X49" si="20">$N40*R40</f>
        <v>0</v>
      </c>
      <c r="Y40" s="115">
        <f t="shared" ref="Y40:Y49" si="21">$N40*S40</f>
        <v>0</v>
      </c>
      <c r="Z40" s="115">
        <f t="shared" ref="Z40:Z49" si="22">$N40*T40</f>
        <v>0</v>
      </c>
      <c r="AA40" s="115">
        <f t="shared" ref="AA40:AA49" si="23">$N40*U40</f>
        <v>0</v>
      </c>
      <c r="AB40" s="75"/>
    </row>
    <row r="41" spans="1:30" ht="13">
      <c r="C41" s="67" t="s">
        <v>262</v>
      </c>
      <c r="D41" s="75"/>
      <c r="E41" s="3" t="s">
        <v>43</v>
      </c>
      <c r="F41" s="3" t="s">
        <v>110</v>
      </c>
      <c r="G41" s="75" t="s">
        <v>43</v>
      </c>
      <c r="H41" s="3" t="s">
        <v>110</v>
      </c>
      <c r="I41" s="247"/>
      <c r="J41" t="s">
        <v>271</v>
      </c>
      <c r="K41" s="114" t="e">
        <f t="shared" si="17"/>
        <v>#VALUE!</v>
      </c>
      <c r="L41" s="3" t="s">
        <v>36</v>
      </c>
      <c r="M41" s="33"/>
      <c r="N41" s="247"/>
      <c r="O41" s="3" t="s">
        <v>36</v>
      </c>
      <c r="P41" s="75"/>
      <c r="Q41" s="75"/>
      <c r="R41" s="75"/>
      <c r="S41" s="178"/>
      <c r="T41" s="75"/>
      <c r="U41" s="75"/>
      <c r="V41" s="115">
        <f t="shared" si="18"/>
        <v>0</v>
      </c>
      <c r="W41" s="115">
        <f t="shared" si="19"/>
        <v>0</v>
      </c>
      <c r="X41" s="115">
        <f t="shared" si="20"/>
        <v>0</v>
      </c>
      <c r="Y41" s="115">
        <f t="shared" si="21"/>
        <v>0</v>
      </c>
      <c r="Z41" s="115">
        <f t="shared" si="22"/>
        <v>0</v>
      </c>
      <c r="AA41" s="115">
        <f t="shared" si="23"/>
        <v>0</v>
      </c>
      <c r="AB41" s="75"/>
    </row>
    <row r="42" spans="1:30" ht="13">
      <c r="C42" s="67" t="s">
        <v>263</v>
      </c>
      <c r="D42" s="75"/>
      <c r="E42" s="3" t="s">
        <v>43</v>
      </c>
      <c r="F42" s="3" t="s">
        <v>110</v>
      </c>
      <c r="G42" s="75" t="s">
        <v>43</v>
      </c>
      <c r="H42" s="3" t="s">
        <v>110</v>
      </c>
      <c r="I42" s="247"/>
      <c r="J42" t="s">
        <v>271</v>
      </c>
      <c r="K42" s="114" t="e">
        <f t="shared" si="17"/>
        <v>#VALUE!</v>
      </c>
      <c r="L42" s="3" t="s">
        <v>36</v>
      </c>
      <c r="M42" s="33"/>
      <c r="N42" s="247"/>
      <c r="O42" s="3" t="s">
        <v>36</v>
      </c>
      <c r="P42" s="75"/>
      <c r="Q42" s="75"/>
      <c r="R42" s="75"/>
      <c r="S42" s="178"/>
      <c r="T42" s="75"/>
      <c r="U42" s="75"/>
      <c r="V42" s="115">
        <f t="shared" si="18"/>
        <v>0</v>
      </c>
      <c r="W42" s="115">
        <f t="shared" si="19"/>
        <v>0</v>
      </c>
      <c r="X42" s="115">
        <f t="shared" si="20"/>
        <v>0</v>
      </c>
      <c r="Y42" s="115">
        <f t="shared" si="21"/>
        <v>0</v>
      </c>
      <c r="Z42" s="115">
        <f t="shared" si="22"/>
        <v>0</v>
      </c>
      <c r="AA42" s="115">
        <f t="shared" si="23"/>
        <v>0</v>
      </c>
      <c r="AB42" s="75"/>
    </row>
    <row r="43" spans="1:30" ht="13">
      <c r="C43" s="67" t="s">
        <v>264</v>
      </c>
      <c r="D43" s="75"/>
      <c r="E43" s="3" t="s">
        <v>43</v>
      </c>
      <c r="F43" s="3" t="s">
        <v>110</v>
      </c>
      <c r="G43" s="75" t="s">
        <v>43</v>
      </c>
      <c r="H43" s="3" t="s">
        <v>110</v>
      </c>
      <c r="I43" s="247"/>
      <c r="J43" t="s">
        <v>271</v>
      </c>
      <c r="K43" s="114" t="e">
        <f t="shared" si="17"/>
        <v>#VALUE!</v>
      </c>
      <c r="L43" s="3" t="s">
        <v>36</v>
      </c>
      <c r="M43" s="33"/>
      <c r="N43" s="247"/>
      <c r="O43" s="3" t="s">
        <v>36</v>
      </c>
      <c r="P43" s="75"/>
      <c r="Q43" s="75"/>
      <c r="R43" s="75"/>
      <c r="S43" s="178"/>
      <c r="T43" s="75"/>
      <c r="U43" s="75"/>
      <c r="V43" s="115">
        <f t="shared" si="18"/>
        <v>0</v>
      </c>
      <c r="W43" s="115">
        <f t="shared" si="19"/>
        <v>0</v>
      </c>
      <c r="X43" s="115">
        <f t="shared" si="20"/>
        <v>0</v>
      </c>
      <c r="Y43" s="115">
        <f t="shared" si="21"/>
        <v>0</v>
      </c>
      <c r="Z43" s="115">
        <f t="shared" si="22"/>
        <v>0</v>
      </c>
      <c r="AA43" s="115">
        <f t="shared" si="23"/>
        <v>0</v>
      </c>
      <c r="AB43" s="75"/>
    </row>
    <row r="44" spans="1:30" ht="13">
      <c r="C44" s="67" t="s">
        <v>265</v>
      </c>
      <c r="D44" s="75"/>
      <c r="E44" s="3" t="s">
        <v>43</v>
      </c>
      <c r="F44" s="3" t="s">
        <v>110</v>
      </c>
      <c r="G44" s="75" t="s">
        <v>43</v>
      </c>
      <c r="H44" s="3" t="s">
        <v>110</v>
      </c>
      <c r="I44" s="247"/>
      <c r="J44" t="s">
        <v>271</v>
      </c>
      <c r="K44" s="114" t="e">
        <f t="shared" si="17"/>
        <v>#VALUE!</v>
      </c>
      <c r="L44" s="3" t="s">
        <v>36</v>
      </c>
      <c r="M44" s="33"/>
      <c r="N44" s="247"/>
      <c r="O44" s="3" t="s">
        <v>36</v>
      </c>
      <c r="P44" s="75"/>
      <c r="Q44" s="75"/>
      <c r="R44" s="75"/>
      <c r="S44" s="178"/>
      <c r="T44" s="75"/>
      <c r="U44" s="75"/>
      <c r="V44" s="115">
        <f t="shared" si="18"/>
        <v>0</v>
      </c>
      <c r="W44" s="115">
        <f t="shared" si="19"/>
        <v>0</v>
      </c>
      <c r="X44" s="115">
        <f t="shared" si="20"/>
        <v>0</v>
      </c>
      <c r="Y44" s="115">
        <f t="shared" si="21"/>
        <v>0</v>
      </c>
      <c r="Z44" s="115">
        <f t="shared" si="22"/>
        <v>0</v>
      </c>
      <c r="AA44" s="115">
        <f t="shared" si="23"/>
        <v>0</v>
      </c>
      <c r="AB44" s="75"/>
    </row>
    <row r="45" spans="1:30" ht="13">
      <c r="C45" s="67" t="s">
        <v>266</v>
      </c>
      <c r="D45" s="110"/>
      <c r="E45" s="3" t="s">
        <v>43</v>
      </c>
      <c r="F45" s="3" t="s">
        <v>110</v>
      </c>
      <c r="G45" s="75" t="s">
        <v>43</v>
      </c>
      <c r="H45" s="3" t="s">
        <v>110</v>
      </c>
      <c r="I45" s="247"/>
      <c r="J45" t="s">
        <v>271</v>
      </c>
      <c r="K45" s="114" t="e">
        <f t="shared" si="17"/>
        <v>#VALUE!</v>
      </c>
      <c r="L45" s="3" t="s">
        <v>36</v>
      </c>
      <c r="M45" s="33"/>
      <c r="N45" s="247"/>
      <c r="O45" s="3" t="s">
        <v>36</v>
      </c>
      <c r="P45" s="75"/>
      <c r="Q45" s="75"/>
      <c r="R45" s="75"/>
      <c r="S45" s="178"/>
      <c r="T45" s="75"/>
      <c r="U45" s="75"/>
      <c r="V45" s="115">
        <f t="shared" si="18"/>
        <v>0</v>
      </c>
      <c r="W45" s="115">
        <f t="shared" si="19"/>
        <v>0</v>
      </c>
      <c r="X45" s="115">
        <f t="shared" si="20"/>
        <v>0</v>
      </c>
      <c r="Y45" s="115">
        <f t="shared" si="21"/>
        <v>0</v>
      </c>
      <c r="Z45" s="115">
        <f t="shared" si="22"/>
        <v>0</v>
      </c>
      <c r="AA45" s="115">
        <f t="shared" si="23"/>
        <v>0</v>
      </c>
      <c r="AB45" s="75"/>
    </row>
    <row r="46" spans="1:30" ht="13">
      <c r="C46" s="67" t="s">
        <v>267</v>
      </c>
      <c r="D46" s="110"/>
      <c r="E46" s="3" t="s">
        <v>43</v>
      </c>
      <c r="F46" s="3" t="s">
        <v>110</v>
      </c>
      <c r="G46" s="75" t="s">
        <v>43</v>
      </c>
      <c r="H46" s="3" t="s">
        <v>110</v>
      </c>
      <c r="I46" s="247"/>
      <c r="J46" t="s">
        <v>271</v>
      </c>
      <c r="K46" s="114" t="e">
        <f t="shared" si="17"/>
        <v>#VALUE!</v>
      </c>
      <c r="L46" s="3" t="s">
        <v>36</v>
      </c>
      <c r="M46" s="33"/>
      <c r="N46" s="247"/>
      <c r="O46" s="3" t="s">
        <v>36</v>
      </c>
      <c r="P46" s="75"/>
      <c r="Q46" s="75"/>
      <c r="R46" s="75"/>
      <c r="S46" s="178"/>
      <c r="T46" s="75"/>
      <c r="U46" s="75"/>
      <c r="V46" s="115">
        <f t="shared" si="18"/>
        <v>0</v>
      </c>
      <c r="W46" s="115">
        <f t="shared" si="19"/>
        <v>0</v>
      </c>
      <c r="X46" s="115">
        <f t="shared" si="20"/>
        <v>0</v>
      </c>
      <c r="Y46" s="115">
        <f t="shared" si="21"/>
        <v>0</v>
      </c>
      <c r="Z46" s="115">
        <f t="shared" si="22"/>
        <v>0</v>
      </c>
      <c r="AA46" s="115">
        <f t="shared" si="23"/>
        <v>0</v>
      </c>
      <c r="AB46" s="75"/>
    </row>
    <row r="47" spans="1:30" ht="13">
      <c r="C47" s="67" t="s">
        <v>268</v>
      </c>
      <c r="D47" s="75"/>
      <c r="E47" s="3" t="s">
        <v>43</v>
      </c>
      <c r="F47" s="3" t="s">
        <v>110</v>
      </c>
      <c r="G47" s="75" t="s">
        <v>43</v>
      </c>
      <c r="H47" s="3" t="s">
        <v>110</v>
      </c>
      <c r="I47" s="247"/>
      <c r="J47" t="s">
        <v>271</v>
      </c>
      <c r="K47" s="114" t="e">
        <f t="shared" si="17"/>
        <v>#VALUE!</v>
      </c>
      <c r="L47" s="3" t="s">
        <v>36</v>
      </c>
      <c r="M47" s="33"/>
      <c r="N47" s="247"/>
      <c r="O47" s="3" t="s">
        <v>36</v>
      </c>
      <c r="P47" s="75"/>
      <c r="Q47" s="75"/>
      <c r="R47" s="75"/>
      <c r="S47" s="178"/>
      <c r="T47" s="75"/>
      <c r="U47" s="75"/>
      <c r="V47" s="115">
        <f t="shared" si="18"/>
        <v>0</v>
      </c>
      <c r="W47" s="115">
        <f t="shared" si="19"/>
        <v>0</v>
      </c>
      <c r="X47" s="115">
        <f t="shared" si="20"/>
        <v>0</v>
      </c>
      <c r="Y47" s="115">
        <f t="shared" si="21"/>
        <v>0</v>
      </c>
      <c r="Z47" s="115">
        <f t="shared" si="22"/>
        <v>0</v>
      </c>
      <c r="AA47" s="115">
        <f t="shared" si="23"/>
        <v>0</v>
      </c>
      <c r="AB47" s="75"/>
    </row>
    <row r="48" spans="1:30" ht="26">
      <c r="C48" s="67" t="s">
        <v>269</v>
      </c>
      <c r="D48" s="75"/>
      <c r="E48" s="3" t="s">
        <v>43</v>
      </c>
      <c r="F48" s="3" t="s">
        <v>110</v>
      </c>
      <c r="G48" s="75" t="s">
        <v>43</v>
      </c>
      <c r="H48" s="3" t="s">
        <v>110</v>
      </c>
      <c r="I48" s="247"/>
      <c r="J48" t="s">
        <v>271</v>
      </c>
      <c r="K48" s="114" t="e">
        <f t="shared" si="17"/>
        <v>#VALUE!</v>
      </c>
      <c r="L48" s="3" t="s">
        <v>36</v>
      </c>
      <c r="M48" s="33"/>
      <c r="N48" s="247"/>
      <c r="O48" s="3" t="s">
        <v>36</v>
      </c>
      <c r="P48" s="75"/>
      <c r="Q48" s="75"/>
      <c r="R48" s="75"/>
      <c r="S48" s="178"/>
      <c r="T48" s="75"/>
      <c r="U48" s="75"/>
      <c r="V48" s="115">
        <f t="shared" si="18"/>
        <v>0</v>
      </c>
      <c r="W48" s="115">
        <f t="shared" si="19"/>
        <v>0</v>
      </c>
      <c r="X48" s="115">
        <f t="shared" si="20"/>
        <v>0</v>
      </c>
      <c r="Y48" s="115">
        <f t="shared" si="21"/>
        <v>0</v>
      </c>
      <c r="Z48" s="115">
        <f t="shared" si="22"/>
        <v>0</v>
      </c>
      <c r="AA48" s="115">
        <f t="shared" si="23"/>
        <v>0</v>
      </c>
      <c r="AB48" s="75"/>
    </row>
    <row r="49" spans="2:30" ht="26">
      <c r="C49" s="67" t="s">
        <v>270</v>
      </c>
      <c r="D49" s="75"/>
      <c r="E49" s="3" t="s">
        <v>43</v>
      </c>
      <c r="F49" s="3" t="s">
        <v>110</v>
      </c>
      <c r="G49" s="75" t="s">
        <v>43</v>
      </c>
      <c r="H49" s="3" t="s">
        <v>110</v>
      </c>
      <c r="I49" s="247"/>
      <c r="J49" t="s">
        <v>271</v>
      </c>
      <c r="K49" s="114" t="e">
        <f t="shared" si="17"/>
        <v>#VALUE!</v>
      </c>
      <c r="L49" s="3" t="s">
        <v>36</v>
      </c>
      <c r="M49" s="33"/>
      <c r="N49" s="247"/>
      <c r="O49" s="3" t="s">
        <v>36</v>
      </c>
      <c r="P49" s="75"/>
      <c r="Q49" s="75"/>
      <c r="R49" s="75"/>
      <c r="S49" s="178"/>
      <c r="T49" s="75"/>
      <c r="U49" s="75"/>
      <c r="V49" s="115">
        <f t="shared" si="18"/>
        <v>0</v>
      </c>
      <c r="W49" s="115">
        <f t="shared" si="19"/>
        <v>0</v>
      </c>
      <c r="X49" s="115">
        <f t="shared" si="20"/>
        <v>0</v>
      </c>
      <c r="Y49" s="115">
        <f t="shared" si="21"/>
        <v>0</v>
      </c>
      <c r="Z49" s="115">
        <f t="shared" si="22"/>
        <v>0</v>
      </c>
      <c r="AA49" s="115">
        <f t="shared" si="23"/>
        <v>0</v>
      </c>
      <c r="AB49" s="75"/>
    </row>
    <row r="50" spans="2:30" s="55" customFormat="1" ht="13">
      <c r="B50" s="103"/>
      <c r="C50" s="174"/>
      <c r="D50" s="110"/>
      <c r="E50" s="103"/>
      <c r="F50" s="103"/>
      <c r="G50" s="75"/>
      <c r="H50" s="103"/>
      <c r="I50" s="247"/>
      <c r="J50" s="103"/>
      <c r="K50" s="167"/>
      <c r="L50" s="103"/>
      <c r="M50" s="163"/>
      <c r="N50" s="247"/>
      <c r="O50" s="103"/>
      <c r="P50" s="166"/>
      <c r="Q50" s="166"/>
      <c r="R50" s="166"/>
      <c r="S50" s="166"/>
      <c r="T50" s="166"/>
      <c r="U50" s="169"/>
      <c r="V50" s="115"/>
      <c r="W50" s="115"/>
      <c r="X50" s="115"/>
      <c r="Y50" s="115"/>
      <c r="Z50" s="115"/>
      <c r="AA50" s="115"/>
      <c r="AB50" s="75"/>
    </row>
    <row r="51" spans="2:30" ht="29">
      <c r="B51" s="3" t="s">
        <v>232</v>
      </c>
      <c r="C51" s="70" t="s">
        <v>230</v>
      </c>
      <c r="D51" s="110"/>
      <c r="E51" s="3" t="s">
        <v>43</v>
      </c>
      <c r="F51" s="3" t="s">
        <v>43</v>
      </c>
      <c r="G51" s="75" t="s">
        <v>43</v>
      </c>
      <c r="H51" s="3" t="s">
        <v>43</v>
      </c>
      <c r="I51" s="247"/>
      <c r="J51" t="s">
        <v>43</v>
      </c>
      <c r="K51" s="168" t="s">
        <v>43</v>
      </c>
      <c r="L51" s="3" t="s">
        <v>36</v>
      </c>
      <c r="M51" s="33"/>
      <c r="N51" s="247"/>
      <c r="O51" s="3" t="s">
        <v>36</v>
      </c>
      <c r="P51" s="75"/>
      <c r="Q51" s="75"/>
      <c r="R51" s="75"/>
      <c r="S51" s="75"/>
      <c r="T51" s="75"/>
      <c r="U51" s="75"/>
      <c r="V51" s="113">
        <f t="shared" ref="V51:AA51" si="24">$N51*P51</f>
        <v>0</v>
      </c>
      <c r="W51" s="113">
        <f t="shared" si="24"/>
        <v>0</v>
      </c>
      <c r="X51" s="113">
        <f t="shared" si="24"/>
        <v>0</v>
      </c>
      <c r="Y51" s="113">
        <f t="shared" si="24"/>
        <v>0</v>
      </c>
      <c r="Z51" s="113">
        <f t="shared" si="24"/>
        <v>0</v>
      </c>
      <c r="AA51" s="113">
        <f t="shared" si="24"/>
        <v>0</v>
      </c>
      <c r="AB51" s="75"/>
      <c r="AC51" s="25"/>
      <c r="AD51" s="3"/>
    </row>
    <row r="52" spans="2:30" s="55" customFormat="1" ht="14.5">
      <c r="B52" s="103"/>
      <c r="C52" s="175"/>
      <c r="D52" s="110"/>
      <c r="E52" s="103"/>
      <c r="F52" s="103"/>
      <c r="G52" s="75"/>
      <c r="H52" s="103"/>
      <c r="I52" s="247"/>
      <c r="K52" s="114"/>
      <c r="L52" s="103"/>
      <c r="M52" s="137"/>
      <c r="N52" s="247"/>
      <c r="O52" s="103"/>
      <c r="P52" s="75"/>
      <c r="Q52" s="75"/>
      <c r="R52" s="75"/>
      <c r="S52" s="75"/>
      <c r="T52" s="75"/>
      <c r="U52" s="75"/>
      <c r="V52" s="113"/>
      <c r="W52" s="113"/>
      <c r="X52" s="113"/>
      <c r="Y52" s="113"/>
      <c r="Z52" s="113"/>
      <c r="AA52" s="113"/>
      <c r="AB52" s="75"/>
      <c r="AC52" s="176"/>
      <c r="AD52" s="103"/>
    </row>
    <row r="53" spans="2:30" ht="28">
      <c r="B53" s="3" t="s">
        <v>233</v>
      </c>
      <c r="C53" s="71" t="s">
        <v>231</v>
      </c>
      <c r="D53" s="110"/>
      <c r="E53" s="3"/>
      <c r="F53" s="3"/>
      <c r="G53" s="75"/>
      <c r="H53" s="3"/>
      <c r="I53" s="247"/>
      <c r="K53" s="113"/>
      <c r="L53" s="3"/>
      <c r="M53" s="33"/>
      <c r="N53" s="247"/>
      <c r="O53" s="3"/>
      <c r="P53" s="75"/>
      <c r="Q53" s="75"/>
      <c r="R53" s="75"/>
      <c r="S53" s="75"/>
      <c r="T53" s="75"/>
      <c r="U53" s="75"/>
      <c r="V53" s="113">
        <f t="shared" ref="V53:AA53" si="25">SUM(V54:V70)</f>
        <v>0</v>
      </c>
      <c r="W53" s="113">
        <f t="shared" si="25"/>
        <v>0</v>
      </c>
      <c r="X53" s="113">
        <f t="shared" si="25"/>
        <v>0</v>
      </c>
      <c r="Y53" s="113">
        <f>SUM(Y54:Y70)</f>
        <v>0</v>
      </c>
      <c r="Z53" s="113">
        <f t="shared" si="25"/>
        <v>0</v>
      </c>
      <c r="AA53" s="113">
        <f t="shared" si="25"/>
        <v>0</v>
      </c>
      <c r="AB53" s="75"/>
      <c r="AC53" s="25"/>
      <c r="AD53" s="3"/>
    </row>
    <row r="54" spans="2:30" ht="14">
      <c r="B54" s="3"/>
      <c r="C54" s="72" t="s">
        <v>234</v>
      </c>
      <c r="D54" s="110"/>
      <c r="E54" s="3" t="s">
        <v>43</v>
      </c>
      <c r="F54" s="3" t="s">
        <v>43</v>
      </c>
      <c r="G54" s="75" t="s">
        <v>43</v>
      </c>
      <c r="H54" s="3" t="s">
        <v>43</v>
      </c>
      <c r="I54" s="247"/>
      <c r="J54" t="s">
        <v>43</v>
      </c>
      <c r="K54" s="114" t="s">
        <v>43</v>
      </c>
      <c r="L54" s="3" t="s">
        <v>36</v>
      </c>
      <c r="M54" s="33"/>
      <c r="N54" s="247"/>
      <c r="O54" s="3" t="s">
        <v>36</v>
      </c>
      <c r="P54" s="75"/>
      <c r="Q54" s="75"/>
      <c r="R54" s="75"/>
      <c r="S54" s="178"/>
      <c r="T54" s="75"/>
      <c r="U54" s="75"/>
      <c r="V54" s="115">
        <f t="shared" ref="V54:AA54" si="26">$N54*P54</f>
        <v>0</v>
      </c>
      <c r="W54" s="115">
        <f t="shared" si="26"/>
        <v>0</v>
      </c>
      <c r="X54" s="115">
        <f t="shared" si="26"/>
        <v>0</v>
      </c>
      <c r="Y54" s="115">
        <f t="shared" si="26"/>
        <v>0</v>
      </c>
      <c r="Z54" s="115">
        <f t="shared" si="26"/>
        <v>0</v>
      </c>
      <c r="AA54" s="115">
        <f t="shared" si="26"/>
        <v>0</v>
      </c>
      <c r="AB54" s="75"/>
    </row>
    <row r="55" spans="2:30" ht="14">
      <c r="B55" s="3"/>
      <c r="C55" s="72" t="s">
        <v>235</v>
      </c>
      <c r="D55" s="110"/>
      <c r="E55" s="3" t="s">
        <v>43</v>
      </c>
      <c r="F55" s="3" t="s">
        <v>43</v>
      </c>
      <c r="G55" s="75" t="s">
        <v>43</v>
      </c>
      <c r="H55" s="3" t="s">
        <v>43</v>
      </c>
      <c r="I55" s="247"/>
      <c r="J55" t="s">
        <v>43</v>
      </c>
      <c r="K55" s="114" t="s">
        <v>43</v>
      </c>
      <c r="L55" s="3" t="s">
        <v>36</v>
      </c>
      <c r="M55" s="33"/>
      <c r="N55" s="247"/>
      <c r="O55" s="3" t="s">
        <v>36</v>
      </c>
      <c r="P55" s="75"/>
      <c r="Q55" s="75"/>
      <c r="R55" s="75"/>
      <c r="S55" s="178"/>
      <c r="T55" s="75"/>
      <c r="U55" s="75"/>
      <c r="V55" s="115">
        <f t="shared" ref="V55:V69" si="27">$N55*P55</f>
        <v>0</v>
      </c>
      <c r="W55" s="115">
        <f t="shared" ref="W55:W69" si="28">$N55*Q55</f>
        <v>0</v>
      </c>
      <c r="X55" s="115">
        <f t="shared" ref="X55:Y69" si="29">$N55*R55</f>
        <v>0</v>
      </c>
      <c r="Y55" s="115">
        <f t="shared" si="29"/>
        <v>0</v>
      </c>
      <c r="Z55" s="115">
        <f t="shared" ref="Z55:Z69" si="30">$N55*T55</f>
        <v>0</v>
      </c>
      <c r="AA55" s="115">
        <f t="shared" ref="AA55:AA69" si="31">$N55*U55</f>
        <v>0</v>
      </c>
      <c r="AB55" s="75"/>
    </row>
    <row r="56" spans="2:30" ht="14">
      <c r="B56" s="3"/>
      <c r="C56" s="72" t="s">
        <v>236</v>
      </c>
      <c r="D56" s="110"/>
      <c r="E56" s="3" t="s">
        <v>43</v>
      </c>
      <c r="F56" s="3" t="s">
        <v>43</v>
      </c>
      <c r="G56" s="75" t="s">
        <v>43</v>
      </c>
      <c r="H56" s="3" t="s">
        <v>43</v>
      </c>
      <c r="I56" s="247"/>
      <c r="J56" t="s">
        <v>43</v>
      </c>
      <c r="K56" s="114" t="s">
        <v>43</v>
      </c>
      <c r="L56" s="3" t="s">
        <v>36</v>
      </c>
      <c r="M56" s="33"/>
      <c r="N56" s="247"/>
      <c r="O56" s="3" t="s">
        <v>36</v>
      </c>
      <c r="P56" s="75"/>
      <c r="Q56" s="75"/>
      <c r="R56" s="75"/>
      <c r="S56" s="178"/>
      <c r="T56" s="75"/>
      <c r="U56" s="75"/>
      <c r="V56" s="115">
        <f t="shared" si="27"/>
        <v>0</v>
      </c>
      <c r="W56" s="115">
        <f t="shared" si="28"/>
        <v>0</v>
      </c>
      <c r="X56" s="115">
        <f t="shared" si="29"/>
        <v>0</v>
      </c>
      <c r="Y56" s="115">
        <f t="shared" si="29"/>
        <v>0</v>
      </c>
      <c r="Z56" s="115">
        <f t="shared" si="30"/>
        <v>0</v>
      </c>
      <c r="AA56" s="115">
        <f t="shared" si="31"/>
        <v>0</v>
      </c>
      <c r="AB56" s="75"/>
    </row>
    <row r="57" spans="2:30" ht="14">
      <c r="B57" s="3"/>
      <c r="C57" s="72" t="s">
        <v>237</v>
      </c>
      <c r="D57" s="110"/>
      <c r="E57" s="3" t="s">
        <v>43</v>
      </c>
      <c r="F57" s="3" t="s">
        <v>43</v>
      </c>
      <c r="G57" s="75" t="s">
        <v>43</v>
      </c>
      <c r="H57" s="3" t="s">
        <v>43</v>
      </c>
      <c r="I57" s="247"/>
      <c r="J57" t="s">
        <v>43</v>
      </c>
      <c r="K57" s="114" t="s">
        <v>43</v>
      </c>
      <c r="L57" s="3" t="s">
        <v>36</v>
      </c>
      <c r="M57" s="33"/>
      <c r="N57" s="247"/>
      <c r="O57" s="3" t="s">
        <v>36</v>
      </c>
      <c r="P57" s="75"/>
      <c r="Q57" s="75"/>
      <c r="R57" s="75"/>
      <c r="S57" s="178"/>
      <c r="T57" s="75"/>
      <c r="U57" s="75"/>
      <c r="V57" s="115">
        <f t="shared" si="27"/>
        <v>0</v>
      </c>
      <c r="W57" s="115">
        <f t="shared" si="28"/>
        <v>0</v>
      </c>
      <c r="X57" s="115">
        <f t="shared" si="29"/>
        <v>0</v>
      </c>
      <c r="Y57" s="115">
        <f t="shared" si="29"/>
        <v>0</v>
      </c>
      <c r="Z57" s="115">
        <f t="shared" si="30"/>
        <v>0</v>
      </c>
      <c r="AA57" s="115">
        <f t="shared" si="31"/>
        <v>0</v>
      </c>
      <c r="AB57" s="75"/>
    </row>
    <row r="58" spans="2:30" ht="14">
      <c r="B58" s="3"/>
      <c r="C58" s="72" t="s">
        <v>238</v>
      </c>
      <c r="D58" s="110"/>
      <c r="E58" s="3" t="s">
        <v>43</v>
      </c>
      <c r="F58" s="3" t="s">
        <v>43</v>
      </c>
      <c r="G58" s="75" t="s">
        <v>43</v>
      </c>
      <c r="H58" s="3" t="s">
        <v>43</v>
      </c>
      <c r="I58" s="247"/>
      <c r="J58" t="s">
        <v>43</v>
      </c>
      <c r="K58" s="114" t="s">
        <v>43</v>
      </c>
      <c r="L58" s="3" t="s">
        <v>36</v>
      </c>
      <c r="M58" s="33"/>
      <c r="N58" s="247"/>
      <c r="O58" s="3" t="s">
        <v>36</v>
      </c>
      <c r="P58" s="75"/>
      <c r="Q58" s="75"/>
      <c r="R58" s="75"/>
      <c r="S58" s="178"/>
      <c r="T58" s="75"/>
      <c r="U58" s="75"/>
      <c r="V58" s="115">
        <f t="shared" si="27"/>
        <v>0</v>
      </c>
      <c r="W58" s="115">
        <f t="shared" si="28"/>
        <v>0</v>
      </c>
      <c r="X58" s="115">
        <f t="shared" si="29"/>
        <v>0</v>
      </c>
      <c r="Y58" s="115">
        <f t="shared" si="29"/>
        <v>0</v>
      </c>
      <c r="Z58" s="115">
        <f t="shared" si="30"/>
        <v>0</v>
      </c>
      <c r="AA58" s="115">
        <f t="shared" si="31"/>
        <v>0</v>
      </c>
      <c r="AB58" s="75"/>
    </row>
    <row r="59" spans="2:30" ht="28">
      <c r="B59" s="3"/>
      <c r="C59" s="72" t="s">
        <v>239</v>
      </c>
      <c r="D59" s="110"/>
      <c r="E59" s="3" t="s">
        <v>43</v>
      </c>
      <c r="F59" s="3" t="s">
        <v>43</v>
      </c>
      <c r="G59" s="75" t="s">
        <v>43</v>
      </c>
      <c r="H59" s="3" t="s">
        <v>43</v>
      </c>
      <c r="I59" s="247"/>
      <c r="J59" t="s">
        <v>43</v>
      </c>
      <c r="K59" s="114" t="s">
        <v>43</v>
      </c>
      <c r="L59" s="3" t="s">
        <v>36</v>
      </c>
      <c r="M59" s="33"/>
      <c r="N59" s="247"/>
      <c r="O59" s="3" t="s">
        <v>36</v>
      </c>
      <c r="P59" s="75"/>
      <c r="Q59" s="75"/>
      <c r="R59" s="75"/>
      <c r="S59" s="178"/>
      <c r="T59" s="75"/>
      <c r="U59" s="75"/>
      <c r="V59" s="115">
        <f t="shared" si="27"/>
        <v>0</v>
      </c>
      <c r="W59" s="115">
        <f t="shared" si="28"/>
        <v>0</v>
      </c>
      <c r="X59" s="115">
        <f t="shared" si="29"/>
        <v>0</v>
      </c>
      <c r="Y59" s="115">
        <f t="shared" si="29"/>
        <v>0</v>
      </c>
      <c r="Z59" s="115">
        <f t="shared" si="30"/>
        <v>0</v>
      </c>
      <c r="AA59" s="115">
        <f t="shared" si="31"/>
        <v>0</v>
      </c>
      <c r="AB59" s="75"/>
    </row>
    <row r="60" spans="2:30" ht="28">
      <c r="B60" s="3"/>
      <c r="C60" s="72" t="s">
        <v>240</v>
      </c>
      <c r="D60" s="110"/>
      <c r="E60" s="3" t="s">
        <v>43</v>
      </c>
      <c r="F60" s="3" t="s">
        <v>43</v>
      </c>
      <c r="G60" s="75" t="s">
        <v>43</v>
      </c>
      <c r="H60" s="3" t="s">
        <v>43</v>
      </c>
      <c r="I60" s="247"/>
      <c r="J60" t="s">
        <v>43</v>
      </c>
      <c r="K60" s="114" t="s">
        <v>43</v>
      </c>
      <c r="L60" s="3" t="s">
        <v>36</v>
      </c>
      <c r="M60" s="33"/>
      <c r="N60" s="247"/>
      <c r="O60" s="3" t="s">
        <v>36</v>
      </c>
      <c r="P60" s="75"/>
      <c r="Q60" s="75"/>
      <c r="R60" s="75"/>
      <c r="S60" s="178"/>
      <c r="T60" s="75"/>
      <c r="U60" s="75"/>
      <c r="V60" s="115">
        <f t="shared" si="27"/>
        <v>0</v>
      </c>
      <c r="W60" s="115">
        <f t="shared" si="28"/>
        <v>0</v>
      </c>
      <c r="X60" s="115">
        <f t="shared" si="29"/>
        <v>0</v>
      </c>
      <c r="Y60" s="115">
        <f t="shared" si="29"/>
        <v>0</v>
      </c>
      <c r="Z60" s="115">
        <f t="shared" si="30"/>
        <v>0</v>
      </c>
      <c r="AA60" s="115">
        <f t="shared" si="31"/>
        <v>0</v>
      </c>
      <c r="AB60" s="75"/>
    </row>
    <row r="61" spans="2:30" ht="42">
      <c r="B61" s="3"/>
      <c r="C61" s="72" t="s">
        <v>241</v>
      </c>
      <c r="D61" s="110"/>
      <c r="E61" s="3" t="s">
        <v>43</v>
      </c>
      <c r="F61" s="3" t="s">
        <v>43</v>
      </c>
      <c r="G61" s="75" t="s">
        <v>43</v>
      </c>
      <c r="H61" s="3" t="s">
        <v>43</v>
      </c>
      <c r="I61" s="247"/>
      <c r="J61" t="s">
        <v>43</v>
      </c>
      <c r="K61" s="114" t="s">
        <v>43</v>
      </c>
      <c r="L61" s="3" t="s">
        <v>36</v>
      </c>
      <c r="M61" s="33"/>
      <c r="N61" s="247"/>
      <c r="O61" s="3" t="s">
        <v>36</v>
      </c>
      <c r="P61" s="75"/>
      <c r="Q61" s="75"/>
      <c r="R61" s="75"/>
      <c r="S61" s="178"/>
      <c r="T61" s="75"/>
      <c r="U61" s="75"/>
      <c r="V61" s="115">
        <f t="shared" si="27"/>
        <v>0</v>
      </c>
      <c r="W61" s="115">
        <f t="shared" si="28"/>
        <v>0</v>
      </c>
      <c r="X61" s="115">
        <f t="shared" si="29"/>
        <v>0</v>
      </c>
      <c r="Y61" s="115">
        <f t="shared" si="29"/>
        <v>0</v>
      </c>
      <c r="Z61" s="115">
        <f t="shared" si="30"/>
        <v>0</v>
      </c>
      <c r="AA61" s="115">
        <f t="shared" si="31"/>
        <v>0</v>
      </c>
      <c r="AB61" s="75"/>
    </row>
    <row r="62" spans="2:30" ht="14">
      <c r="B62" s="3"/>
      <c r="C62" s="72" t="s">
        <v>242</v>
      </c>
      <c r="D62" s="110"/>
      <c r="E62" s="3" t="s">
        <v>43</v>
      </c>
      <c r="F62" s="3" t="s">
        <v>43</v>
      </c>
      <c r="G62" s="75" t="s">
        <v>43</v>
      </c>
      <c r="H62" s="3" t="s">
        <v>43</v>
      </c>
      <c r="I62" s="247"/>
      <c r="J62" t="s">
        <v>43</v>
      </c>
      <c r="K62" s="114" t="s">
        <v>43</v>
      </c>
      <c r="L62" s="3" t="s">
        <v>36</v>
      </c>
      <c r="M62" s="33"/>
      <c r="N62" s="247"/>
      <c r="O62" s="3" t="s">
        <v>36</v>
      </c>
      <c r="P62" s="75"/>
      <c r="Q62" s="75"/>
      <c r="R62" s="75"/>
      <c r="S62" s="178"/>
      <c r="T62" s="75"/>
      <c r="U62" s="75"/>
      <c r="V62" s="115">
        <f t="shared" si="27"/>
        <v>0</v>
      </c>
      <c r="W62" s="115">
        <f t="shared" si="28"/>
        <v>0</v>
      </c>
      <c r="X62" s="115">
        <f t="shared" si="29"/>
        <v>0</v>
      </c>
      <c r="Y62" s="115">
        <f t="shared" si="29"/>
        <v>0</v>
      </c>
      <c r="Z62" s="115">
        <f t="shared" si="30"/>
        <v>0</v>
      </c>
      <c r="AA62" s="115">
        <f t="shared" si="31"/>
        <v>0</v>
      </c>
      <c r="AB62" s="75"/>
    </row>
    <row r="63" spans="2:30" ht="14">
      <c r="B63" s="3"/>
      <c r="C63" s="72" t="s">
        <v>243</v>
      </c>
      <c r="D63" s="110"/>
      <c r="E63" s="3" t="s">
        <v>43</v>
      </c>
      <c r="F63" s="3" t="s">
        <v>43</v>
      </c>
      <c r="G63" s="75" t="s">
        <v>43</v>
      </c>
      <c r="H63" s="3" t="s">
        <v>43</v>
      </c>
      <c r="I63" s="247"/>
      <c r="J63" t="s">
        <v>43</v>
      </c>
      <c r="K63" s="114" t="s">
        <v>43</v>
      </c>
      <c r="L63" s="3" t="s">
        <v>36</v>
      </c>
      <c r="M63" s="33"/>
      <c r="N63" s="247"/>
      <c r="O63" s="3" t="s">
        <v>36</v>
      </c>
      <c r="P63" s="75"/>
      <c r="Q63" s="75"/>
      <c r="R63" s="75"/>
      <c r="S63" s="178"/>
      <c r="T63" s="75"/>
      <c r="U63" s="75"/>
      <c r="V63" s="115">
        <f t="shared" si="27"/>
        <v>0</v>
      </c>
      <c r="W63" s="115">
        <f t="shared" si="28"/>
        <v>0</v>
      </c>
      <c r="X63" s="115">
        <f t="shared" si="29"/>
        <v>0</v>
      </c>
      <c r="Y63" s="115">
        <f t="shared" si="29"/>
        <v>0</v>
      </c>
      <c r="Z63" s="115">
        <f t="shared" si="30"/>
        <v>0</v>
      </c>
      <c r="AA63" s="115">
        <f t="shared" si="31"/>
        <v>0</v>
      </c>
      <c r="AB63" s="75"/>
    </row>
    <row r="64" spans="2:30" ht="14">
      <c r="B64" s="3"/>
      <c r="C64" s="72" t="s">
        <v>244</v>
      </c>
      <c r="D64" s="110"/>
      <c r="E64" s="3" t="s">
        <v>43</v>
      </c>
      <c r="F64" s="3" t="s">
        <v>43</v>
      </c>
      <c r="G64" s="75" t="s">
        <v>43</v>
      </c>
      <c r="H64" s="3" t="s">
        <v>43</v>
      </c>
      <c r="I64" s="247"/>
      <c r="J64" t="s">
        <v>43</v>
      </c>
      <c r="K64" s="114" t="s">
        <v>43</v>
      </c>
      <c r="L64" s="3" t="s">
        <v>36</v>
      </c>
      <c r="M64" s="33"/>
      <c r="N64" s="247"/>
      <c r="O64" s="3" t="s">
        <v>36</v>
      </c>
      <c r="P64" s="75"/>
      <c r="Q64" s="75"/>
      <c r="R64" s="75"/>
      <c r="S64" s="178"/>
      <c r="T64" s="75"/>
      <c r="U64" s="75"/>
      <c r="V64" s="115">
        <f t="shared" si="27"/>
        <v>0</v>
      </c>
      <c r="W64" s="115">
        <f t="shared" si="28"/>
        <v>0</v>
      </c>
      <c r="X64" s="115">
        <f t="shared" si="29"/>
        <v>0</v>
      </c>
      <c r="Y64" s="115">
        <f t="shared" si="29"/>
        <v>0</v>
      </c>
      <c r="Z64" s="115">
        <f t="shared" si="30"/>
        <v>0</v>
      </c>
      <c r="AA64" s="115">
        <f t="shared" si="31"/>
        <v>0</v>
      </c>
      <c r="AB64" s="75"/>
    </row>
    <row r="65" spans="2:28" ht="28">
      <c r="B65" s="3"/>
      <c r="C65" s="72" t="s">
        <v>245</v>
      </c>
      <c r="D65" s="110"/>
      <c r="E65" s="3" t="s">
        <v>43</v>
      </c>
      <c r="F65" s="3" t="s">
        <v>43</v>
      </c>
      <c r="G65" s="75" t="s">
        <v>43</v>
      </c>
      <c r="H65" s="3" t="s">
        <v>43</v>
      </c>
      <c r="I65" s="247"/>
      <c r="J65" t="s">
        <v>43</v>
      </c>
      <c r="K65" s="114" t="s">
        <v>43</v>
      </c>
      <c r="L65" s="3" t="s">
        <v>36</v>
      </c>
      <c r="M65" s="33"/>
      <c r="N65" s="247"/>
      <c r="O65" s="3" t="s">
        <v>36</v>
      </c>
      <c r="P65" s="75"/>
      <c r="Q65" s="75"/>
      <c r="R65" s="75"/>
      <c r="S65" s="178"/>
      <c r="T65" s="75"/>
      <c r="U65" s="75"/>
      <c r="V65" s="115">
        <f t="shared" si="27"/>
        <v>0</v>
      </c>
      <c r="W65" s="115">
        <f t="shared" si="28"/>
        <v>0</v>
      </c>
      <c r="X65" s="115">
        <f t="shared" si="29"/>
        <v>0</v>
      </c>
      <c r="Y65" s="115">
        <f t="shared" si="29"/>
        <v>0</v>
      </c>
      <c r="Z65" s="115">
        <f t="shared" si="30"/>
        <v>0</v>
      </c>
      <c r="AA65" s="115">
        <f t="shared" si="31"/>
        <v>0</v>
      </c>
      <c r="AB65" s="75"/>
    </row>
    <row r="66" spans="2:28" ht="14">
      <c r="B66" s="3"/>
      <c r="C66" s="72" t="s">
        <v>246</v>
      </c>
      <c r="D66" s="110"/>
      <c r="E66" s="3" t="s">
        <v>43</v>
      </c>
      <c r="F66" s="3" t="s">
        <v>43</v>
      </c>
      <c r="G66" s="75" t="s">
        <v>43</v>
      </c>
      <c r="H66" s="3" t="s">
        <v>43</v>
      </c>
      <c r="I66" s="247"/>
      <c r="J66" t="s">
        <v>43</v>
      </c>
      <c r="K66" s="114" t="s">
        <v>43</v>
      </c>
      <c r="L66" s="3" t="s">
        <v>36</v>
      </c>
      <c r="M66" s="33"/>
      <c r="N66" s="247"/>
      <c r="O66" s="3" t="s">
        <v>36</v>
      </c>
      <c r="P66" s="75"/>
      <c r="Q66" s="75"/>
      <c r="R66" s="75"/>
      <c r="S66" s="178"/>
      <c r="T66" s="75"/>
      <c r="U66" s="75"/>
      <c r="V66" s="115">
        <f t="shared" si="27"/>
        <v>0</v>
      </c>
      <c r="W66" s="115">
        <f t="shared" si="28"/>
        <v>0</v>
      </c>
      <c r="X66" s="115">
        <f t="shared" si="29"/>
        <v>0</v>
      </c>
      <c r="Y66" s="115">
        <f t="shared" si="29"/>
        <v>0</v>
      </c>
      <c r="Z66" s="115">
        <f t="shared" si="30"/>
        <v>0</v>
      </c>
      <c r="AA66" s="115">
        <f t="shared" si="31"/>
        <v>0</v>
      </c>
      <c r="AB66" s="75"/>
    </row>
    <row r="67" spans="2:28" ht="14">
      <c r="B67" s="3"/>
      <c r="C67" s="72" t="s">
        <v>247</v>
      </c>
      <c r="D67" s="110"/>
      <c r="E67" s="3" t="s">
        <v>43</v>
      </c>
      <c r="F67" s="3" t="s">
        <v>43</v>
      </c>
      <c r="G67" s="75" t="s">
        <v>43</v>
      </c>
      <c r="H67" s="3" t="s">
        <v>43</v>
      </c>
      <c r="I67" s="247"/>
      <c r="J67" t="s">
        <v>43</v>
      </c>
      <c r="K67" s="114" t="s">
        <v>43</v>
      </c>
      <c r="L67" s="3" t="s">
        <v>36</v>
      </c>
      <c r="M67" s="33"/>
      <c r="N67" s="247"/>
      <c r="O67" s="3" t="s">
        <v>36</v>
      </c>
      <c r="P67" s="75"/>
      <c r="Q67" s="75"/>
      <c r="R67" s="75"/>
      <c r="S67" s="178"/>
      <c r="T67" s="75"/>
      <c r="U67" s="75"/>
      <c r="V67" s="115">
        <f t="shared" si="27"/>
        <v>0</v>
      </c>
      <c r="W67" s="115">
        <f t="shared" si="28"/>
        <v>0</v>
      </c>
      <c r="X67" s="115">
        <f t="shared" si="29"/>
        <v>0</v>
      </c>
      <c r="Y67" s="115">
        <f t="shared" si="29"/>
        <v>0</v>
      </c>
      <c r="Z67" s="115">
        <f t="shared" si="30"/>
        <v>0</v>
      </c>
      <c r="AA67" s="115">
        <f t="shared" si="31"/>
        <v>0</v>
      </c>
      <c r="AB67" s="75"/>
    </row>
    <row r="68" spans="2:28" ht="14">
      <c r="B68" s="3"/>
      <c r="C68" s="72" t="s">
        <v>248</v>
      </c>
      <c r="D68" s="110"/>
      <c r="E68" s="3" t="s">
        <v>43</v>
      </c>
      <c r="F68" s="3" t="s">
        <v>43</v>
      </c>
      <c r="G68" s="75" t="s">
        <v>43</v>
      </c>
      <c r="H68" s="3" t="s">
        <v>43</v>
      </c>
      <c r="I68" s="247"/>
      <c r="J68" t="s">
        <v>43</v>
      </c>
      <c r="K68" s="114" t="s">
        <v>43</v>
      </c>
      <c r="L68" s="3" t="s">
        <v>36</v>
      </c>
      <c r="M68" s="33"/>
      <c r="N68" s="247"/>
      <c r="O68" s="3" t="s">
        <v>36</v>
      </c>
      <c r="P68" s="75"/>
      <c r="Q68" s="75"/>
      <c r="R68" s="75"/>
      <c r="S68" s="178"/>
      <c r="T68" s="75"/>
      <c r="U68" s="75"/>
      <c r="V68" s="115">
        <f t="shared" si="27"/>
        <v>0</v>
      </c>
      <c r="W68" s="115">
        <f t="shared" si="28"/>
        <v>0</v>
      </c>
      <c r="X68" s="115">
        <f t="shared" si="29"/>
        <v>0</v>
      </c>
      <c r="Y68" s="115">
        <f t="shared" si="29"/>
        <v>0</v>
      </c>
      <c r="Z68" s="115">
        <f t="shared" si="30"/>
        <v>0</v>
      </c>
      <c r="AA68" s="115">
        <f t="shared" si="31"/>
        <v>0</v>
      </c>
      <c r="AB68" s="75"/>
    </row>
    <row r="69" spans="2:28" ht="14">
      <c r="B69" s="3"/>
      <c r="C69" s="72" t="s">
        <v>249</v>
      </c>
      <c r="D69" s="110"/>
      <c r="E69" s="3" t="s">
        <v>43</v>
      </c>
      <c r="F69" s="3" t="s">
        <v>43</v>
      </c>
      <c r="G69" s="75" t="s">
        <v>43</v>
      </c>
      <c r="H69" s="3" t="s">
        <v>43</v>
      </c>
      <c r="I69" s="247"/>
      <c r="J69" t="s">
        <v>43</v>
      </c>
      <c r="K69" s="114" t="s">
        <v>43</v>
      </c>
      <c r="L69" s="3" t="s">
        <v>36</v>
      </c>
      <c r="M69" s="33"/>
      <c r="N69" s="247"/>
      <c r="O69" s="3" t="s">
        <v>36</v>
      </c>
      <c r="P69" s="75"/>
      <c r="Q69" s="75"/>
      <c r="R69" s="75"/>
      <c r="S69" s="178"/>
      <c r="T69" s="75"/>
      <c r="U69" s="75"/>
      <c r="V69" s="115">
        <f t="shared" si="27"/>
        <v>0</v>
      </c>
      <c r="W69" s="115">
        <f t="shared" si="28"/>
        <v>0</v>
      </c>
      <c r="X69" s="115">
        <f t="shared" si="29"/>
        <v>0</v>
      </c>
      <c r="Y69" s="115">
        <f t="shared" si="29"/>
        <v>0</v>
      </c>
      <c r="Z69" s="115">
        <f t="shared" si="30"/>
        <v>0</v>
      </c>
      <c r="AA69" s="115">
        <f t="shared" si="31"/>
        <v>0</v>
      </c>
      <c r="AB69" s="75"/>
    </row>
    <row r="70" spans="2:28" ht="13">
      <c r="B70" s="3"/>
      <c r="C70" s="26" t="s">
        <v>250</v>
      </c>
      <c r="D70" s="110"/>
      <c r="E70" s="3" t="s">
        <v>43</v>
      </c>
      <c r="F70" s="3" t="s">
        <v>43</v>
      </c>
      <c r="G70" s="75" t="s">
        <v>43</v>
      </c>
      <c r="H70" s="3" t="s">
        <v>43</v>
      </c>
      <c r="I70" s="247"/>
      <c r="J70" t="s">
        <v>43</v>
      </c>
      <c r="K70" s="114" t="s">
        <v>43</v>
      </c>
      <c r="L70" s="3" t="s">
        <v>36</v>
      </c>
      <c r="M70" s="33"/>
      <c r="N70" s="247"/>
      <c r="O70" s="3" t="s">
        <v>36</v>
      </c>
      <c r="P70" s="75"/>
      <c r="Q70" s="75"/>
      <c r="R70" s="75"/>
      <c r="S70" s="178"/>
      <c r="T70" s="75"/>
      <c r="U70" s="75"/>
      <c r="V70" s="115">
        <f t="shared" ref="V70:AA70" si="32">$N70*P70</f>
        <v>0</v>
      </c>
      <c r="W70" s="115">
        <f t="shared" si="32"/>
        <v>0</v>
      </c>
      <c r="X70" s="115">
        <f t="shared" si="32"/>
        <v>0</v>
      </c>
      <c r="Y70" s="115">
        <f t="shared" si="32"/>
        <v>0</v>
      </c>
      <c r="Z70" s="115">
        <f t="shared" si="32"/>
        <v>0</v>
      </c>
      <c r="AA70" s="115">
        <f t="shared" si="32"/>
        <v>0</v>
      </c>
      <c r="AB70" s="75"/>
    </row>
    <row r="71" spans="2:28" ht="13">
      <c r="B71" s="3"/>
      <c r="C71" s="69"/>
      <c r="D71" s="110"/>
      <c r="E71" s="41"/>
      <c r="F71" s="3"/>
      <c r="G71" s="75"/>
      <c r="H71" s="3"/>
      <c r="I71" s="247"/>
      <c r="K71" s="114"/>
      <c r="L71" s="3"/>
      <c r="M71" s="16"/>
      <c r="N71" s="247"/>
      <c r="O71" s="17"/>
      <c r="P71" s="166"/>
      <c r="Q71" s="166"/>
      <c r="R71" s="166"/>
      <c r="S71" s="166"/>
      <c r="T71" s="166"/>
      <c r="U71" s="166"/>
      <c r="V71" s="115"/>
      <c r="W71" s="115"/>
      <c r="X71" s="115"/>
      <c r="Y71" s="115"/>
      <c r="Z71" s="115"/>
      <c r="AA71" s="115"/>
      <c r="AB71" s="75"/>
    </row>
    <row r="72" spans="2:28" s="55" customFormat="1" ht="13">
      <c r="B72" s="103"/>
      <c r="C72" s="177"/>
      <c r="D72" s="110"/>
      <c r="E72" s="103"/>
      <c r="F72" s="103"/>
      <c r="G72" s="75"/>
      <c r="H72" s="103"/>
      <c r="I72" s="247"/>
      <c r="K72" s="114"/>
      <c r="L72" s="103"/>
      <c r="M72" s="163"/>
      <c r="N72" s="246"/>
      <c r="O72" s="103"/>
      <c r="P72" s="130"/>
      <c r="Q72" s="130"/>
      <c r="R72" s="130"/>
      <c r="S72" s="130"/>
      <c r="T72" s="130"/>
      <c r="U72" s="130"/>
      <c r="V72" s="115"/>
      <c r="W72" s="115"/>
      <c r="X72" s="115"/>
      <c r="Y72" s="115"/>
      <c r="Z72" s="115"/>
      <c r="AA72" s="115"/>
      <c r="AB72" s="75"/>
    </row>
    <row r="73" spans="2:28" s="3" customFormat="1" ht="13">
      <c r="C73" s="40"/>
      <c r="D73" s="7"/>
      <c r="I73" s="248"/>
      <c r="K73" s="21"/>
      <c r="M73" s="59"/>
      <c r="N73" s="238"/>
      <c r="P73" s="60"/>
      <c r="Q73" s="60"/>
      <c r="R73" s="60"/>
      <c r="S73" s="60"/>
      <c r="T73" s="60"/>
      <c r="U73" s="60"/>
      <c r="V73" s="22"/>
      <c r="W73" s="22"/>
      <c r="X73" s="22"/>
      <c r="Y73" s="22"/>
      <c r="Z73" s="22"/>
      <c r="AA73" s="22"/>
    </row>
    <row r="74" spans="2:28" s="3" customFormat="1" ht="13">
      <c r="C74" s="7" t="s">
        <v>56</v>
      </c>
      <c r="D74" s="36" t="s">
        <v>218</v>
      </c>
      <c r="I74" s="248"/>
      <c r="K74" s="21"/>
      <c r="M74" s="59"/>
      <c r="N74" s="238"/>
      <c r="P74" s="60"/>
      <c r="Q74" s="60"/>
      <c r="R74" s="60"/>
      <c r="S74" s="60"/>
      <c r="T74" s="60"/>
      <c r="U74" s="60"/>
      <c r="V74" s="22"/>
      <c r="W74" s="22"/>
      <c r="X74" s="22"/>
      <c r="Y74" s="22"/>
      <c r="Z74" s="22"/>
      <c r="AA74" s="22"/>
    </row>
    <row r="75" spans="2:28" s="3" customFormat="1" ht="13">
      <c r="C75" s="40"/>
      <c r="D75" s="36" t="s">
        <v>219</v>
      </c>
      <c r="I75" s="248"/>
      <c r="K75" s="21"/>
      <c r="M75" s="59"/>
      <c r="N75" s="238"/>
      <c r="P75" s="60"/>
      <c r="Q75" s="60"/>
      <c r="R75" s="60"/>
      <c r="S75" s="60"/>
      <c r="T75" s="60"/>
      <c r="U75" s="60"/>
      <c r="V75" s="22"/>
      <c r="W75" s="22"/>
      <c r="X75" s="22"/>
      <c r="Y75" s="22"/>
      <c r="Z75" s="22"/>
      <c r="AA75" s="22"/>
    </row>
    <row r="76" spans="2:28" s="3" customFormat="1" ht="13">
      <c r="C76" s="40"/>
      <c r="D76" s="36" t="s">
        <v>348</v>
      </c>
      <c r="I76" s="248"/>
      <c r="K76" s="21"/>
      <c r="M76" s="59"/>
      <c r="N76" s="238"/>
      <c r="P76" s="60"/>
      <c r="Q76" s="60"/>
      <c r="R76" s="60"/>
      <c r="S76" s="60"/>
      <c r="T76" s="60"/>
      <c r="U76" s="60"/>
      <c r="V76" s="22"/>
      <c r="W76" s="22"/>
      <c r="X76" s="22"/>
      <c r="Y76" s="22"/>
      <c r="Z76" s="22"/>
      <c r="AA76" s="22"/>
    </row>
    <row r="77" spans="2:28" s="3" customFormat="1" ht="13">
      <c r="C77" s="40"/>
      <c r="D77" s="7"/>
      <c r="I77" s="248"/>
      <c r="K77" s="21"/>
      <c r="M77" s="59"/>
      <c r="N77" s="238"/>
      <c r="P77" s="60"/>
      <c r="Q77" s="60"/>
      <c r="R77" s="60"/>
      <c r="S77" s="60"/>
      <c r="T77" s="60"/>
      <c r="U77" s="60"/>
      <c r="V77" s="22"/>
      <c r="W77" s="22"/>
      <c r="X77" s="22"/>
      <c r="Y77" s="22"/>
      <c r="Z77" s="22"/>
      <c r="AA77" s="22"/>
    </row>
    <row r="78" spans="2:28" s="3" customFormat="1" ht="13">
      <c r="C78" s="61"/>
      <c r="D78" s="7"/>
      <c r="I78" s="248"/>
      <c r="K78" s="21"/>
      <c r="M78" s="59"/>
      <c r="N78" s="238"/>
      <c r="P78" s="60"/>
      <c r="Q78" s="60"/>
      <c r="R78" s="60"/>
      <c r="S78" s="60"/>
      <c r="T78" s="60"/>
      <c r="U78" s="60"/>
      <c r="V78" s="22"/>
      <c r="W78" s="22"/>
      <c r="X78" s="22"/>
      <c r="Y78" s="22"/>
      <c r="Z78" s="22"/>
      <c r="AA78" s="22"/>
    </row>
    <row r="79" spans="2:28" s="3" customFormat="1" ht="13">
      <c r="C79" s="61"/>
      <c r="E79" s="11"/>
      <c r="I79" s="248"/>
      <c r="K79" s="21"/>
      <c r="M79" s="62"/>
      <c r="N79" s="238"/>
      <c r="P79" s="60"/>
      <c r="Q79" s="60"/>
      <c r="R79" s="60"/>
      <c r="S79" s="60"/>
      <c r="T79" s="60"/>
      <c r="U79" s="60"/>
      <c r="V79" s="22"/>
      <c r="W79" s="22"/>
      <c r="X79" s="22"/>
      <c r="Y79" s="22"/>
      <c r="Z79" s="22"/>
      <c r="AA79" s="22"/>
    </row>
    <row r="80" spans="2:28" s="3" customFormat="1" ht="13">
      <c r="C80" s="61"/>
      <c r="E80" s="11"/>
      <c r="I80" s="248"/>
      <c r="K80" s="21"/>
      <c r="M80" s="62"/>
      <c r="N80" s="238"/>
      <c r="P80" s="60"/>
      <c r="Q80" s="60"/>
      <c r="R80" s="60"/>
      <c r="S80" s="60"/>
      <c r="T80" s="60"/>
      <c r="U80" s="60"/>
      <c r="V80" s="22"/>
      <c r="W80" s="22"/>
      <c r="X80" s="22"/>
      <c r="Y80" s="22"/>
      <c r="Z80" s="22"/>
      <c r="AA80" s="22"/>
    </row>
    <row r="81" spans="3:27" s="3" customFormat="1" ht="13">
      <c r="C81" s="61"/>
      <c r="E81" s="11"/>
      <c r="I81" s="248"/>
      <c r="K81" s="21"/>
      <c r="M81" s="62"/>
      <c r="N81" s="238"/>
      <c r="P81" s="60"/>
      <c r="Q81" s="60"/>
      <c r="R81" s="60"/>
      <c r="S81" s="60"/>
      <c r="T81" s="60"/>
      <c r="U81" s="60"/>
      <c r="V81" s="22"/>
      <c r="W81" s="22"/>
      <c r="X81" s="22"/>
      <c r="Y81" s="22"/>
      <c r="Z81" s="22"/>
      <c r="AA81" s="22"/>
    </row>
    <row r="82" spans="3:27" s="3" customFormat="1" ht="13">
      <c r="C82" s="61"/>
      <c r="E82" s="11"/>
      <c r="I82" s="248"/>
      <c r="K82" s="21"/>
      <c r="M82" s="63"/>
      <c r="N82" s="238"/>
      <c r="P82" s="23"/>
      <c r="Q82" s="23"/>
      <c r="R82" s="24"/>
      <c r="S82" s="24"/>
      <c r="T82" s="23"/>
      <c r="V82" s="22"/>
      <c r="W82" s="22"/>
      <c r="X82" s="22"/>
      <c r="Y82" s="22"/>
      <c r="Z82" s="22"/>
      <c r="AA82" s="22"/>
    </row>
    <row r="83" spans="3:27" s="3" customFormat="1" ht="13">
      <c r="C83" s="61"/>
      <c r="I83" s="238"/>
      <c r="M83" s="63"/>
      <c r="N83" s="238"/>
    </row>
    <row r="84" spans="3:27" s="3" customFormat="1" ht="13">
      <c r="C84" s="61"/>
      <c r="D84" s="7"/>
      <c r="I84" s="238"/>
      <c r="M84" s="64"/>
      <c r="N84" s="238"/>
      <c r="V84" s="25"/>
      <c r="W84" s="25"/>
      <c r="X84" s="25"/>
      <c r="Y84" s="25"/>
      <c r="Z84" s="25"/>
      <c r="AA84" s="25"/>
    </row>
    <row r="85" spans="3:27" s="3" customFormat="1" ht="13">
      <c r="C85" s="61"/>
      <c r="D85" s="7"/>
      <c r="I85" s="248"/>
      <c r="K85" s="21"/>
      <c r="M85" s="64"/>
      <c r="N85" s="248"/>
      <c r="P85" s="60"/>
      <c r="Q85" s="60"/>
      <c r="R85" s="60"/>
      <c r="S85" s="60"/>
      <c r="T85" s="60"/>
      <c r="U85" s="60"/>
      <c r="V85" s="22"/>
      <c r="W85" s="22"/>
      <c r="X85" s="22"/>
      <c r="Y85" s="22"/>
      <c r="Z85" s="22"/>
      <c r="AA85" s="22"/>
    </row>
    <row r="86" spans="3:27" ht="13">
      <c r="C86" s="42"/>
    </row>
    <row r="87" spans="3:27" ht="13">
      <c r="C87" s="42"/>
    </row>
    <row r="88" spans="3:27" ht="13">
      <c r="C88" s="42"/>
    </row>
    <row r="91" spans="3:27">
      <c r="H91">
        <f>35000000/500000000</f>
        <v>7.0000000000000007E-2</v>
      </c>
    </row>
    <row r="101" spans="7:7">
      <c r="G101" s="310"/>
    </row>
  </sheetData>
  <sheetProtection algorithmName="SHA-512" hashValue="BOKkTJ9SjnM6DL3w+cqq3tCkj86kmkuOXhkDWJAPqvVFnOxbbwE5hJdbuaNKoxCGBLFGyRueWNAhZOnibopWsw==" saltValue="FtBdUuUgoIeWxC63OZpcUw==" spinCount="100000" sheet="1"/>
  <customSheetViews>
    <customSheetView guid="{EB7FE26D-7077-48F2-8515-D783BE87A220}" scale="70" state="hidden" topLeftCell="A7">
      <selection activeCell="V24" sqref="V24"/>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A1:N10"/>
  <sheetViews>
    <sheetView workbookViewId="0">
      <selection activeCell="C7" sqref="C7"/>
    </sheetView>
  </sheetViews>
  <sheetFormatPr defaultColWidth="9.1796875" defaultRowHeight="12.5"/>
  <cols>
    <col min="1" max="1" width="39" style="339" customWidth="1"/>
    <col min="2" max="2" width="8.81640625" style="360" customWidth="1"/>
    <col min="3" max="3" width="11.6328125" style="339" customWidth="1"/>
    <col min="4" max="4" width="17.453125" style="339" customWidth="1"/>
    <col min="5" max="5" width="13.81640625" style="339" customWidth="1"/>
    <col min="6" max="8" width="9.1796875" style="339"/>
    <col min="9" max="9" width="12.453125" style="339" customWidth="1"/>
    <col min="10" max="10" width="9.1796875" style="339"/>
    <col min="11" max="11" width="16.1796875" style="339" customWidth="1"/>
    <col min="12" max="12" width="12.1796875" style="339" customWidth="1"/>
    <col min="13" max="13" width="9.1796875" style="339"/>
    <col min="14" max="14" width="0" style="339" hidden="1" customWidth="1"/>
    <col min="15" max="16384" width="9.1796875" style="339"/>
  </cols>
  <sheetData>
    <row r="1" spans="1:14" ht="13">
      <c r="A1" s="356" t="s">
        <v>974</v>
      </c>
      <c r="B1" s="357"/>
    </row>
    <row r="2" spans="1:14" ht="30" customHeight="1">
      <c r="A2" s="840" t="str">
        <f>IF(ISNA(MATCH("n",N5:N6,0)),"",trans_warning)</f>
        <v/>
      </c>
      <c r="B2" s="841"/>
      <c r="C2" s="841"/>
      <c r="D2" s="841"/>
      <c r="E2" s="841"/>
      <c r="F2" s="841"/>
      <c r="G2" s="841"/>
      <c r="H2" s="841"/>
      <c r="I2" s="841"/>
      <c r="J2" s="841"/>
      <c r="K2" s="841"/>
      <c r="L2" s="842"/>
    </row>
    <row r="3" spans="1:14" s="361" customFormat="1" ht="26">
      <c r="A3" s="710" t="s">
        <v>312</v>
      </c>
      <c r="B3" s="712" t="s">
        <v>365</v>
      </c>
      <c r="C3" s="712" t="s">
        <v>496</v>
      </c>
      <c r="D3" s="710"/>
      <c r="E3" s="714" t="s">
        <v>358</v>
      </c>
      <c r="F3" s="837" t="s">
        <v>363</v>
      </c>
      <c r="G3" s="838"/>
      <c r="H3" s="838"/>
      <c r="I3" s="838"/>
      <c r="J3" s="838"/>
      <c r="K3" s="839"/>
      <c r="L3" s="710"/>
    </row>
    <row r="4" spans="1:14" ht="39.5" thickBot="1">
      <c r="A4" s="710" t="s">
        <v>443</v>
      </c>
      <c r="B4" s="718" t="str">
        <f>quest</f>
        <v>Y/N/?</v>
      </c>
      <c r="C4" s="715" t="s">
        <v>414</v>
      </c>
      <c r="D4" s="712" t="s">
        <v>35</v>
      </c>
      <c r="E4" s="712" t="s">
        <v>362</v>
      </c>
      <c r="F4" s="717" t="s">
        <v>38</v>
      </c>
      <c r="G4" s="717" t="s">
        <v>39</v>
      </c>
      <c r="H4" s="717" t="s">
        <v>40</v>
      </c>
      <c r="I4" s="712" t="s">
        <v>499</v>
      </c>
      <c r="J4" s="712" t="s">
        <v>42</v>
      </c>
      <c r="K4" s="712" t="s">
        <v>364</v>
      </c>
      <c r="L4" s="710" t="s">
        <v>357</v>
      </c>
      <c r="M4" s="323" t="s">
        <v>56</v>
      </c>
    </row>
    <row r="5" spans="1:14">
      <c r="A5" s="270" t="s">
        <v>303</v>
      </c>
      <c r="B5" s="614"/>
      <c r="C5" s="377"/>
      <c r="D5" s="348" t="s">
        <v>960</v>
      </c>
      <c r="E5" s="460" t="str">
        <f>IF(OR($B5=yes,$B5=yes),'New5-10 Crem n cem'!K6, IF(OR($B5=no,$B5=no),"-", IF($B5=que,que, pres)))</f>
        <v>Present?</v>
      </c>
      <c r="F5" s="280" t="str">
        <f>IF(OR($B5=yes,$B5=yes),'New5-10 Crem n cem'!V6, IF(OR($B5=no,$B5=no),"-", IF($B5=que,que, pres)))</f>
        <v>Present?</v>
      </c>
      <c r="G5" s="280" t="str">
        <f>IF(OR($B5=yes,$B5=yes),'New5-10 Crem n cem'!W6, IF(OR($B5=no,$B5=no),"-", IF($B5=que,que, pres)))</f>
        <v>Present?</v>
      </c>
      <c r="H5" s="280" t="str">
        <f>IF(OR($B5=yes,$B5=yes),'New5-10 Crem n cem'!X6, IF(OR($B5=no,$B5=no),"-", IF($B5=que,que, pres)))</f>
        <v>Present?</v>
      </c>
      <c r="I5" s="280" t="str">
        <f>IF(OR($B5=yes,$B5=yes),'New5-10 Crem n cem'!Y6, IF(OR($B5=no,$B5=no),"-", IF($B5=que,que, pres)))</f>
        <v>Present?</v>
      </c>
      <c r="J5" s="280" t="str">
        <f>IF(OR($B5=yes,$B5=yes),'New5-10 Crem n cem'!Z6, IF(OR($B5=no,$B5=no),"-", IF($B5=que,que, pres)))</f>
        <v>Present?</v>
      </c>
      <c r="K5" s="280" t="str">
        <f>IF(OR($B5=yes,$B5=yes),'New5-10 Crem n cem'!AA6, IF(OR($B5=no,$B5=no),"-", IF($B5=que,que, pres)))</f>
        <v>Present?</v>
      </c>
      <c r="L5" s="273" t="s">
        <v>309</v>
      </c>
      <c r="M5" s="463"/>
      <c r="N5" s="339" t="str">
        <f>INDEX('Range-thresholds'!$G$6:$G$73,MATCH(A5,'Range-thresholds'!$A$6:$A$73,0))</f>
        <v/>
      </c>
    </row>
    <row r="6" spans="1:14" ht="13" thickBot="1">
      <c r="A6" s="270" t="s">
        <v>431</v>
      </c>
      <c r="B6" s="616"/>
      <c r="C6" s="400"/>
      <c r="D6" s="348" t="s">
        <v>961</v>
      </c>
      <c r="E6" s="460" t="str">
        <f>IF(OR($B6=yes,$B6=yes),'New5-10 Crem n cem'!K8, IF(OR($B6=no,$B6=no),"-", IF($B6=que,que, pres)))</f>
        <v>Present?</v>
      </c>
      <c r="F6" s="280" t="str">
        <f>IF(OR($B6=yes,$B6=yes),'New5-10 Crem n cem'!V8, IF(OR($B6=no,$B6=no),"-", IF($B6=que,que, pres)))</f>
        <v>Present?</v>
      </c>
      <c r="G6" s="280" t="str">
        <f>IF(OR($B6=yes,$B6=yes),'New5-10 Crem n cem'!W8, IF(OR($B6=no,$B6=no),"-", IF($B6=que,que, pres)))</f>
        <v>Present?</v>
      </c>
      <c r="H6" s="280" t="str">
        <f>IF(OR($B6=yes,$B6=yes),'New5-10 Crem n cem'!X8, IF(OR($B6=no,$B6=no),"-", IF($B6=que,que, pres)))</f>
        <v>Present?</v>
      </c>
      <c r="I6" s="280" t="str">
        <f>IF(OR($B6=yes,$B6=yes),'New5-10 Crem n cem'!Y8, IF(OR($B6=no,$B6=no),"-", IF($B6=que,que, pres)))</f>
        <v>Present?</v>
      </c>
      <c r="J6" s="280" t="str">
        <f>IF(OR($B6=yes,$B6=yes),'New5-10 Crem n cem'!Z8, IF(OR($B6=no,$B6=no),"-", IF($B6=que,que, pres)))</f>
        <v>Present?</v>
      </c>
      <c r="K6" s="280" t="str">
        <f>IF(OR($B6=yes,$B6=yes),'New5-10 Crem n cem'!AA8, IF(OR($B6=no,$B6=no),"-", IF($B6=que,que, pres)))</f>
        <v>Present?</v>
      </c>
      <c r="L6" s="273" t="s">
        <v>310</v>
      </c>
      <c r="M6" s="463"/>
      <c r="N6" s="339" t="str">
        <f>INDEX('Range-thresholds'!$G$6:$G$73,MATCH(A6,'Range-thresholds'!$A$6:$A$73,0))</f>
        <v/>
      </c>
    </row>
    <row r="8" spans="1:14">
      <c r="C8" s="831">
        <f>'Step6-Hg products-substances'!C11</f>
        <v>0.82919079065322876</v>
      </c>
      <c r="D8" s="273" t="s">
        <v>954</v>
      </c>
      <c r="E8" s="273"/>
      <c r="F8" s="273"/>
    </row>
    <row r="9" spans="1:14">
      <c r="A9" s="585" t="s">
        <v>979</v>
      </c>
    </row>
    <row r="10" spans="1:14">
      <c r="A10" s="585" t="s">
        <v>976</v>
      </c>
    </row>
  </sheetData>
  <sheetProtection algorithmName="SHA-512" hashValue="A2z2DDVjgYQIVJme40L+uNYwzJ8TsVIlbb6I6iebCR2OUUSQoNaGnGKQmvFlb5iKXlKJymMskFv4/O2xpSgY3Q==" saltValue="TKxuPwoLn0O08MpDiegAXQ==" spinCount="100000" sheet="1"/>
  <customSheetViews>
    <customSheetView guid="{EB7FE26D-7077-48F2-8515-D783BE87A220}" fitToPage="1" hiddenColumns="1">
      <selection activeCell="A2" sqref="A2:L2"/>
      <pageMargins left="0.39370078740157483" right="0.39370078740157483" top="0.74803149606299213" bottom="0.74803149606299213" header="0.31496062992125984" footer="0.31496062992125984"/>
      <pageSetup paperSize="9" scale="84" orientation="landscape" r:id="rId1"/>
      <headerFooter>
        <oddFooter>&amp;L&amp;A
Printed &amp;D</oddFooter>
      </headerFooter>
    </customSheetView>
  </customSheetViews>
  <mergeCells count="2">
    <mergeCell ref="F3:K3"/>
    <mergeCell ref="A2:L2"/>
  </mergeCells>
  <conditionalFormatting sqref="E5:E6">
    <cfRule type="expression" dxfId="7" priority="5" stopIfTrue="1">
      <formula>AND(B5="y",N5="n")</formula>
    </cfRule>
  </conditionalFormatting>
  <conditionalFormatting sqref="A2">
    <cfRule type="expression" dxfId="6" priority="4" stopIfTrue="1">
      <formula>$A$2&lt;&gt;""</formula>
    </cfRule>
  </conditionalFormatting>
  <dataValidations count="2">
    <dataValidation type="decimal" allowBlank="1" showInputMessage="1" showErrorMessage="1" errorTitle="Input error" error="Use digits and decimal mark only." promptTitle="Input cell" prompt="Use digits and decimal mark only." sqref="C5:C6" xr:uid="{00000000-0002-0000-0D00-000000000000}">
      <formula1>-9.99999999999999E+22</formula1>
      <formula2>9.99999999999999E+22</formula2>
    </dataValidation>
    <dataValidation type="list" allowBlank="1" showInputMessage="1" showErrorMessage="1" errorTitle="Input error" error="Enter only y, n or ? (or translation of these)" sqref="B5:B6" xr:uid="{00000000-0002-0000-0D00-000001000000}">
      <formula1>yn?</formula1>
    </dataValidation>
  </dataValidations>
  <pageMargins left="0.39370078740157483" right="0.39370078740157483" top="0.74803149606299213" bottom="0.74803149606299213" header="0.31496062992125984" footer="0.31496062992125984"/>
  <pageSetup paperSize="9" scale="84" orientation="landscape" r:id="rId2"/>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 id="{171663B9-D7F6-46C8-B10B-8985F1E572F4}">
            <xm:f>'Insert IL2 results'!$K77&lt;&gt;""</xm:f>
            <x14:dxf>
              <font>
                <color rgb="FFFF0000"/>
              </font>
            </x14:dxf>
          </x14:cfRule>
          <xm:sqref>A9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B81"/>
  <sheetViews>
    <sheetView topLeftCell="A7" workbookViewId="0">
      <selection activeCell="I13" sqref="I13"/>
    </sheetView>
  </sheetViews>
  <sheetFormatPr defaultColWidth="8.81640625" defaultRowHeight="12.5"/>
  <cols>
    <col min="1" max="1" width="3.453125" customWidth="1"/>
    <col min="2" max="2" width="5.1796875" customWidth="1"/>
    <col min="3" max="3" width="25.81640625" customWidth="1"/>
    <col min="4" max="4" width="7.453125" customWidth="1"/>
    <col min="5" max="5" width="10.36328125" customWidth="1"/>
    <col min="6" max="6" width="16.36328125" customWidth="1"/>
    <col min="7" max="7" width="10.1796875" customWidth="1"/>
    <col min="8" max="8" width="19.36328125" customWidth="1"/>
    <col min="9" max="9" width="18.36328125" style="239" customWidth="1"/>
    <col min="10" max="10" width="25.36328125" customWidth="1"/>
    <col min="11" max="11" width="10.36328125" bestFit="1" customWidth="1"/>
    <col min="13" max="13" width="27.453125" style="13" customWidth="1"/>
    <col min="14" max="14" width="9.1796875" style="239"/>
    <col min="21" max="21" width="16.453125" customWidth="1"/>
    <col min="26" max="26" width="12.81640625" customWidth="1"/>
    <col min="27" max="27" width="17" customWidth="1"/>
    <col min="28" max="28" width="63.453125" customWidth="1"/>
  </cols>
  <sheetData>
    <row r="1" spans="1:28" ht="18">
      <c r="A1" s="1" t="s">
        <v>998</v>
      </c>
      <c r="I1" s="230"/>
      <c r="N1" s="230"/>
      <c r="V1" s="3"/>
      <c r="W1" s="3"/>
      <c r="X1" s="3"/>
      <c r="Y1" s="3"/>
      <c r="Z1" s="3"/>
      <c r="AA1" s="3"/>
    </row>
    <row r="2" spans="1:28" ht="14">
      <c r="A2" s="54" t="s">
        <v>311</v>
      </c>
      <c r="I2" s="230"/>
      <c r="L2" s="48"/>
      <c r="M2" s="48"/>
      <c r="N2" s="230"/>
    </row>
    <row r="3" spans="1:28" s="5" customFormat="1" ht="13">
      <c r="D3" s="7"/>
      <c r="E3" s="7"/>
      <c r="F3" s="7"/>
      <c r="G3" s="7"/>
      <c r="H3" s="7"/>
      <c r="I3" s="254"/>
      <c r="J3" s="7"/>
      <c r="K3" s="7"/>
      <c r="L3" s="30"/>
      <c r="M3" s="30"/>
      <c r="N3" s="254"/>
      <c r="O3" s="7"/>
      <c r="P3" s="65" t="s">
        <v>55</v>
      </c>
      <c r="Q3" s="65"/>
      <c r="R3" s="65"/>
      <c r="S3" s="65"/>
      <c r="T3" s="65"/>
      <c r="U3" s="65"/>
      <c r="V3" s="10" t="s">
        <v>54</v>
      </c>
      <c r="W3" s="102"/>
      <c r="X3" s="102"/>
      <c r="Y3" s="102"/>
      <c r="Z3" s="102"/>
      <c r="AA3" s="102"/>
      <c r="AB3" s="65"/>
    </row>
    <row r="4" spans="1:28" s="143" customFormat="1" ht="39">
      <c r="A4" s="143" t="s">
        <v>52</v>
      </c>
      <c r="B4" s="143" t="s">
        <v>50</v>
      </c>
      <c r="C4" s="133" t="s">
        <v>59</v>
      </c>
      <c r="D4" s="111" t="s">
        <v>153</v>
      </c>
      <c r="E4" s="133" t="s">
        <v>49</v>
      </c>
      <c r="F4" s="142" t="s">
        <v>35</v>
      </c>
      <c r="G4" s="111" t="s">
        <v>37</v>
      </c>
      <c r="H4" s="142" t="s">
        <v>35</v>
      </c>
      <c r="I4" s="244" t="s">
        <v>51</v>
      </c>
      <c r="J4" s="143" t="s">
        <v>35</v>
      </c>
      <c r="K4" s="83" t="s">
        <v>61</v>
      </c>
      <c r="L4" s="142" t="s">
        <v>35</v>
      </c>
      <c r="M4" s="145" t="s">
        <v>57</v>
      </c>
      <c r="N4" s="244" t="s">
        <v>92</v>
      </c>
      <c r="O4" s="142" t="s">
        <v>35</v>
      </c>
      <c r="P4" s="110" t="s">
        <v>38</v>
      </c>
      <c r="Q4" s="110" t="s">
        <v>39</v>
      </c>
      <c r="R4" s="110" t="s">
        <v>40</v>
      </c>
      <c r="S4" s="110" t="s">
        <v>408</v>
      </c>
      <c r="T4" s="111" t="s">
        <v>42</v>
      </c>
      <c r="U4" s="111" t="s">
        <v>227</v>
      </c>
      <c r="V4" s="56" t="s">
        <v>38</v>
      </c>
      <c r="W4" s="56" t="s">
        <v>39</v>
      </c>
      <c r="X4" s="56" t="s">
        <v>40</v>
      </c>
      <c r="Y4" s="56" t="s">
        <v>456</v>
      </c>
      <c r="Z4" s="57" t="s">
        <v>42</v>
      </c>
      <c r="AA4" s="57" t="s">
        <v>227</v>
      </c>
      <c r="AB4" s="110" t="s">
        <v>87</v>
      </c>
    </row>
    <row r="5" spans="1:28" s="128" customFormat="1" ht="39">
      <c r="A5" s="128" t="s">
        <v>88</v>
      </c>
      <c r="C5" s="133" t="s">
        <v>212</v>
      </c>
      <c r="D5" s="110"/>
      <c r="F5" s="127"/>
      <c r="G5" s="75"/>
      <c r="H5" s="127"/>
      <c r="I5" s="332"/>
      <c r="K5" s="112"/>
      <c r="L5" s="127"/>
      <c r="M5" s="134"/>
      <c r="N5" s="246"/>
      <c r="O5" s="127"/>
      <c r="P5" s="75"/>
      <c r="Q5" s="75"/>
      <c r="R5" s="75"/>
      <c r="S5" s="75"/>
      <c r="T5" s="75"/>
      <c r="U5" s="75"/>
      <c r="V5" s="58"/>
      <c r="W5" s="58"/>
      <c r="X5" s="58"/>
      <c r="Y5" s="58"/>
      <c r="Z5" s="58"/>
      <c r="AA5" s="58"/>
      <c r="AB5" s="75"/>
    </row>
    <row r="6" spans="1:28" ht="13">
      <c r="B6" t="s">
        <v>89</v>
      </c>
      <c r="C6" s="12" t="s">
        <v>90</v>
      </c>
      <c r="D6" s="110"/>
      <c r="G6" s="75"/>
      <c r="I6" s="332"/>
      <c r="K6" s="113"/>
      <c r="L6" s="3"/>
      <c r="M6" s="14"/>
      <c r="N6" s="246"/>
      <c r="O6" s="3"/>
      <c r="P6" s="283"/>
      <c r="Q6" s="283"/>
      <c r="R6" s="283"/>
      <c r="S6" s="283"/>
      <c r="T6" s="283"/>
      <c r="U6" s="283"/>
      <c r="V6" s="113">
        <f t="shared" ref="V6:AA6" si="0">SUM(V7:V17)</f>
        <v>0</v>
      </c>
      <c r="W6" s="113">
        <f t="shared" si="0"/>
        <v>0</v>
      </c>
      <c r="X6" s="113">
        <f t="shared" si="0"/>
        <v>0</v>
      </c>
      <c r="Y6" s="113">
        <f t="shared" si="0"/>
        <v>0</v>
      </c>
      <c r="Z6" s="113">
        <f t="shared" si="0"/>
        <v>0</v>
      </c>
      <c r="AA6" s="113">
        <f t="shared" si="0"/>
        <v>0</v>
      </c>
      <c r="AB6" s="75"/>
    </row>
    <row r="7" spans="1:28" ht="13">
      <c r="C7" s="12" t="s">
        <v>350</v>
      </c>
      <c r="D7" s="110"/>
      <c r="E7" s="6"/>
      <c r="F7" s="3"/>
      <c r="G7" s="75">
        <v>1</v>
      </c>
      <c r="H7" s="3"/>
      <c r="I7" s="333">
        <f>'Step4-Industrial Hg use'!C10</f>
        <v>0</v>
      </c>
      <c r="J7" s="8" t="s">
        <v>451</v>
      </c>
      <c r="K7" s="167">
        <f>I7*G7</f>
        <v>0</v>
      </c>
      <c r="L7" s="3" t="s">
        <v>36</v>
      </c>
      <c r="M7" s="14" t="s">
        <v>350</v>
      </c>
      <c r="N7" s="247">
        <f>K7</f>
        <v>0</v>
      </c>
      <c r="O7" s="3" t="s">
        <v>36</v>
      </c>
      <c r="P7" s="296">
        <v>0.01</v>
      </c>
      <c r="Q7" s="296">
        <v>5.0000000000000001E-3</v>
      </c>
      <c r="R7" s="296">
        <v>0.1</v>
      </c>
      <c r="S7" s="296"/>
      <c r="T7" s="296">
        <v>0.1</v>
      </c>
      <c r="U7" s="296">
        <v>0.01</v>
      </c>
      <c r="V7" s="115">
        <f t="shared" ref="V7:AA7" si="1">$N7*P7</f>
        <v>0</v>
      </c>
      <c r="W7" s="115">
        <f t="shared" si="1"/>
        <v>0</v>
      </c>
      <c r="X7" s="115">
        <f t="shared" si="1"/>
        <v>0</v>
      </c>
      <c r="Y7" s="115">
        <f t="shared" si="1"/>
        <v>0</v>
      </c>
      <c r="Z7" s="115">
        <f>$N7*T7</f>
        <v>0</v>
      </c>
      <c r="AA7" s="115">
        <f t="shared" si="1"/>
        <v>0</v>
      </c>
      <c r="AB7" s="75"/>
    </row>
    <row r="8" spans="1:28" ht="13">
      <c r="C8" s="53" t="s">
        <v>93</v>
      </c>
      <c r="D8" s="75"/>
      <c r="E8" s="6" t="s">
        <v>106</v>
      </c>
      <c r="F8" s="3" t="s">
        <v>110</v>
      </c>
      <c r="G8" s="75">
        <v>1</v>
      </c>
      <c r="H8" s="3" t="s">
        <v>110</v>
      </c>
      <c r="I8" s="247"/>
      <c r="J8" t="s">
        <v>111</v>
      </c>
      <c r="K8" s="114">
        <f>G8*I8/1000</f>
        <v>0</v>
      </c>
      <c r="L8" s="3" t="s">
        <v>36</v>
      </c>
      <c r="M8" s="15"/>
      <c r="N8" s="247"/>
      <c r="O8" s="3"/>
      <c r="P8" s="296"/>
      <c r="Q8" s="296"/>
      <c r="R8" s="296"/>
      <c r="S8" s="296"/>
      <c r="T8" s="296"/>
      <c r="U8" s="296"/>
      <c r="V8" s="115"/>
      <c r="W8" s="115"/>
      <c r="X8" s="115"/>
      <c r="Y8" s="115"/>
      <c r="Z8" s="115"/>
      <c r="AA8" s="115"/>
      <c r="AB8" s="75"/>
    </row>
    <row r="9" spans="1:28" ht="13">
      <c r="C9" s="53" t="s">
        <v>94</v>
      </c>
      <c r="D9" s="75"/>
      <c r="E9" s="6" t="s">
        <v>108</v>
      </c>
      <c r="F9" s="3" t="s">
        <v>110</v>
      </c>
      <c r="G9" s="75">
        <v>3.5</v>
      </c>
      <c r="H9" s="3" t="s">
        <v>110</v>
      </c>
      <c r="I9" s="247"/>
      <c r="J9" t="s">
        <v>111</v>
      </c>
      <c r="K9" s="114">
        <f>G9*I9/1000</f>
        <v>0</v>
      </c>
      <c r="L9" s="3" t="s">
        <v>36</v>
      </c>
      <c r="M9" s="15"/>
      <c r="N9" s="247"/>
      <c r="O9" s="3"/>
      <c r="P9" s="296"/>
      <c r="Q9" s="296"/>
      <c r="R9" s="296"/>
      <c r="S9" s="296"/>
      <c r="T9" s="296"/>
      <c r="U9" s="296"/>
      <c r="V9" s="115"/>
      <c r="W9" s="115"/>
      <c r="X9" s="115"/>
      <c r="Y9" s="115"/>
      <c r="Z9" s="115"/>
      <c r="AA9" s="115"/>
      <c r="AB9" s="75"/>
    </row>
    <row r="10" spans="1:28" ht="13">
      <c r="C10" s="53" t="s">
        <v>95</v>
      </c>
      <c r="D10" s="75"/>
      <c r="E10" s="6" t="s">
        <v>107</v>
      </c>
      <c r="F10" s="3" t="s">
        <v>110</v>
      </c>
      <c r="G10" s="75">
        <v>103</v>
      </c>
      <c r="H10" s="3" t="s">
        <v>110</v>
      </c>
      <c r="I10" s="247"/>
      <c r="J10" t="s">
        <v>111</v>
      </c>
      <c r="K10" s="114">
        <f>G10*I10/1000</f>
        <v>0</v>
      </c>
      <c r="L10" s="3" t="s">
        <v>36</v>
      </c>
      <c r="M10" s="15"/>
      <c r="N10" s="247"/>
      <c r="O10" s="3"/>
      <c r="P10" s="296"/>
      <c r="Q10" s="296"/>
      <c r="R10" s="296"/>
      <c r="S10" s="296"/>
      <c r="T10" s="296"/>
      <c r="U10" s="296"/>
      <c r="V10" s="115"/>
      <c r="W10" s="115"/>
      <c r="X10" s="115"/>
      <c r="Y10" s="115"/>
      <c r="Z10" s="115"/>
      <c r="AA10" s="115"/>
      <c r="AB10" s="75"/>
    </row>
    <row r="11" spans="1:28" ht="13">
      <c r="C11" s="53" t="s">
        <v>96</v>
      </c>
      <c r="D11" s="75"/>
      <c r="E11" s="6" t="s">
        <v>109</v>
      </c>
      <c r="F11" s="3" t="s">
        <v>110</v>
      </c>
      <c r="G11" s="75">
        <v>20.5</v>
      </c>
      <c r="H11" s="3" t="s">
        <v>110</v>
      </c>
      <c r="I11" s="247"/>
      <c r="J11" t="s">
        <v>111</v>
      </c>
      <c r="K11" s="114">
        <f>G11*I11/1000</f>
        <v>0</v>
      </c>
      <c r="L11" s="3" t="s">
        <v>36</v>
      </c>
      <c r="N11" s="247"/>
      <c r="O11" s="3"/>
      <c r="P11" s="296"/>
      <c r="Q11" s="296"/>
      <c r="R11" s="296"/>
      <c r="S11" s="296"/>
      <c r="T11" s="296"/>
      <c r="U11" s="296"/>
      <c r="V11" s="115"/>
      <c r="W11" s="115"/>
      <c r="X11" s="115"/>
      <c r="Y11" s="115"/>
      <c r="Z11" s="115"/>
      <c r="AA11" s="115"/>
      <c r="AB11" s="75"/>
    </row>
    <row r="12" spans="1:28" ht="13">
      <c r="C12" s="66" t="s">
        <v>100</v>
      </c>
      <c r="D12" s="110"/>
      <c r="E12" s="6"/>
      <c r="F12" s="3"/>
      <c r="G12" s="75"/>
      <c r="H12" s="3"/>
      <c r="I12" s="247"/>
      <c r="J12" s="307" t="s">
        <v>455</v>
      </c>
      <c r="K12" s="167">
        <f>SUM(K13:K16)</f>
        <v>0</v>
      </c>
      <c r="L12" s="3" t="s">
        <v>36</v>
      </c>
      <c r="M12" s="16" t="s">
        <v>100</v>
      </c>
      <c r="N12" s="247"/>
      <c r="O12" s="3" t="s">
        <v>36</v>
      </c>
      <c r="P12" s="296"/>
      <c r="Q12" s="296"/>
      <c r="R12" s="296"/>
      <c r="S12" s="296"/>
      <c r="T12" s="296"/>
      <c r="U12" s="297"/>
      <c r="V12" s="115"/>
      <c r="W12" s="115"/>
      <c r="X12" s="115"/>
      <c r="Y12" s="115"/>
      <c r="Z12" s="115"/>
      <c r="AA12" s="115"/>
      <c r="AB12" s="75"/>
    </row>
    <row r="13" spans="1:28" ht="26">
      <c r="C13" s="53" t="s">
        <v>93</v>
      </c>
      <c r="D13" s="75"/>
      <c r="E13" s="6" t="s">
        <v>106</v>
      </c>
      <c r="F13" s="3" t="s">
        <v>110</v>
      </c>
      <c r="G13" s="75">
        <v>1</v>
      </c>
      <c r="H13" s="3" t="s">
        <v>110</v>
      </c>
      <c r="I13" s="247">
        <f>IF('Step6-Hg products-substances'!B16=yes,'Step6-Hg products-substances'!C16,0)</f>
        <v>0</v>
      </c>
      <c r="J13" t="s">
        <v>111</v>
      </c>
      <c r="K13" s="114">
        <f>G13*I13/1000</f>
        <v>0</v>
      </c>
      <c r="L13" s="3" t="s">
        <v>36</v>
      </c>
      <c r="M13" s="15" t="s">
        <v>97</v>
      </c>
      <c r="N13" s="321">
        <f>IF(AND('Step5-Waste treatment+recycling'!$B$4=yes,'Step5-Waste treatment+recycling'!$E$4=no),K12,0)</f>
        <v>0</v>
      </c>
      <c r="O13" s="3" t="s">
        <v>36</v>
      </c>
      <c r="P13" s="296">
        <v>0.1</v>
      </c>
      <c r="Q13" s="296">
        <v>0.3</v>
      </c>
      <c r="R13" s="296"/>
      <c r="S13" s="296"/>
      <c r="T13" s="296">
        <v>0.6</v>
      </c>
      <c r="U13" s="296"/>
      <c r="V13" s="115">
        <f t="shared" ref="V13:Y15" si="2">$N13*P13</f>
        <v>0</v>
      </c>
      <c r="W13" s="115">
        <f t="shared" si="2"/>
        <v>0</v>
      </c>
      <c r="X13" s="115">
        <f t="shared" si="2"/>
        <v>0</v>
      </c>
      <c r="Y13" s="115">
        <f t="shared" si="2"/>
        <v>0</v>
      </c>
      <c r="Z13" s="115">
        <f t="shared" ref="Z13:AA15" si="3">$N13*T13</f>
        <v>0</v>
      </c>
      <c r="AA13" s="115">
        <f t="shared" si="3"/>
        <v>0</v>
      </c>
      <c r="AB13" s="75"/>
    </row>
    <row r="14" spans="1:28" ht="26">
      <c r="C14" s="53" t="s">
        <v>94</v>
      </c>
      <c r="D14" s="75"/>
      <c r="E14" s="6" t="s">
        <v>108</v>
      </c>
      <c r="F14" s="3" t="s">
        <v>110</v>
      </c>
      <c r="G14" s="75">
        <v>3.5</v>
      </c>
      <c r="H14" s="3" t="s">
        <v>110</v>
      </c>
      <c r="I14" s="247">
        <f>IF('Step6-Hg products-substances'!B17=yes,0.5*'Step6-Hg products-substances'!C17,0)</f>
        <v>0</v>
      </c>
      <c r="J14" t="s">
        <v>111</v>
      </c>
      <c r="K14" s="114">
        <f>G14*I14/1000</f>
        <v>0</v>
      </c>
      <c r="L14" s="3" t="s">
        <v>36</v>
      </c>
      <c r="M14" s="15" t="s">
        <v>112</v>
      </c>
      <c r="N14" s="321">
        <f>IF(AND('Step5-Waste treatment+recycling'!$B$4=no,OR('Step5-Waste treatment+recycling'!$E$4=no,'Step5-Waste treatment+recycling'!$E$4=yes,'Step5-Waste treatment+recycling'!$E$4="")),K12,0)</f>
        <v>0</v>
      </c>
      <c r="O14" s="3" t="s">
        <v>36</v>
      </c>
      <c r="P14" s="296">
        <v>0.2</v>
      </c>
      <c r="Q14" s="296">
        <v>0.3</v>
      </c>
      <c r="R14" s="296">
        <v>0.2</v>
      </c>
      <c r="S14" s="296"/>
      <c r="T14" s="296">
        <v>0.3</v>
      </c>
      <c r="U14" s="296"/>
      <c r="V14" s="115">
        <f t="shared" si="2"/>
        <v>0</v>
      </c>
      <c r="W14" s="115">
        <f t="shared" si="2"/>
        <v>0</v>
      </c>
      <c r="X14" s="115">
        <f t="shared" si="2"/>
        <v>0</v>
      </c>
      <c r="Y14" s="115">
        <f t="shared" si="2"/>
        <v>0</v>
      </c>
      <c r="Z14" s="115">
        <f t="shared" si="3"/>
        <v>0</v>
      </c>
      <c r="AA14" s="115">
        <f t="shared" si="3"/>
        <v>0</v>
      </c>
      <c r="AB14" s="75"/>
    </row>
    <row r="15" spans="1:28" ht="26">
      <c r="C15" s="53" t="s">
        <v>95</v>
      </c>
      <c r="D15" s="75"/>
      <c r="E15" s="6" t="s">
        <v>107</v>
      </c>
      <c r="F15" s="3" t="s">
        <v>110</v>
      </c>
      <c r="G15" s="75">
        <v>103</v>
      </c>
      <c r="H15" s="3" t="s">
        <v>110</v>
      </c>
      <c r="I15" s="247">
        <f>IF('Step6-Hg products-substances'!B18=yes,'Step6-Hg products-substances'!C18,0)</f>
        <v>0</v>
      </c>
      <c r="J15" t="s">
        <v>111</v>
      </c>
      <c r="K15" s="114">
        <f>G15*I15/1000</f>
        <v>0</v>
      </c>
      <c r="L15" s="3" t="s">
        <v>36</v>
      </c>
      <c r="M15" s="15" t="s">
        <v>98</v>
      </c>
      <c r="N15" s="321">
        <f>IF(AND('Step5-Waste treatment+recycling'!$B$4=yes,'Step5-Waste treatment+recycling'!$E$4=yes),K12,0)</f>
        <v>0</v>
      </c>
      <c r="O15" s="3" t="s">
        <v>36</v>
      </c>
      <c r="P15" s="296">
        <v>0.1</v>
      </c>
      <c r="Q15" s="296">
        <v>0.3</v>
      </c>
      <c r="R15" s="296"/>
      <c r="S15" s="296"/>
      <c r="T15" s="296">
        <v>0.3</v>
      </c>
      <c r="U15" s="296">
        <v>0.3</v>
      </c>
      <c r="V15" s="115">
        <f t="shared" si="2"/>
        <v>0</v>
      </c>
      <c r="W15" s="115">
        <f t="shared" si="2"/>
        <v>0</v>
      </c>
      <c r="X15" s="115">
        <f t="shared" si="2"/>
        <v>0</v>
      </c>
      <c r="Y15" s="115">
        <f t="shared" si="2"/>
        <v>0</v>
      </c>
      <c r="Z15" s="115">
        <f t="shared" si="3"/>
        <v>0</v>
      </c>
      <c r="AA15" s="115">
        <f t="shared" si="3"/>
        <v>0</v>
      </c>
      <c r="AB15" s="75"/>
    </row>
    <row r="16" spans="1:28" ht="13">
      <c r="C16" s="53" t="s">
        <v>96</v>
      </c>
      <c r="D16" s="75"/>
      <c r="E16" s="27" t="s">
        <v>109</v>
      </c>
      <c r="F16" s="3" t="s">
        <v>110</v>
      </c>
      <c r="G16" s="75">
        <v>20.5</v>
      </c>
      <c r="H16" s="3" t="s">
        <v>110</v>
      </c>
      <c r="I16" s="247">
        <f>IF('Step6-Hg products-substances'!B17=yes,0.5*'Step6-Hg products-substances'!C17,0)</f>
        <v>0</v>
      </c>
      <c r="J16" t="s">
        <v>111</v>
      </c>
      <c r="K16" s="114">
        <f>G16*I16/1000</f>
        <v>0</v>
      </c>
      <c r="L16" s="3" t="s">
        <v>36</v>
      </c>
      <c r="N16" s="247"/>
      <c r="O16" s="3"/>
      <c r="P16" s="296"/>
      <c r="Q16" s="296"/>
      <c r="R16" s="296"/>
      <c r="S16" s="296"/>
      <c r="T16" s="296"/>
      <c r="U16" s="297"/>
      <c r="V16" s="115"/>
      <c r="W16" s="115"/>
      <c r="X16" s="115"/>
      <c r="Y16" s="115"/>
      <c r="Z16" s="115"/>
      <c r="AA16" s="115"/>
      <c r="AB16" s="75"/>
    </row>
    <row r="17" spans="2:28" s="55" customFormat="1" ht="13">
      <c r="C17" s="160"/>
      <c r="D17" s="75"/>
      <c r="E17" s="105"/>
      <c r="F17" s="103"/>
      <c r="G17" s="75"/>
      <c r="H17" s="103"/>
      <c r="I17" s="247"/>
      <c r="K17" s="114"/>
      <c r="L17" s="103"/>
      <c r="M17" s="161"/>
      <c r="N17" s="247"/>
      <c r="O17" s="103"/>
      <c r="P17" s="296"/>
      <c r="Q17" s="296"/>
      <c r="R17" s="296"/>
      <c r="S17" s="296"/>
      <c r="T17" s="296"/>
      <c r="U17" s="297"/>
      <c r="V17" s="115"/>
      <c r="W17" s="115"/>
      <c r="X17" s="115"/>
      <c r="Y17" s="115"/>
      <c r="Z17" s="115"/>
      <c r="AA17" s="115"/>
      <c r="AB17" s="75"/>
    </row>
    <row r="18" spans="2:28" ht="26">
      <c r="B18" t="s">
        <v>114</v>
      </c>
      <c r="C18" s="12" t="s">
        <v>113</v>
      </c>
      <c r="D18" s="110"/>
      <c r="G18" s="75"/>
      <c r="I18" s="246"/>
      <c r="K18" s="113"/>
      <c r="L18" s="3"/>
      <c r="M18" s="14"/>
      <c r="N18" s="247"/>
      <c r="O18" s="3"/>
      <c r="P18" s="297"/>
      <c r="Q18" s="297"/>
      <c r="R18" s="297"/>
      <c r="S18" s="297"/>
      <c r="T18" s="297"/>
      <c r="U18" s="297"/>
      <c r="V18" s="113">
        <f t="shared" ref="V18:AA18" si="4">SUM(V19:V23)</f>
        <v>0</v>
      </c>
      <c r="W18" s="113">
        <f t="shared" si="4"/>
        <v>0</v>
      </c>
      <c r="X18" s="113">
        <f t="shared" si="4"/>
        <v>0</v>
      </c>
      <c r="Y18" s="113">
        <f t="shared" si="4"/>
        <v>0</v>
      </c>
      <c r="Z18" s="113">
        <f t="shared" si="4"/>
        <v>0</v>
      </c>
      <c r="AA18" s="113">
        <f t="shared" si="4"/>
        <v>0</v>
      </c>
      <c r="AB18" s="75"/>
    </row>
    <row r="19" spans="2:28" ht="13">
      <c r="C19" s="12" t="s">
        <v>99</v>
      </c>
      <c r="D19" s="110"/>
      <c r="F19" s="3"/>
      <c r="G19" s="75">
        <v>1</v>
      </c>
      <c r="H19" s="3"/>
      <c r="I19" s="247">
        <f>'Step4-Industrial Hg use'!C11</f>
        <v>0</v>
      </c>
      <c r="J19" s="8" t="s">
        <v>451</v>
      </c>
      <c r="K19" s="114">
        <f>I19*G19</f>
        <v>0</v>
      </c>
      <c r="L19" s="3"/>
      <c r="M19" s="14" t="s">
        <v>99</v>
      </c>
      <c r="N19" s="247">
        <f>K19</f>
        <v>0</v>
      </c>
      <c r="O19" s="3"/>
      <c r="P19" s="296">
        <v>0.01</v>
      </c>
      <c r="Q19" s="296">
        <v>5.0000000000000001E-3</v>
      </c>
      <c r="R19" s="296">
        <v>0.1</v>
      </c>
      <c r="S19" s="296"/>
      <c r="T19" s="296">
        <v>0.1</v>
      </c>
      <c r="U19" s="296">
        <v>0.01</v>
      </c>
      <c r="V19" s="115">
        <f t="shared" ref="V19:AA19" si="5">$N19*P19</f>
        <v>0</v>
      </c>
      <c r="W19" s="115">
        <f t="shared" si="5"/>
        <v>0</v>
      </c>
      <c r="X19" s="115">
        <f t="shared" si="5"/>
        <v>0</v>
      </c>
      <c r="Y19" s="115">
        <f t="shared" si="5"/>
        <v>0</v>
      </c>
      <c r="Z19" s="115">
        <f t="shared" si="5"/>
        <v>0</v>
      </c>
      <c r="AA19" s="115">
        <f t="shared" si="5"/>
        <v>0</v>
      </c>
      <c r="AB19" s="75"/>
    </row>
    <row r="20" spans="2:28" ht="13">
      <c r="C20" s="66" t="s">
        <v>100</v>
      </c>
      <c r="D20" s="110"/>
      <c r="E20" t="s">
        <v>115</v>
      </c>
      <c r="F20" s="3" t="s">
        <v>118</v>
      </c>
      <c r="G20" s="283">
        <v>0.14000000000000001</v>
      </c>
      <c r="H20" s="3" t="s">
        <v>118</v>
      </c>
      <c r="I20" s="247">
        <f>'Step1-Country data'!B6</f>
        <v>0</v>
      </c>
      <c r="J20" s="3" t="s">
        <v>117</v>
      </c>
      <c r="K20" s="168">
        <f>(G20*I20/1000)*'Step6-Hg products-substances'!$C$21/100</f>
        <v>0</v>
      </c>
      <c r="L20" s="3" t="s">
        <v>36</v>
      </c>
      <c r="M20" s="16" t="s">
        <v>100</v>
      </c>
      <c r="N20" s="247"/>
      <c r="O20" s="3"/>
      <c r="P20" s="296"/>
      <c r="Q20" s="296"/>
      <c r="R20" s="296"/>
      <c r="S20" s="296"/>
      <c r="T20" s="296"/>
      <c r="U20" s="297"/>
      <c r="V20" s="115"/>
      <c r="W20" s="115"/>
      <c r="X20" s="115"/>
      <c r="Y20" s="115"/>
      <c r="Z20" s="115"/>
      <c r="AA20" s="115"/>
      <c r="AB20" s="75"/>
    </row>
    <row r="21" spans="2:28" ht="26">
      <c r="C21" s="53"/>
      <c r="D21" s="75"/>
      <c r="E21" s="6"/>
      <c r="F21" s="3"/>
      <c r="G21" s="75"/>
      <c r="H21" s="3"/>
      <c r="I21" s="247"/>
      <c r="K21" s="114"/>
      <c r="L21" s="3"/>
      <c r="M21" s="15" t="s">
        <v>97</v>
      </c>
      <c r="N21" s="321">
        <f>IF(AND('Step5-Waste treatment+recycling'!$B$4=yes,'Step5-Waste treatment+recycling'!$E$4=no),K20,0)</f>
        <v>0</v>
      </c>
      <c r="O21" s="3"/>
      <c r="P21" s="296">
        <v>0.1</v>
      </c>
      <c r="Q21" s="296"/>
      <c r="R21" s="296">
        <v>0.1</v>
      </c>
      <c r="S21" s="296"/>
      <c r="T21" s="296">
        <v>0.8</v>
      </c>
      <c r="U21" s="296"/>
      <c r="V21" s="115">
        <f t="shared" ref="V21:Y23" si="6">$N21*P21</f>
        <v>0</v>
      </c>
      <c r="W21" s="115">
        <f t="shared" si="6"/>
        <v>0</v>
      </c>
      <c r="X21" s="115">
        <f t="shared" si="6"/>
        <v>0</v>
      </c>
      <c r="Y21" s="115">
        <f t="shared" si="6"/>
        <v>0</v>
      </c>
      <c r="Z21" s="115">
        <f t="shared" ref="Z21:AA23" si="7">$N21*T21</f>
        <v>0</v>
      </c>
      <c r="AA21" s="115">
        <f t="shared" si="7"/>
        <v>0</v>
      </c>
      <c r="AB21" s="75"/>
    </row>
    <row r="22" spans="2:28" ht="26">
      <c r="C22" s="53"/>
      <c r="D22" s="75"/>
      <c r="E22" s="6"/>
      <c r="F22" s="3"/>
      <c r="G22" s="75"/>
      <c r="H22" s="3"/>
      <c r="I22" s="247"/>
      <c r="K22" s="114"/>
      <c r="L22" s="3"/>
      <c r="M22" s="15" t="s">
        <v>112</v>
      </c>
      <c r="N22" s="321">
        <f>IF(AND('Step5-Waste treatment+recycling'!$B$4=no,OR('Step5-Waste treatment+recycling'!$E$4=no,'Step5-Waste treatment+recycling'!$E$4=yes,'Step5-Waste treatment+recycling'!$E$4="")),K20,0)</f>
        <v>0</v>
      </c>
      <c r="O22" s="3"/>
      <c r="P22" s="296">
        <v>0.3</v>
      </c>
      <c r="Q22" s="296"/>
      <c r="R22" s="296">
        <v>0.4</v>
      </c>
      <c r="S22" s="296"/>
      <c r="T22" s="296">
        <v>0.3</v>
      </c>
      <c r="U22" s="296"/>
      <c r="V22" s="115">
        <f t="shared" si="6"/>
        <v>0</v>
      </c>
      <c r="W22" s="115">
        <f t="shared" si="6"/>
        <v>0</v>
      </c>
      <c r="X22" s="115">
        <f t="shared" si="6"/>
        <v>0</v>
      </c>
      <c r="Y22" s="115">
        <f t="shared" si="6"/>
        <v>0</v>
      </c>
      <c r="Z22" s="115">
        <f t="shared" si="7"/>
        <v>0</v>
      </c>
      <c r="AA22" s="115">
        <f t="shared" si="7"/>
        <v>0</v>
      </c>
      <c r="AB22" s="75"/>
    </row>
    <row r="23" spans="2:28" ht="26">
      <c r="C23" s="53"/>
      <c r="D23" s="75"/>
      <c r="E23" s="6"/>
      <c r="F23" s="3"/>
      <c r="G23" s="75"/>
      <c r="H23" s="3"/>
      <c r="I23" s="247"/>
      <c r="K23" s="114"/>
      <c r="L23" s="3"/>
      <c r="M23" s="15" t="s">
        <v>98</v>
      </c>
      <c r="N23" s="321">
        <f>IF(AND('Step5-Waste treatment+recycling'!$B$4=yes,'Step5-Waste treatment+recycling'!$E$4=yes),K20,0)</f>
        <v>0</v>
      </c>
      <c r="O23" s="3"/>
      <c r="P23" s="296">
        <v>0.1</v>
      </c>
      <c r="Q23" s="296"/>
      <c r="R23" s="296">
        <v>0.1</v>
      </c>
      <c r="S23" s="296"/>
      <c r="T23" s="296">
        <v>0.4</v>
      </c>
      <c r="U23" s="296">
        <v>0.4</v>
      </c>
      <c r="V23" s="115">
        <f t="shared" si="6"/>
        <v>0</v>
      </c>
      <c r="W23" s="115">
        <f t="shared" si="6"/>
        <v>0</v>
      </c>
      <c r="X23" s="115">
        <f t="shared" si="6"/>
        <v>0</v>
      </c>
      <c r="Y23" s="115">
        <f t="shared" si="6"/>
        <v>0</v>
      </c>
      <c r="Z23" s="115">
        <f t="shared" si="7"/>
        <v>0</v>
      </c>
      <c r="AA23" s="115">
        <f t="shared" si="7"/>
        <v>0</v>
      </c>
      <c r="AB23" s="75"/>
    </row>
    <row r="24" spans="2:28" s="55" customFormat="1" ht="13">
      <c r="C24" s="160"/>
      <c r="D24" s="75"/>
      <c r="E24" s="105"/>
      <c r="F24" s="103"/>
      <c r="G24" s="75"/>
      <c r="H24" s="103"/>
      <c r="I24" s="247"/>
      <c r="K24" s="114"/>
      <c r="L24" s="103"/>
      <c r="M24" s="106"/>
      <c r="N24" s="247"/>
      <c r="O24" s="103"/>
      <c r="P24" s="296"/>
      <c r="Q24" s="296"/>
      <c r="R24" s="296"/>
      <c r="S24" s="296"/>
      <c r="T24" s="296"/>
      <c r="U24" s="296"/>
      <c r="V24" s="115"/>
      <c r="W24" s="115"/>
      <c r="X24" s="115"/>
      <c r="Y24" s="115"/>
      <c r="Z24" s="115"/>
      <c r="AA24" s="115"/>
      <c r="AB24" s="75"/>
    </row>
    <row r="25" spans="2:28" ht="13">
      <c r="B25" t="s">
        <v>119</v>
      </c>
      <c r="C25" s="5" t="s">
        <v>319</v>
      </c>
      <c r="D25" s="110"/>
      <c r="G25" s="75"/>
      <c r="I25" s="246"/>
      <c r="K25" s="113"/>
      <c r="L25" s="3"/>
      <c r="M25" s="14"/>
      <c r="N25" s="247"/>
      <c r="O25" s="3"/>
      <c r="P25" s="297"/>
      <c r="Q25" s="297"/>
      <c r="R25" s="297"/>
      <c r="S25" s="297"/>
      <c r="T25" s="297"/>
      <c r="U25" s="297"/>
      <c r="V25" s="113">
        <f t="shared" ref="V25:AA25" si="8">SUM(V26:V33)</f>
        <v>0</v>
      </c>
      <c r="W25" s="113">
        <f t="shared" si="8"/>
        <v>0</v>
      </c>
      <c r="X25" s="113">
        <f t="shared" si="8"/>
        <v>0</v>
      </c>
      <c r="Y25" s="113">
        <f t="shared" si="8"/>
        <v>0</v>
      </c>
      <c r="Z25" s="113">
        <f t="shared" si="8"/>
        <v>0</v>
      </c>
      <c r="AA25" s="113">
        <f t="shared" si="8"/>
        <v>0</v>
      </c>
      <c r="AB25" s="75"/>
    </row>
    <row r="26" spans="2:28" ht="13">
      <c r="C26" s="12" t="s">
        <v>99</v>
      </c>
      <c r="D26" s="110"/>
      <c r="F26" s="3"/>
      <c r="G26" s="75">
        <v>1</v>
      </c>
      <c r="H26" s="3"/>
      <c r="I26" s="247">
        <f>'Step4-Industrial Hg use'!C12</f>
        <v>0</v>
      </c>
      <c r="J26" s="8" t="s">
        <v>451</v>
      </c>
      <c r="K26" s="114">
        <f>I26*G26</f>
        <v>0</v>
      </c>
      <c r="L26" s="3" t="s">
        <v>36</v>
      </c>
      <c r="M26" s="14" t="s">
        <v>99</v>
      </c>
      <c r="N26" s="247">
        <f>K26</f>
        <v>0</v>
      </c>
      <c r="O26" s="3"/>
      <c r="P26" s="296">
        <v>0.01</v>
      </c>
      <c r="Q26" s="296">
        <v>5.0000000000000001E-3</v>
      </c>
      <c r="R26" s="296">
        <v>0.1</v>
      </c>
      <c r="S26" s="296"/>
      <c r="T26" s="296">
        <v>0.1</v>
      </c>
      <c r="U26" s="296">
        <v>0.01</v>
      </c>
      <c r="V26" s="115">
        <f t="shared" ref="V26:AA26" si="9">$N26*P26</f>
        <v>0</v>
      </c>
      <c r="W26" s="115">
        <f t="shared" si="9"/>
        <v>0</v>
      </c>
      <c r="X26" s="115">
        <f t="shared" si="9"/>
        <v>0</v>
      </c>
      <c r="Y26" s="115">
        <f t="shared" si="9"/>
        <v>0</v>
      </c>
      <c r="Z26" s="115">
        <f t="shared" si="9"/>
        <v>0</v>
      </c>
      <c r="AA26" s="115">
        <f t="shared" si="9"/>
        <v>0</v>
      </c>
      <c r="AB26" s="75"/>
    </row>
    <row r="27" spans="2:28" ht="13">
      <c r="C27" s="66" t="s">
        <v>100</v>
      </c>
      <c r="D27" s="110"/>
      <c r="E27" s="6"/>
      <c r="F27" s="3"/>
      <c r="G27" s="75"/>
      <c r="H27" s="3"/>
      <c r="I27" s="247"/>
      <c r="K27" s="167">
        <f>SUM(K28:K33)</f>
        <v>0</v>
      </c>
      <c r="L27" s="3" t="s">
        <v>36</v>
      </c>
      <c r="M27" s="16" t="s">
        <v>100</v>
      </c>
      <c r="N27" s="247"/>
      <c r="O27" s="3"/>
      <c r="P27" s="296"/>
      <c r="Q27" s="296"/>
      <c r="R27" s="296"/>
      <c r="S27" s="296"/>
      <c r="T27" s="296"/>
      <c r="U27" s="297"/>
      <c r="V27" s="115"/>
      <c r="W27" s="115"/>
      <c r="X27" s="115"/>
      <c r="Y27" s="115"/>
      <c r="Z27" s="115"/>
      <c r="AA27" s="115"/>
      <c r="AB27" s="75"/>
    </row>
    <row r="28" spans="2:28" ht="26">
      <c r="C28" s="53" t="s">
        <v>120</v>
      </c>
      <c r="D28" s="165"/>
      <c r="E28" s="832" t="s">
        <v>1252</v>
      </c>
      <c r="F28" s="3" t="s">
        <v>128</v>
      </c>
      <c r="G28" s="75">
        <v>8</v>
      </c>
      <c r="H28" s="3" t="s">
        <v>128</v>
      </c>
      <c r="I28" s="247">
        <f>IF('Step6-Hg products-substances'!B24=yes,'Step6-Hg products-substances'!C24,0)</f>
        <v>0</v>
      </c>
      <c r="J28" t="s">
        <v>111</v>
      </c>
      <c r="K28" s="114">
        <f t="shared" ref="K28:K33" si="10">G28*I28/1000000</f>
        <v>0</v>
      </c>
      <c r="L28" s="3" t="s">
        <v>36</v>
      </c>
      <c r="M28" s="15" t="s">
        <v>97</v>
      </c>
      <c r="N28" s="321">
        <f>IF(AND('Step5-Waste treatment+recycling'!$B$4=yes,'Step5-Waste treatment+recycling'!$E$4=no),K27,0)</f>
        <v>0</v>
      </c>
      <c r="O28" s="3"/>
      <c r="P28" s="296">
        <v>0.05</v>
      </c>
      <c r="Q28" s="296"/>
      <c r="R28" s="296"/>
      <c r="S28" s="296"/>
      <c r="T28" s="296">
        <v>0.95</v>
      </c>
      <c r="U28" s="296"/>
      <c r="V28" s="115">
        <f t="shared" ref="V28:Y30" si="11">$N28*P28</f>
        <v>0</v>
      </c>
      <c r="W28" s="115">
        <f t="shared" si="11"/>
        <v>0</v>
      </c>
      <c r="X28" s="115">
        <f t="shared" si="11"/>
        <v>0</v>
      </c>
      <c r="Y28" s="115">
        <f t="shared" si="11"/>
        <v>0</v>
      </c>
      <c r="Z28" s="115">
        <f t="shared" ref="Z28:AA30" si="12">$N28*T28</f>
        <v>0</v>
      </c>
      <c r="AA28" s="115">
        <f t="shared" si="12"/>
        <v>0</v>
      </c>
      <c r="AB28" s="75"/>
    </row>
    <row r="29" spans="2:28" ht="26">
      <c r="C29" s="53" t="s">
        <v>121</v>
      </c>
      <c r="D29" s="165"/>
      <c r="E29" s="230" t="s">
        <v>1253</v>
      </c>
      <c r="F29" s="3" t="s">
        <v>128</v>
      </c>
      <c r="G29" s="75">
        <v>2.7</v>
      </c>
      <c r="H29" s="3" t="s">
        <v>128</v>
      </c>
      <c r="I29" s="247">
        <f>IF('Step6-Hg products-substances'!B25=yes,'Step6-Hg products-substances'!C25,0)</f>
        <v>0</v>
      </c>
      <c r="J29" t="s">
        <v>111</v>
      </c>
      <c r="K29" s="114">
        <f t="shared" si="10"/>
        <v>0</v>
      </c>
      <c r="L29" s="3" t="s">
        <v>36</v>
      </c>
      <c r="M29" s="15" t="s">
        <v>112</v>
      </c>
      <c r="N29" s="321">
        <f>IF(AND('Step5-Waste treatment+recycling'!$B$4=no,OR('Step5-Waste treatment+recycling'!$E$4=no,'Step5-Waste treatment+recycling'!$E$4=yes,'Step5-Waste treatment+recycling'!$E$4="")),K27,0)</f>
        <v>0</v>
      </c>
      <c r="O29" s="3"/>
      <c r="P29" s="296">
        <v>0.3</v>
      </c>
      <c r="Q29" s="296"/>
      <c r="R29" s="296">
        <v>0.3</v>
      </c>
      <c r="S29" s="296"/>
      <c r="T29" s="296">
        <v>0.4</v>
      </c>
      <c r="U29" s="296"/>
      <c r="V29" s="115">
        <f t="shared" si="11"/>
        <v>0</v>
      </c>
      <c r="W29" s="115">
        <f t="shared" si="11"/>
        <v>0</v>
      </c>
      <c r="X29" s="115">
        <f t="shared" si="11"/>
        <v>0</v>
      </c>
      <c r="Y29" s="115">
        <f t="shared" si="11"/>
        <v>0</v>
      </c>
      <c r="Z29" s="115">
        <f t="shared" si="12"/>
        <v>0</v>
      </c>
      <c r="AA29" s="115">
        <f t="shared" si="12"/>
        <v>0</v>
      </c>
      <c r="AB29" s="75"/>
    </row>
    <row r="30" spans="2:28" ht="26">
      <c r="C30" s="53" t="s">
        <v>122</v>
      </c>
      <c r="D30" s="129"/>
      <c r="E30" s="230" t="s">
        <v>1254</v>
      </c>
      <c r="F30" s="3" t="s">
        <v>128</v>
      </c>
      <c r="G30" s="75">
        <v>40</v>
      </c>
      <c r="H30" s="3" t="s">
        <v>128</v>
      </c>
      <c r="I30" s="247">
        <f>IF('Step6-Hg products-substances'!B26=yes,'Step6-Hg products-substances'!C26/4,0)</f>
        <v>0</v>
      </c>
      <c r="J30" t="s">
        <v>111</v>
      </c>
      <c r="K30" s="114">
        <f t="shared" si="10"/>
        <v>0</v>
      </c>
      <c r="L30" s="3" t="s">
        <v>36</v>
      </c>
      <c r="M30" s="15" t="s">
        <v>98</v>
      </c>
      <c r="N30" s="321">
        <f>IF(AND('Step5-Waste treatment+recycling'!$B$4=yes,'Step5-Waste treatment+recycling'!$E$4=yes),K27,0)</f>
        <v>0</v>
      </c>
      <c r="O30" s="3"/>
      <c r="P30" s="296">
        <v>0.05</v>
      </c>
      <c r="Q30" s="296"/>
      <c r="R30" s="296"/>
      <c r="S30" s="296"/>
      <c r="T30" s="296">
        <v>0.8</v>
      </c>
      <c r="U30" s="296">
        <v>0.15</v>
      </c>
      <c r="V30" s="115">
        <f t="shared" si="11"/>
        <v>0</v>
      </c>
      <c r="W30" s="115">
        <f t="shared" si="11"/>
        <v>0</v>
      </c>
      <c r="X30" s="115">
        <f t="shared" si="11"/>
        <v>0</v>
      </c>
      <c r="Y30" s="115">
        <f t="shared" si="11"/>
        <v>0</v>
      </c>
      <c r="Z30" s="115">
        <f t="shared" si="12"/>
        <v>0</v>
      </c>
      <c r="AA30" s="115">
        <f t="shared" si="12"/>
        <v>0</v>
      </c>
      <c r="AB30" s="75"/>
    </row>
    <row r="31" spans="2:28" ht="13">
      <c r="C31" s="53" t="s">
        <v>123</v>
      </c>
      <c r="D31" s="165"/>
      <c r="E31" t="s">
        <v>126</v>
      </c>
      <c r="F31" s="3" t="s">
        <v>128</v>
      </c>
      <c r="G31" s="75">
        <v>20</v>
      </c>
      <c r="H31" s="3" t="s">
        <v>128</v>
      </c>
      <c r="I31" s="247">
        <f>IF('Step6-Hg products-substances'!B26=yes,'Step6-Hg products-substances'!C26/4,0)</f>
        <v>0</v>
      </c>
      <c r="J31" t="s">
        <v>111</v>
      </c>
      <c r="K31" s="114">
        <f t="shared" si="10"/>
        <v>0</v>
      </c>
      <c r="L31" s="3" t="s">
        <v>36</v>
      </c>
      <c r="N31" s="247"/>
      <c r="O31" s="3"/>
      <c r="P31" s="296"/>
      <c r="Q31" s="296"/>
      <c r="R31" s="296"/>
      <c r="S31" s="296"/>
      <c r="T31" s="296"/>
      <c r="U31" s="297"/>
      <c r="V31" s="115"/>
      <c r="W31" s="115"/>
      <c r="X31" s="115"/>
      <c r="Y31" s="115"/>
      <c r="Z31" s="115"/>
      <c r="AA31" s="115"/>
      <c r="AB31" s="75"/>
    </row>
    <row r="32" spans="2:28" ht="13">
      <c r="C32" s="53" t="s">
        <v>124</v>
      </c>
      <c r="D32" s="165"/>
      <c r="E32" t="s">
        <v>127</v>
      </c>
      <c r="F32" s="3" t="s">
        <v>128</v>
      </c>
      <c r="G32" s="75">
        <v>15</v>
      </c>
      <c r="H32" s="3" t="s">
        <v>128</v>
      </c>
      <c r="I32" s="247">
        <f>IF('Step6-Hg products-substances'!B26=yes,'Step6-Hg products-substances'!C26/4,0)</f>
        <v>0</v>
      </c>
      <c r="J32" t="s">
        <v>111</v>
      </c>
      <c r="K32" s="114">
        <f t="shared" si="10"/>
        <v>0</v>
      </c>
      <c r="L32" s="3" t="s">
        <v>36</v>
      </c>
      <c r="M32" s="15"/>
      <c r="N32" s="247"/>
      <c r="O32" s="3"/>
      <c r="P32" s="296"/>
      <c r="Q32" s="296"/>
      <c r="R32" s="296"/>
      <c r="S32" s="296"/>
      <c r="T32" s="296"/>
      <c r="U32" s="296"/>
      <c r="V32" s="115"/>
      <c r="W32" s="115"/>
      <c r="X32" s="115"/>
      <c r="Y32" s="115"/>
      <c r="Z32" s="115"/>
      <c r="AA32" s="115"/>
      <c r="AB32" s="75"/>
    </row>
    <row r="33" spans="2:28" ht="13">
      <c r="C33" s="53" t="s">
        <v>125</v>
      </c>
      <c r="D33" s="129"/>
      <c r="E33" s="230" t="s">
        <v>1255</v>
      </c>
      <c r="F33" s="3" t="s">
        <v>128</v>
      </c>
      <c r="G33" s="75">
        <v>25</v>
      </c>
      <c r="H33" s="3" t="s">
        <v>128</v>
      </c>
      <c r="I33" s="247">
        <f>IF('Step6-Hg products-substances'!B26=yes,'Step6-Hg products-substances'!C26/4,0)</f>
        <v>0</v>
      </c>
      <c r="J33" t="s">
        <v>111</v>
      </c>
      <c r="K33" s="114">
        <f t="shared" si="10"/>
        <v>0</v>
      </c>
      <c r="L33" s="3" t="s">
        <v>36</v>
      </c>
      <c r="M33" s="15"/>
      <c r="N33" s="247"/>
      <c r="O33" s="3"/>
      <c r="P33" s="296"/>
      <c r="Q33" s="296"/>
      <c r="R33" s="296"/>
      <c r="S33" s="296"/>
      <c r="T33" s="296"/>
      <c r="U33" s="296"/>
      <c r="V33" s="115"/>
      <c r="W33" s="115"/>
      <c r="X33" s="115"/>
      <c r="Y33" s="115"/>
      <c r="Z33" s="115"/>
      <c r="AA33" s="115"/>
      <c r="AB33" s="75"/>
    </row>
    <row r="34" spans="2:28" s="55" customFormat="1" ht="13">
      <c r="C34" s="160"/>
      <c r="D34" s="75"/>
      <c r="E34"/>
      <c r="F34" s="103"/>
      <c r="G34" s="75"/>
      <c r="H34" s="103"/>
      <c r="I34" s="247"/>
      <c r="K34" s="114"/>
      <c r="L34" s="103"/>
      <c r="M34" s="106"/>
      <c r="N34" s="247"/>
      <c r="O34" s="103"/>
      <c r="P34" s="296"/>
      <c r="Q34" s="296"/>
      <c r="R34" s="296"/>
      <c r="S34" s="296"/>
      <c r="T34" s="296"/>
      <c r="U34" s="296"/>
      <c r="V34" s="115"/>
      <c r="W34" s="115"/>
      <c r="X34" s="115"/>
      <c r="Y34" s="115"/>
      <c r="Z34" s="115"/>
      <c r="AA34" s="115"/>
      <c r="AB34" s="75"/>
    </row>
    <row r="35" spans="2:28" ht="13">
      <c r="B35" t="s">
        <v>131</v>
      </c>
      <c r="C35" s="12" t="s">
        <v>132</v>
      </c>
      <c r="D35" s="110"/>
      <c r="G35" s="75"/>
      <c r="I35" s="246"/>
      <c r="K35" s="113"/>
      <c r="L35" s="3"/>
      <c r="M35" s="14"/>
      <c r="N35" s="247"/>
      <c r="O35" s="3"/>
      <c r="P35" s="297"/>
      <c r="Q35" s="297"/>
      <c r="R35" s="297"/>
      <c r="S35" s="297"/>
      <c r="T35" s="297"/>
      <c r="U35" s="297"/>
      <c r="V35" s="113">
        <f t="shared" ref="V35:AA35" si="13">SUM(V36:V47)</f>
        <v>0</v>
      </c>
      <c r="W35" s="113">
        <f t="shared" si="13"/>
        <v>0</v>
      </c>
      <c r="X35" s="113">
        <f t="shared" si="13"/>
        <v>0</v>
      </c>
      <c r="Y35" s="113">
        <f t="shared" si="13"/>
        <v>0</v>
      </c>
      <c r="Z35" s="113">
        <f t="shared" si="13"/>
        <v>0</v>
      </c>
      <c r="AA35" s="113">
        <f t="shared" si="13"/>
        <v>0</v>
      </c>
      <c r="AB35" s="75"/>
    </row>
    <row r="36" spans="2:28" ht="13">
      <c r="C36" s="12" t="s">
        <v>350</v>
      </c>
      <c r="D36" s="110"/>
      <c r="F36" s="3"/>
      <c r="G36" s="75">
        <v>1</v>
      </c>
      <c r="H36" s="3"/>
      <c r="I36" s="247">
        <f>'Step4-Industrial Hg use'!C13</f>
        <v>0</v>
      </c>
      <c r="J36" s="8" t="s">
        <v>451</v>
      </c>
      <c r="K36" s="114">
        <f>I36*G36</f>
        <v>0</v>
      </c>
      <c r="L36" s="3"/>
      <c r="M36" s="14" t="s">
        <v>350</v>
      </c>
      <c r="N36" s="247">
        <f>K36</f>
        <v>0</v>
      </c>
      <c r="O36" s="3" t="s">
        <v>36</v>
      </c>
      <c r="P36" s="296">
        <v>5.0000000000000001E-3</v>
      </c>
      <c r="Q36" s="296">
        <v>5.0000000000000001E-3</v>
      </c>
      <c r="R36" s="296">
        <v>0.1</v>
      </c>
      <c r="S36" s="296"/>
      <c r="T36" s="296">
        <v>0.1</v>
      </c>
      <c r="U36" s="296">
        <v>0.01</v>
      </c>
      <c r="V36" s="115">
        <f t="shared" ref="V36:AA36" si="14">$N36*P36</f>
        <v>0</v>
      </c>
      <c r="W36" s="115">
        <f t="shared" si="14"/>
        <v>0</v>
      </c>
      <c r="X36" s="115">
        <f t="shared" si="14"/>
        <v>0</v>
      </c>
      <c r="Y36" s="115">
        <f t="shared" si="14"/>
        <v>0</v>
      </c>
      <c r="Z36" s="115">
        <f t="shared" si="14"/>
        <v>0</v>
      </c>
      <c r="AA36" s="115">
        <f t="shared" si="14"/>
        <v>0</v>
      </c>
      <c r="AB36" s="75"/>
    </row>
    <row r="37" spans="2:28" ht="25.5">
      <c r="C37" s="53" t="s">
        <v>133</v>
      </c>
      <c r="D37" s="129"/>
      <c r="E37" s="448">
        <v>320</v>
      </c>
      <c r="F37" s="3" t="s">
        <v>336</v>
      </c>
      <c r="G37" s="166">
        <v>320</v>
      </c>
      <c r="H37" s="3" t="s">
        <v>336</v>
      </c>
      <c r="I37" s="247"/>
      <c r="J37" t="s">
        <v>328</v>
      </c>
      <c r="K37" s="114">
        <f>G37*I37</f>
        <v>0</v>
      </c>
      <c r="L37" s="3" t="s">
        <v>36</v>
      </c>
      <c r="M37" s="15"/>
      <c r="N37" s="247"/>
      <c r="O37" s="3"/>
      <c r="P37" s="296"/>
      <c r="Q37" s="296"/>
      <c r="R37" s="296"/>
      <c r="S37" s="296"/>
      <c r="T37" s="296"/>
      <c r="U37" s="296"/>
      <c r="V37" s="115"/>
      <c r="W37" s="115"/>
      <c r="X37" s="115"/>
      <c r="Y37" s="115"/>
      <c r="Z37" s="115"/>
      <c r="AA37" s="115"/>
      <c r="AB37" s="75"/>
    </row>
    <row r="38" spans="2:28" ht="13">
      <c r="C38" s="53" t="s">
        <v>134</v>
      </c>
      <c r="D38" s="129"/>
      <c r="E38" s="448">
        <v>12</v>
      </c>
      <c r="F38" s="3" t="s">
        <v>336</v>
      </c>
      <c r="G38" s="166">
        <v>12</v>
      </c>
      <c r="H38" s="3" t="s">
        <v>336</v>
      </c>
      <c r="I38" s="247"/>
      <c r="J38" t="s">
        <v>328</v>
      </c>
      <c r="K38" s="114">
        <f>G38*I38</f>
        <v>0</v>
      </c>
      <c r="L38" s="3" t="s">
        <v>36</v>
      </c>
      <c r="M38" s="15"/>
      <c r="N38" s="247"/>
      <c r="O38" s="3"/>
      <c r="P38" s="296"/>
      <c r="Q38" s="296"/>
      <c r="R38" s="296"/>
      <c r="S38" s="296"/>
      <c r="T38" s="296"/>
      <c r="U38" s="296"/>
      <c r="V38" s="115"/>
      <c r="W38" s="115"/>
      <c r="X38" s="115"/>
      <c r="Y38" s="115"/>
      <c r="Z38" s="115"/>
      <c r="AA38" s="115"/>
      <c r="AB38" s="75"/>
    </row>
    <row r="39" spans="2:28" ht="13">
      <c r="C39" s="53" t="s">
        <v>135</v>
      </c>
      <c r="D39" s="129"/>
      <c r="E39" s="448">
        <v>5</v>
      </c>
      <c r="F39" s="3" t="s">
        <v>336</v>
      </c>
      <c r="G39" s="166">
        <v>5</v>
      </c>
      <c r="H39" s="3" t="s">
        <v>336</v>
      </c>
      <c r="I39" s="247"/>
      <c r="J39" t="s">
        <v>328</v>
      </c>
      <c r="K39" s="114">
        <f>G39*I39</f>
        <v>0</v>
      </c>
      <c r="L39" s="3" t="s">
        <v>36</v>
      </c>
      <c r="M39" s="15"/>
      <c r="N39" s="247"/>
      <c r="O39" s="3"/>
      <c r="P39" s="296"/>
      <c r="Q39" s="296"/>
      <c r="R39" s="296"/>
      <c r="S39" s="296"/>
      <c r="T39" s="296"/>
      <c r="U39" s="296"/>
      <c r="V39" s="115"/>
      <c r="W39" s="115"/>
      <c r="X39" s="115"/>
      <c r="Y39" s="115"/>
      <c r="Z39" s="115"/>
      <c r="AA39" s="115"/>
      <c r="AB39" s="75"/>
    </row>
    <row r="40" spans="2:28" ht="13">
      <c r="C40" s="53" t="s">
        <v>136</v>
      </c>
      <c r="D40" s="129"/>
      <c r="E40" s="448">
        <v>4</v>
      </c>
      <c r="F40" s="3" t="s">
        <v>336</v>
      </c>
      <c r="G40" s="166">
        <v>4</v>
      </c>
      <c r="H40" s="3" t="s">
        <v>336</v>
      </c>
      <c r="I40" s="247"/>
      <c r="J40" t="s">
        <v>328</v>
      </c>
      <c r="K40" s="114">
        <f>G40*I40</f>
        <v>0</v>
      </c>
      <c r="L40" s="3" t="s">
        <v>36</v>
      </c>
      <c r="N40" s="247"/>
      <c r="O40" s="3"/>
      <c r="P40" s="296"/>
      <c r="Q40" s="296"/>
      <c r="R40" s="296"/>
      <c r="S40" s="296"/>
      <c r="T40" s="296"/>
      <c r="U40" s="297"/>
      <c r="V40" s="115"/>
      <c r="W40" s="115"/>
      <c r="X40" s="115"/>
      <c r="Y40" s="115"/>
      <c r="Z40" s="115"/>
      <c r="AA40" s="115"/>
      <c r="AB40" s="75"/>
    </row>
    <row r="41" spans="2:28" ht="25.5">
      <c r="C41" s="53" t="s">
        <v>137</v>
      </c>
      <c r="D41" s="129"/>
      <c r="E41" s="448" t="s">
        <v>116</v>
      </c>
      <c r="F41" s="3" t="s">
        <v>336</v>
      </c>
      <c r="G41" s="166">
        <v>0.25</v>
      </c>
      <c r="H41" s="3" t="s">
        <v>336</v>
      </c>
      <c r="I41" s="247"/>
      <c r="J41" t="s">
        <v>328</v>
      </c>
      <c r="K41" s="114">
        <f>G41*I41</f>
        <v>0</v>
      </c>
      <c r="L41" s="3" t="s">
        <v>36</v>
      </c>
      <c r="N41" s="247"/>
      <c r="O41" s="3"/>
      <c r="P41" s="296"/>
      <c r="Q41" s="296"/>
      <c r="R41" s="296"/>
      <c r="S41" s="296"/>
      <c r="T41" s="296"/>
      <c r="U41" s="297"/>
      <c r="V41" s="170"/>
      <c r="W41" s="170"/>
      <c r="X41" s="170"/>
      <c r="Y41" s="170"/>
      <c r="Z41" s="170"/>
      <c r="AA41" s="170"/>
      <c r="AB41" s="75"/>
    </row>
    <row r="42" spans="2:28" ht="13">
      <c r="C42" s="12" t="s">
        <v>100</v>
      </c>
      <c r="D42" s="110"/>
      <c r="E42" s="448"/>
      <c r="F42" s="3"/>
      <c r="G42" s="75"/>
      <c r="H42" s="3"/>
      <c r="I42" s="247"/>
      <c r="K42" s="167">
        <f>SUM(K43:K47)</f>
        <v>0</v>
      </c>
      <c r="L42" s="3" t="s">
        <v>36</v>
      </c>
      <c r="M42" s="16" t="s">
        <v>100</v>
      </c>
      <c r="N42" s="247"/>
      <c r="O42" s="3"/>
      <c r="P42" s="296"/>
      <c r="Q42" s="296"/>
      <c r="R42" s="296"/>
      <c r="S42" s="296"/>
      <c r="T42" s="296"/>
      <c r="U42" s="297"/>
      <c r="V42" s="170"/>
      <c r="W42" s="170"/>
      <c r="X42" s="170"/>
      <c r="Y42" s="170"/>
      <c r="Z42" s="170"/>
      <c r="AA42" s="170"/>
      <c r="AB42" s="75"/>
    </row>
    <row r="43" spans="2:28" ht="26">
      <c r="C43" s="53" t="s">
        <v>133</v>
      </c>
      <c r="D43" s="129"/>
      <c r="E43" s="448">
        <v>320</v>
      </c>
      <c r="F43" s="3" t="s">
        <v>336</v>
      </c>
      <c r="G43" s="166">
        <v>320</v>
      </c>
      <c r="H43" s="3" t="s">
        <v>336</v>
      </c>
      <c r="I43" s="247">
        <f>IF('Step6-Hg products-substances'!B29=yes,'Step6-Hg products-substances'!C29,0)</f>
        <v>0</v>
      </c>
      <c r="J43" t="s">
        <v>328</v>
      </c>
      <c r="K43" s="114">
        <f>G43*I43</f>
        <v>0</v>
      </c>
      <c r="L43" s="3" t="s">
        <v>36</v>
      </c>
      <c r="M43" s="15" t="s">
        <v>97</v>
      </c>
      <c r="N43" s="321">
        <f>IF(AND('Step5-Waste treatment+recycling'!$B$4=yes,'Step5-Waste treatment+recycling'!$E$4=no),K42,0)</f>
        <v>0</v>
      </c>
      <c r="O43" s="3"/>
      <c r="P43" s="296"/>
      <c r="Q43" s="296"/>
      <c r="R43" s="296"/>
      <c r="S43" s="296"/>
      <c r="T43" s="296">
        <v>1</v>
      </c>
      <c r="U43" s="296"/>
      <c r="V43" s="115">
        <f t="shared" ref="V43:Y45" si="15">$N43*P43</f>
        <v>0</v>
      </c>
      <c r="W43" s="115">
        <f t="shared" si="15"/>
        <v>0</v>
      </c>
      <c r="X43" s="115">
        <f t="shared" si="15"/>
        <v>0</v>
      </c>
      <c r="Y43" s="115">
        <f t="shared" si="15"/>
        <v>0</v>
      </c>
      <c r="Z43" s="115">
        <f t="shared" ref="Z43:AA45" si="16">$N43*T43</f>
        <v>0</v>
      </c>
      <c r="AA43" s="115">
        <f t="shared" si="16"/>
        <v>0</v>
      </c>
      <c r="AB43" s="75"/>
    </row>
    <row r="44" spans="2:28" ht="26">
      <c r="C44" s="53" t="s">
        <v>134</v>
      </c>
      <c r="D44" s="129"/>
      <c r="E44" s="448">
        <v>12</v>
      </c>
      <c r="F44" s="3" t="s">
        <v>336</v>
      </c>
      <c r="G44" s="166">
        <v>12</v>
      </c>
      <c r="H44" s="3" t="s">
        <v>336</v>
      </c>
      <c r="I44" s="247">
        <f>IF('Step6-Hg products-substances'!B30=yes,'Step6-Hg products-substances'!C30/3,0)</f>
        <v>0</v>
      </c>
      <c r="J44" s="230" t="s">
        <v>328</v>
      </c>
      <c r="K44" s="114">
        <f>G44*I44</f>
        <v>0</v>
      </c>
      <c r="L44" s="3" t="s">
        <v>36</v>
      </c>
      <c r="M44" s="15" t="s">
        <v>112</v>
      </c>
      <c r="N44" s="321">
        <f>IF(AND('Step5-Waste treatment+recycling'!$B$4=no,OR('Step5-Waste treatment+recycling'!$E$4=no,'Step5-Waste treatment+recycling'!$E$4=yes,'Step5-Waste treatment+recycling'!$E$4="")),K42,0)</f>
        <v>0</v>
      </c>
      <c r="O44" s="3"/>
      <c r="P44" s="296">
        <v>0.25</v>
      </c>
      <c r="Q44" s="296"/>
      <c r="R44" s="296">
        <v>0.25</v>
      </c>
      <c r="S44" s="296"/>
      <c r="T44" s="296">
        <v>0.5</v>
      </c>
      <c r="U44" s="296"/>
      <c r="V44" s="115">
        <f t="shared" si="15"/>
        <v>0</v>
      </c>
      <c r="W44" s="115">
        <f t="shared" si="15"/>
        <v>0</v>
      </c>
      <c r="X44" s="115">
        <f t="shared" si="15"/>
        <v>0</v>
      </c>
      <c r="Y44" s="115">
        <f t="shared" si="15"/>
        <v>0</v>
      </c>
      <c r="Z44" s="115">
        <f t="shared" si="16"/>
        <v>0</v>
      </c>
      <c r="AA44" s="115">
        <f t="shared" si="16"/>
        <v>0</v>
      </c>
      <c r="AB44" s="75"/>
    </row>
    <row r="45" spans="2:28" ht="26">
      <c r="C45" s="53" t="s">
        <v>135</v>
      </c>
      <c r="D45" s="129"/>
      <c r="E45" s="448">
        <v>5</v>
      </c>
      <c r="F45" s="3" t="s">
        <v>336</v>
      </c>
      <c r="G45" s="166">
        <v>5</v>
      </c>
      <c r="H45" s="3" t="s">
        <v>336</v>
      </c>
      <c r="I45" s="247">
        <f>IF('Step6-Hg products-substances'!B30=yes,'Step6-Hg products-substances'!C30/3,0)</f>
        <v>0</v>
      </c>
      <c r="J45" t="s">
        <v>328</v>
      </c>
      <c r="K45" s="114">
        <f>G45*I45</f>
        <v>0</v>
      </c>
      <c r="L45" s="3" t="s">
        <v>36</v>
      </c>
      <c r="M45" s="15" t="s">
        <v>98</v>
      </c>
      <c r="N45" s="321">
        <f>IF(AND('Step5-Waste treatment+recycling'!$B$4=yes,'Step5-Waste treatment+recycling'!$E$4=yes),K42,0)</f>
        <v>0</v>
      </c>
      <c r="O45" s="3"/>
      <c r="P45" s="296"/>
      <c r="Q45" s="296"/>
      <c r="R45" s="296"/>
      <c r="S45" s="296"/>
      <c r="T45" s="296">
        <v>0.6</v>
      </c>
      <c r="U45" s="296">
        <v>0.4</v>
      </c>
      <c r="V45" s="115">
        <f t="shared" si="15"/>
        <v>0</v>
      </c>
      <c r="W45" s="115">
        <f t="shared" si="15"/>
        <v>0</v>
      </c>
      <c r="X45" s="115">
        <f t="shared" si="15"/>
        <v>0</v>
      </c>
      <c r="Y45" s="115">
        <f t="shared" si="15"/>
        <v>0</v>
      </c>
      <c r="Z45" s="115">
        <f t="shared" si="16"/>
        <v>0</v>
      </c>
      <c r="AA45" s="115">
        <f t="shared" si="16"/>
        <v>0</v>
      </c>
      <c r="AB45" s="75"/>
    </row>
    <row r="46" spans="2:28" ht="13">
      <c r="C46" s="53" t="s">
        <v>136</v>
      </c>
      <c r="D46" s="129"/>
      <c r="E46">
        <v>4</v>
      </c>
      <c r="F46" s="3" t="s">
        <v>336</v>
      </c>
      <c r="G46" s="166">
        <v>4</v>
      </c>
      <c r="H46" s="3" t="s">
        <v>336</v>
      </c>
      <c r="I46" s="247">
        <f>IF('Step6-Hg products-substances'!B30=yes,'Step6-Hg products-substances'!C30/3,0)</f>
        <v>0</v>
      </c>
      <c r="J46" t="s">
        <v>328</v>
      </c>
      <c r="K46" s="114">
        <f>G46*I46</f>
        <v>0</v>
      </c>
      <c r="L46" s="3" t="s">
        <v>36</v>
      </c>
      <c r="N46" s="247"/>
      <c r="O46" s="3"/>
      <c r="P46" s="296"/>
      <c r="Q46" s="296"/>
      <c r="R46" s="296"/>
      <c r="S46" s="296"/>
      <c r="T46" s="296"/>
      <c r="U46" s="297"/>
      <c r="V46" s="115"/>
      <c r="W46" s="115"/>
      <c r="X46" s="115"/>
      <c r="Y46" s="115"/>
      <c r="Z46" s="115"/>
      <c r="AA46" s="115"/>
      <c r="AB46" s="75"/>
    </row>
    <row r="47" spans="2:28" ht="25.5">
      <c r="C47" s="53" t="s">
        <v>137</v>
      </c>
      <c r="D47" s="129"/>
      <c r="E47" t="s">
        <v>116</v>
      </c>
      <c r="F47" s="3" t="s">
        <v>336</v>
      </c>
      <c r="G47" s="166">
        <v>0.25</v>
      </c>
      <c r="H47" s="3" t="s">
        <v>336</v>
      </c>
      <c r="I47" s="247">
        <f>IF('Step6-Hg products-substances'!B31=yes,'Step6-Hg products-substances'!C31,0)</f>
        <v>0</v>
      </c>
      <c r="J47" t="s">
        <v>328</v>
      </c>
      <c r="K47" s="114">
        <f>G47*I47</f>
        <v>0</v>
      </c>
      <c r="L47" s="3" t="s">
        <v>36</v>
      </c>
      <c r="N47" s="247"/>
      <c r="O47" s="3"/>
      <c r="P47" s="296"/>
      <c r="Q47" s="296"/>
      <c r="R47" s="296"/>
      <c r="S47" s="296"/>
      <c r="T47" s="296"/>
      <c r="U47" s="297"/>
      <c r="V47" s="115"/>
      <c r="W47" s="115"/>
      <c r="X47" s="115"/>
      <c r="Y47" s="115"/>
      <c r="Z47" s="115"/>
      <c r="AA47" s="115"/>
      <c r="AB47" s="75"/>
    </row>
    <row r="48" spans="2:28" s="55" customFormat="1">
      <c r="C48" s="104"/>
      <c r="D48" s="75"/>
      <c r="G48" s="75"/>
      <c r="I48" s="246"/>
      <c r="K48" s="58"/>
      <c r="M48" s="161"/>
      <c r="N48" s="247"/>
      <c r="O48" s="103"/>
      <c r="P48" s="297"/>
      <c r="Q48" s="297"/>
      <c r="R48" s="297"/>
      <c r="S48" s="297"/>
      <c r="T48" s="297"/>
      <c r="U48" s="297"/>
      <c r="V48" s="58"/>
      <c r="W48" s="58"/>
      <c r="X48" s="58"/>
      <c r="Y48" s="58"/>
      <c r="Z48" s="58"/>
      <c r="AA48" s="58"/>
      <c r="AB48" s="75"/>
    </row>
    <row r="49" spans="1:28" s="48" customFormat="1" ht="26">
      <c r="B49" s="8" t="s">
        <v>130</v>
      </c>
      <c r="C49" s="12" t="s">
        <v>469</v>
      </c>
      <c r="D49" s="75"/>
      <c r="G49" s="75"/>
      <c r="I49" s="246"/>
      <c r="K49" s="58"/>
      <c r="M49" s="13"/>
      <c r="N49" s="247"/>
      <c r="O49" s="28"/>
      <c r="P49" s="297"/>
      <c r="Q49" s="297"/>
      <c r="R49" s="297"/>
      <c r="S49" s="297"/>
      <c r="T49" s="297"/>
      <c r="U49" s="297"/>
      <c r="V49" s="641">
        <f t="shared" ref="V49:AA49" si="17">SUM(V50:V53)</f>
        <v>0</v>
      </c>
      <c r="W49" s="641">
        <f t="shared" si="17"/>
        <v>0</v>
      </c>
      <c r="X49" s="641">
        <f t="shared" si="17"/>
        <v>0</v>
      </c>
      <c r="Y49" s="641">
        <f t="shared" si="17"/>
        <v>0</v>
      </c>
      <c r="Z49" s="641">
        <f t="shared" si="17"/>
        <v>0</v>
      </c>
      <c r="AA49" s="641">
        <f t="shared" si="17"/>
        <v>0</v>
      </c>
      <c r="AB49" s="75"/>
    </row>
    <row r="50" spans="1:28" s="48" customFormat="1" ht="13">
      <c r="C50" s="12" t="s">
        <v>350</v>
      </c>
      <c r="D50" s="75"/>
      <c r="G50" s="75"/>
      <c r="I50" s="246"/>
      <c r="K50" s="58"/>
      <c r="M50" s="14" t="s">
        <v>99</v>
      </c>
      <c r="N50" s="247"/>
      <c r="O50" s="28"/>
      <c r="P50" s="297"/>
      <c r="Q50" s="297"/>
      <c r="R50" s="297"/>
      <c r="S50" s="297"/>
      <c r="T50" s="297"/>
      <c r="U50" s="297"/>
      <c r="V50" s="58"/>
      <c r="W50" s="58"/>
      <c r="X50" s="58"/>
      <c r="Y50" s="58"/>
      <c r="Z50" s="58"/>
      <c r="AA50" s="58"/>
      <c r="AB50" s="75"/>
    </row>
    <row r="51" spans="1:28" s="48" customFormat="1" ht="13">
      <c r="C51" s="66" t="s">
        <v>91</v>
      </c>
      <c r="D51" s="75"/>
      <c r="E51" s="48" t="s">
        <v>518</v>
      </c>
      <c r="F51" s="36" t="s">
        <v>118</v>
      </c>
      <c r="G51" s="75">
        <v>0.03</v>
      </c>
      <c r="H51" s="36" t="s">
        <v>118</v>
      </c>
      <c r="I51" s="324">
        <f>'Step6-Hg products-substances'!C33</f>
        <v>0</v>
      </c>
      <c r="J51" s="51" t="s">
        <v>117</v>
      </c>
      <c r="K51" s="501">
        <f>(I51*G51/1000)*'Step6-Hg products-substances'!$C$34/100</f>
        <v>0</v>
      </c>
      <c r="L51" s="3" t="s">
        <v>36</v>
      </c>
      <c r="M51" s="16" t="s">
        <v>100</v>
      </c>
      <c r="N51" s="247"/>
      <c r="O51" s="28"/>
      <c r="P51" s="297"/>
      <c r="Q51" s="297"/>
      <c r="R51" s="297"/>
      <c r="S51" s="297"/>
      <c r="T51" s="297"/>
      <c r="U51" s="297"/>
      <c r="V51" s="58"/>
      <c r="W51" s="58"/>
      <c r="X51" s="58"/>
      <c r="Y51" s="58"/>
      <c r="Z51" s="58"/>
      <c r="AA51" s="58"/>
      <c r="AB51" s="75"/>
    </row>
    <row r="52" spans="1:28" s="48" customFormat="1" ht="26">
      <c r="C52" s="95"/>
      <c r="D52" s="75"/>
      <c r="G52" s="75"/>
      <c r="I52" s="246"/>
      <c r="K52" s="58"/>
      <c r="M52" s="15" t="s">
        <v>97</v>
      </c>
      <c r="N52" s="247">
        <f>IF(OR('Step5-Waste treatment+recycling'!$B$4=yes,'Step5-Waste treatment+recycling'!$B$4=yes),K51,0)</f>
        <v>0</v>
      </c>
      <c r="O52" s="28"/>
      <c r="P52" s="297">
        <v>0.1</v>
      </c>
      <c r="Q52" s="297">
        <v>0.05</v>
      </c>
      <c r="R52" s="297"/>
      <c r="S52" s="297"/>
      <c r="T52" s="297">
        <v>0.85</v>
      </c>
      <c r="U52" s="297"/>
      <c r="V52" s="115">
        <f t="shared" ref="V52:AA52" si="18">$N52*P52</f>
        <v>0</v>
      </c>
      <c r="W52" s="115">
        <f t="shared" si="18"/>
        <v>0</v>
      </c>
      <c r="X52" s="115">
        <f t="shared" si="18"/>
        <v>0</v>
      </c>
      <c r="Y52" s="115">
        <f t="shared" si="18"/>
        <v>0</v>
      </c>
      <c r="Z52" s="115">
        <f t="shared" si="18"/>
        <v>0</v>
      </c>
      <c r="AA52" s="115">
        <f t="shared" si="18"/>
        <v>0</v>
      </c>
      <c r="AB52" s="75"/>
    </row>
    <row r="53" spans="1:28" s="48" customFormat="1" ht="26">
      <c r="C53" s="95"/>
      <c r="D53" s="288"/>
      <c r="G53" s="288"/>
      <c r="I53" s="325"/>
      <c r="K53" s="326"/>
      <c r="M53" s="15" t="s">
        <v>112</v>
      </c>
      <c r="N53" s="327">
        <f>IF(OR('Step5-Waste treatment+recycling'!$B$4=no,'Step5-Waste treatment+recycling'!$B$4=no),K51,0)</f>
        <v>0</v>
      </c>
      <c r="O53" s="28"/>
      <c r="P53" s="434">
        <v>0.2</v>
      </c>
      <c r="Q53" s="434">
        <v>0.1</v>
      </c>
      <c r="R53" s="434">
        <v>0.4</v>
      </c>
      <c r="S53" s="434"/>
      <c r="T53" s="434">
        <v>0.3</v>
      </c>
      <c r="U53" s="434"/>
      <c r="V53" s="328">
        <f t="shared" ref="V53:AA53" si="19">$N53*P53</f>
        <v>0</v>
      </c>
      <c r="W53" s="328">
        <f t="shared" si="19"/>
        <v>0</v>
      </c>
      <c r="X53" s="328">
        <f t="shared" si="19"/>
        <v>0</v>
      </c>
      <c r="Y53" s="328">
        <f t="shared" si="19"/>
        <v>0</v>
      </c>
      <c r="Z53" s="328">
        <f t="shared" si="19"/>
        <v>0</v>
      </c>
      <c r="AA53" s="328">
        <f t="shared" si="19"/>
        <v>0</v>
      </c>
      <c r="AB53" s="75"/>
    </row>
    <row r="54" spans="1:28" s="48" customFormat="1" ht="39">
      <c r="C54" s="95"/>
      <c r="D54" s="288"/>
      <c r="G54" s="288"/>
      <c r="I54" s="325"/>
      <c r="K54" s="326"/>
      <c r="M54" s="15" t="s">
        <v>1026</v>
      </c>
      <c r="N54" s="327"/>
      <c r="O54" s="28"/>
      <c r="P54" s="434"/>
      <c r="Q54" s="434"/>
      <c r="R54" s="434"/>
      <c r="S54" s="434"/>
      <c r="T54" s="434"/>
      <c r="U54" s="434"/>
      <c r="V54" s="328"/>
      <c r="W54" s="328"/>
      <c r="X54" s="328"/>
      <c r="Y54" s="328"/>
      <c r="Z54" s="328"/>
      <c r="AA54" s="328"/>
      <c r="AB54" s="75"/>
    </row>
    <row r="55" spans="1:28" ht="26">
      <c r="A55" s="90"/>
      <c r="B55" s="329" t="s">
        <v>139</v>
      </c>
      <c r="C55" s="96" t="s">
        <v>129</v>
      </c>
      <c r="D55" s="110"/>
      <c r="E55" s="90"/>
      <c r="F55" s="90"/>
      <c r="G55" s="75"/>
      <c r="H55" s="90"/>
      <c r="I55" s="246"/>
      <c r="J55" s="90"/>
      <c r="K55" s="113"/>
      <c r="L55" s="87"/>
      <c r="M55" s="330"/>
      <c r="N55" s="247"/>
      <c r="O55" s="87"/>
      <c r="P55" s="297"/>
      <c r="Q55" s="297"/>
      <c r="R55" s="297"/>
      <c r="S55" s="297"/>
      <c r="T55" s="297"/>
      <c r="U55" s="297"/>
      <c r="V55" s="113">
        <f t="shared" ref="V55:AA55" si="20">SUM(V56:V57)</f>
        <v>0</v>
      </c>
      <c r="W55" s="113">
        <f t="shared" si="20"/>
        <v>0</v>
      </c>
      <c r="X55" s="113">
        <f t="shared" si="20"/>
        <v>0</v>
      </c>
      <c r="Y55" s="113">
        <f t="shared" si="20"/>
        <v>0</v>
      </c>
      <c r="Z55" s="113">
        <f t="shared" si="20"/>
        <v>0</v>
      </c>
      <c r="AA55" s="113">
        <f t="shared" si="20"/>
        <v>0</v>
      </c>
      <c r="AB55" s="75"/>
    </row>
    <row r="56" spans="1:28" ht="13">
      <c r="C56" s="12" t="s">
        <v>350</v>
      </c>
      <c r="D56" s="110"/>
      <c r="E56" t="s">
        <v>43</v>
      </c>
      <c r="F56" s="3"/>
      <c r="G56" s="75">
        <v>1</v>
      </c>
      <c r="H56" s="3"/>
      <c r="I56" s="247">
        <f>'Step4-Industrial Hg use'!C15</f>
        <v>0</v>
      </c>
      <c r="J56" s="8" t="s">
        <v>451</v>
      </c>
      <c r="K56" s="114">
        <f>I56*G56</f>
        <v>0</v>
      </c>
      <c r="L56" s="3" t="s">
        <v>36</v>
      </c>
      <c r="M56" s="14" t="s">
        <v>99</v>
      </c>
      <c r="N56" s="247">
        <f>K56</f>
        <v>0</v>
      </c>
      <c r="O56" s="3" t="s">
        <v>36</v>
      </c>
      <c r="P56" s="296">
        <v>0.01</v>
      </c>
      <c r="Q56" s="296">
        <v>5.0000000000000001E-3</v>
      </c>
      <c r="R56" s="296">
        <v>0.1</v>
      </c>
      <c r="S56" s="296"/>
      <c r="T56" s="296">
        <v>0.1</v>
      </c>
      <c r="U56" s="296">
        <v>0.01</v>
      </c>
      <c r="V56" s="115">
        <f t="shared" ref="V56:AA57" si="21">$N56*P56</f>
        <v>0</v>
      </c>
      <c r="W56" s="115">
        <f t="shared" si="21"/>
        <v>0</v>
      </c>
      <c r="X56" s="115">
        <f t="shared" si="21"/>
        <v>0</v>
      </c>
      <c r="Y56" s="115">
        <f t="shared" si="21"/>
        <v>0</v>
      </c>
      <c r="Z56" s="115">
        <f t="shared" si="21"/>
        <v>0</v>
      </c>
      <c r="AA56" s="115">
        <f t="shared" si="21"/>
        <v>0</v>
      </c>
      <c r="AB56" s="75"/>
    </row>
    <row r="57" spans="1:28" ht="13">
      <c r="C57" s="66" t="s">
        <v>91</v>
      </c>
      <c r="D57" s="110"/>
      <c r="E57" t="s">
        <v>43</v>
      </c>
      <c r="F57" s="3"/>
      <c r="G57" s="75" t="s">
        <v>43</v>
      </c>
      <c r="H57" s="3"/>
      <c r="I57" s="247"/>
      <c r="K57" s="114" t="s">
        <v>43</v>
      </c>
      <c r="L57" s="3"/>
      <c r="M57" s="16" t="s">
        <v>100</v>
      </c>
      <c r="N57" s="247"/>
      <c r="O57" s="3"/>
      <c r="P57" s="296"/>
      <c r="Q57" s="296"/>
      <c r="R57" s="296"/>
      <c r="S57" s="296"/>
      <c r="T57" s="296"/>
      <c r="U57" s="296"/>
      <c r="V57" s="115">
        <f t="shared" si="21"/>
        <v>0</v>
      </c>
      <c r="W57" s="115">
        <f t="shared" si="21"/>
        <v>0</v>
      </c>
      <c r="X57" s="115">
        <f t="shared" si="21"/>
        <v>0</v>
      </c>
      <c r="Y57" s="115">
        <f t="shared" si="21"/>
        <v>0</v>
      </c>
      <c r="Z57" s="115">
        <f t="shared" si="21"/>
        <v>0</v>
      </c>
      <c r="AA57" s="115">
        <f t="shared" si="21"/>
        <v>0</v>
      </c>
      <c r="AB57" s="75"/>
    </row>
    <row r="58" spans="1:28" s="55" customFormat="1" ht="13">
      <c r="C58" s="162"/>
      <c r="D58" s="110"/>
      <c r="F58" s="103"/>
      <c r="G58" s="75"/>
      <c r="H58" s="103"/>
      <c r="I58" s="247"/>
      <c r="K58" s="114"/>
      <c r="L58" s="103"/>
      <c r="M58" s="163"/>
      <c r="N58" s="247"/>
      <c r="O58" s="103"/>
      <c r="P58" s="296"/>
      <c r="Q58" s="296"/>
      <c r="R58" s="296"/>
      <c r="S58" s="296"/>
      <c r="T58" s="296"/>
      <c r="U58" s="296"/>
      <c r="V58" s="115"/>
      <c r="W58" s="115"/>
      <c r="X58" s="115"/>
      <c r="Y58" s="115"/>
      <c r="Z58" s="115"/>
      <c r="AA58" s="115"/>
      <c r="AB58" s="75"/>
    </row>
    <row r="59" spans="1:28" ht="13">
      <c r="B59" s="8" t="s">
        <v>386</v>
      </c>
      <c r="C59" s="12" t="s">
        <v>138</v>
      </c>
      <c r="D59" s="110"/>
      <c r="G59" s="75"/>
      <c r="I59" s="246"/>
      <c r="K59" s="113"/>
      <c r="L59" s="3"/>
      <c r="M59" s="14"/>
      <c r="N59" s="247"/>
      <c r="O59" s="3"/>
      <c r="P59" s="297"/>
      <c r="Q59" s="297"/>
      <c r="R59" s="297"/>
      <c r="S59" s="297"/>
      <c r="T59" s="297"/>
      <c r="U59" s="297"/>
      <c r="V59" s="113">
        <f t="shared" ref="V59:AA59" si="22">SUM(V60:V61)</f>
        <v>0</v>
      </c>
      <c r="W59" s="113">
        <f t="shared" si="22"/>
        <v>0</v>
      </c>
      <c r="X59" s="113">
        <f t="shared" si="22"/>
        <v>0</v>
      </c>
      <c r="Y59" s="113">
        <f t="shared" si="22"/>
        <v>0</v>
      </c>
      <c r="Z59" s="113">
        <f t="shared" si="22"/>
        <v>0</v>
      </c>
      <c r="AA59" s="113">
        <f t="shared" si="22"/>
        <v>0</v>
      </c>
      <c r="AB59" s="75"/>
    </row>
    <row r="60" spans="1:28" ht="13">
      <c r="C60" s="12" t="s">
        <v>350</v>
      </c>
      <c r="D60" s="110"/>
      <c r="E60" s="6"/>
      <c r="F60" s="3"/>
      <c r="G60" s="75">
        <v>1</v>
      </c>
      <c r="H60" s="3"/>
      <c r="I60" s="247">
        <f>'Step4-Industrial Hg use'!C16</f>
        <v>0</v>
      </c>
      <c r="J60" t="s">
        <v>450</v>
      </c>
      <c r="K60" s="114">
        <f>I60*G60</f>
        <v>0</v>
      </c>
      <c r="L60" s="3" t="s">
        <v>36</v>
      </c>
      <c r="M60" s="14" t="s">
        <v>99</v>
      </c>
      <c r="N60" s="247">
        <f>K60</f>
        <v>0</v>
      </c>
      <c r="O60" s="3" t="s">
        <v>36</v>
      </c>
      <c r="P60" s="296">
        <v>0.01</v>
      </c>
      <c r="Q60" s="296">
        <v>5.0000000000000001E-3</v>
      </c>
      <c r="R60" s="296">
        <v>0.1</v>
      </c>
      <c r="S60" s="296"/>
      <c r="T60" s="296">
        <v>0.1</v>
      </c>
      <c r="U60" s="296">
        <v>0.01</v>
      </c>
      <c r="V60" s="115">
        <f t="shared" ref="V60:AA61" si="23">$N60*P60</f>
        <v>0</v>
      </c>
      <c r="W60" s="115">
        <f t="shared" si="23"/>
        <v>0</v>
      </c>
      <c r="X60" s="115">
        <f t="shared" si="23"/>
        <v>0</v>
      </c>
      <c r="Y60" s="115">
        <f t="shared" si="23"/>
        <v>0</v>
      </c>
      <c r="Z60" s="115">
        <f t="shared" si="23"/>
        <v>0</v>
      </c>
      <c r="AA60" s="115">
        <f t="shared" si="23"/>
        <v>0</v>
      </c>
      <c r="AB60" s="75"/>
    </row>
    <row r="61" spans="1:28" ht="13">
      <c r="C61" s="66" t="s">
        <v>91</v>
      </c>
      <c r="D61" s="110"/>
      <c r="E61" s="6" t="s">
        <v>140</v>
      </c>
      <c r="F61" s="3" t="s">
        <v>337</v>
      </c>
      <c r="G61" s="75">
        <v>2.6</v>
      </c>
      <c r="H61" s="3" t="s">
        <v>337</v>
      </c>
      <c r="I61" s="247">
        <f>'Step6-Hg products-substances'!C36</f>
        <v>0</v>
      </c>
      <c r="J61" t="s">
        <v>329</v>
      </c>
      <c r="K61" s="114">
        <f>G61*I61</f>
        <v>0</v>
      </c>
      <c r="L61" s="3" t="s">
        <v>36</v>
      </c>
      <c r="M61" s="16" t="s">
        <v>141</v>
      </c>
      <c r="N61" s="247">
        <f>K61</f>
        <v>0</v>
      </c>
      <c r="O61" s="17"/>
      <c r="P61" s="296">
        <v>0.92</v>
      </c>
      <c r="Q61" s="296">
        <v>0.05</v>
      </c>
      <c r="R61" s="296"/>
      <c r="S61" s="296"/>
      <c r="T61" s="296">
        <v>0.03</v>
      </c>
      <c r="U61" s="296"/>
      <c r="V61" s="115">
        <f t="shared" si="23"/>
        <v>0</v>
      </c>
      <c r="W61" s="115">
        <f t="shared" si="23"/>
        <v>0</v>
      </c>
      <c r="X61" s="115">
        <f t="shared" si="23"/>
        <v>0</v>
      </c>
      <c r="Y61" s="115">
        <f t="shared" si="23"/>
        <v>0</v>
      </c>
      <c r="Z61" s="115">
        <f t="shared" si="23"/>
        <v>0</v>
      </c>
      <c r="AA61" s="115">
        <f t="shared" si="23"/>
        <v>0</v>
      </c>
      <c r="AB61" s="75"/>
    </row>
    <row r="62" spans="1:28" s="55" customFormat="1" ht="13">
      <c r="C62" s="162"/>
      <c r="D62" s="110"/>
      <c r="F62" s="103"/>
      <c r="G62" s="75"/>
      <c r="H62" s="103"/>
      <c r="I62" s="247"/>
      <c r="K62" s="114"/>
      <c r="L62" s="103"/>
      <c r="M62" s="163"/>
      <c r="N62" s="247"/>
      <c r="O62" s="103"/>
      <c r="P62" s="296"/>
      <c r="Q62" s="296"/>
      <c r="R62" s="296"/>
      <c r="S62" s="296"/>
      <c r="T62" s="296"/>
      <c r="U62" s="296"/>
      <c r="V62" s="115"/>
      <c r="W62" s="115"/>
      <c r="X62" s="115"/>
      <c r="Y62" s="115"/>
      <c r="Z62" s="115"/>
      <c r="AA62" s="115"/>
      <c r="AB62" s="75"/>
    </row>
    <row r="63" spans="1:28" ht="26">
      <c r="B63" s="36" t="s">
        <v>465</v>
      </c>
      <c r="C63" s="12" t="s">
        <v>142</v>
      </c>
      <c r="D63" s="110"/>
      <c r="G63" s="283"/>
      <c r="I63" s="246"/>
      <c r="K63" s="113"/>
      <c r="L63" s="3"/>
      <c r="M63" s="14"/>
      <c r="N63" s="247"/>
      <c r="O63" s="3"/>
      <c r="P63" s="297"/>
      <c r="Q63" s="297"/>
      <c r="R63" s="297"/>
      <c r="S63" s="297"/>
      <c r="T63" s="297"/>
      <c r="U63" s="297"/>
      <c r="V63" s="113">
        <f t="shared" ref="V63:AA63" si="24">SUM(V64:V65)</f>
        <v>0</v>
      </c>
      <c r="W63" s="113">
        <f t="shared" si="24"/>
        <v>0</v>
      </c>
      <c r="X63" s="113">
        <f t="shared" si="24"/>
        <v>0</v>
      </c>
      <c r="Y63" s="113">
        <f t="shared" si="24"/>
        <v>0</v>
      </c>
      <c r="Z63" s="113">
        <f t="shared" si="24"/>
        <v>0</v>
      </c>
      <c r="AA63" s="113">
        <f t="shared" si="24"/>
        <v>0</v>
      </c>
      <c r="AB63" s="75"/>
    </row>
    <row r="64" spans="1:28" ht="13">
      <c r="C64" s="12" t="s">
        <v>350</v>
      </c>
      <c r="D64" s="110"/>
      <c r="E64" s="18"/>
      <c r="F64" s="3" t="s">
        <v>337</v>
      </c>
      <c r="G64" s="283">
        <v>1</v>
      </c>
      <c r="I64" s="298">
        <f>'Step4-Industrial Hg use'!C17</f>
        <v>0</v>
      </c>
      <c r="J64" s="8" t="s">
        <v>451</v>
      </c>
      <c r="K64" s="114">
        <f>I64*G64</f>
        <v>0</v>
      </c>
      <c r="L64" s="3" t="s">
        <v>36</v>
      </c>
      <c r="M64" s="14" t="s">
        <v>99</v>
      </c>
      <c r="N64" s="247">
        <f>K64</f>
        <v>0</v>
      </c>
      <c r="O64" s="3" t="s">
        <v>36</v>
      </c>
      <c r="P64" s="296">
        <v>0.01</v>
      </c>
      <c r="Q64" s="296">
        <v>5.0000000000000001E-3</v>
      </c>
      <c r="R64" s="296">
        <v>0.1</v>
      </c>
      <c r="S64" s="296"/>
      <c r="T64" s="296">
        <v>0.1</v>
      </c>
      <c r="U64" s="296">
        <v>0.01</v>
      </c>
      <c r="V64" s="115">
        <f t="shared" ref="V64:AA65" si="25">$N64*P64</f>
        <v>0</v>
      </c>
      <c r="W64" s="115">
        <f t="shared" si="25"/>
        <v>0</v>
      </c>
      <c r="X64" s="115">
        <f t="shared" si="25"/>
        <v>0</v>
      </c>
      <c r="Y64" s="115">
        <f t="shared" si="25"/>
        <v>0</v>
      </c>
      <c r="Z64" s="115">
        <f t="shared" si="25"/>
        <v>0</v>
      </c>
      <c r="AA64" s="115">
        <f t="shared" si="25"/>
        <v>0</v>
      </c>
      <c r="AB64" s="75"/>
    </row>
    <row r="65" spans="3:28" ht="13">
      <c r="C65" s="66" t="s">
        <v>91</v>
      </c>
      <c r="D65" s="110"/>
      <c r="E65" s="18" t="s">
        <v>143</v>
      </c>
      <c r="F65" s="3" t="s">
        <v>337</v>
      </c>
      <c r="G65" s="75">
        <v>30</v>
      </c>
      <c r="H65" s="3" t="s">
        <v>337</v>
      </c>
      <c r="I65" s="247">
        <f>'Step6-Hg products-substances'!C38</f>
        <v>0</v>
      </c>
      <c r="J65" t="s">
        <v>330</v>
      </c>
      <c r="K65" s="114">
        <f>G65*I65</f>
        <v>0</v>
      </c>
      <c r="L65" s="3" t="s">
        <v>36</v>
      </c>
      <c r="M65" s="16" t="s">
        <v>141</v>
      </c>
      <c r="N65" s="247">
        <f>K65</f>
        <v>0</v>
      </c>
      <c r="O65" s="17"/>
      <c r="P65" s="296"/>
      <c r="Q65" s="296">
        <v>0.95</v>
      </c>
      <c r="R65" s="296">
        <v>0.05</v>
      </c>
      <c r="S65" s="296"/>
      <c r="T65" s="296"/>
      <c r="U65" s="296"/>
      <c r="V65" s="115">
        <f t="shared" si="25"/>
        <v>0</v>
      </c>
      <c r="W65" s="115">
        <f t="shared" si="25"/>
        <v>0</v>
      </c>
      <c r="X65" s="115">
        <f t="shared" si="25"/>
        <v>0</v>
      </c>
      <c r="Y65" s="115">
        <f t="shared" si="25"/>
        <v>0</v>
      </c>
      <c r="Z65" s="115">
        <f t="shared" si="25"/>
        <v>0</v>
      </c>
      <c r="AA65" s="115">
        <f t="shared" si="25"/>
        <v>0</v>
      </c>
      <c r="AB65" s="75"/>
    </row>
    <row r="66" spans="3:28" s="55" customFormat="1" ht="13">
      <c r="C66" s="164"/>
      <c r="D66" s="110"/>
      <c r="F66" s="103"/>
      <c r="G66" s="75"/>
      <c r="H66" s="103"/>
      <c r="I66" s="247"/>
      <c r="K66" s="114"/>
      <c r="L66" s="103"/>
      <c r="M66" s="163"/>
      <c r="N66" s="246"/>
      <c r="O66" s="103"/>
      <c r="P66" s="284"/>
      <c r="Q66" s="284"/>
      <c r="R66" s="284"/>
      <c r="S66" s="284"/>
      <c r="T66" s="284"/>
      <c r="U66" s="284"/>
      <c r="V66" s="115"/>
      <c r="W66" s="115"/>
      <c r="X66" s="115"/>
      <c r="Y66" s="115"/>
      <c r="Z66" s="115"/>
      <c r="AA66" s="115"/>
      <c r="AB66" s="75"/>
    </row>
    <row r="67" spans="3:28" s="3" customFormat="1" ht="13">
      <c r="C67" s="40"/>
      <c r="D67" s="7"/>
      <c r="I67" s="248"/>
      <c r="K67" s="21"/>
      <c r="M67" s="59"/>
      <c r="N67" s="238"/>
      <c r="P67" s="60"/>
      <c r="Q67" s="60"/>
      <c r="R67" s="60"/>
      <c r="S67" s="60"/>
      <c r="T67" s="60"/>
      <c r="U67" s="60"/>
      <c r="V67" s="22"/>
      <c r="W67" s="22"/>
      <c r="X67" s="22"/>
      <c r="Y67" s="22"/>
      <c r="Z67" s="22"/>
      <c r="AA67" s="22"/>
    </row>
    <row r="68" spans="3:28" s="3" customFormat="1" ht="13">
      <c r="C68" s="7" t="s">
        <v>56</v>
      </c>
      <c r="D68" s="36" t="s">
        <v>349</v>
      </c>
      <c r="I68" s="248"/>
      <c r="K68" s="21"/>
      <c r="M68" s="59"/>
      <c r="N68" s="238"/>
      <c r="P68" s="60"/>
      <c r="Q68" s="60"/>
      <c r="R68" s="60"/>
      <c r="S68" s="60"/>
      <c r="T68" s="60"/>
      <c r="U68" s="60"/>
      <c r="V68" s="22"/>
      <c r="W68" s="22"/>
      <c r="X68" s="22"/>
      <c r="Y68" s="22"/>
      <c r="Z68" s="22"/>
      <c r="AA68" s="22"/>
    </row>
    <row r="69" spans="3:28" s="3" customFormat="1" ht="13">
      <c r="C69" s="40"/>
      <c r="D69" s="7"/>
      <c r="I69" s="248"/>
      <c r="K69" s="21"/>
      <c r="M69" s="59"/>
      <c r="N69" s="238"/>
      <c r="P69" s="60"/>
      <c r="Q69" s="60"/>
      <c r="R69" s="60"/>
      <c r="S69" s="60"/>
      <c r="T69" s="60"/>
      <c r="U69" s="60"/>
      <c r="V69" s="22"/>
      <c r="W69" s="22"/>
      <c r="X69" s="22"/>
      <c r="Y69" s="22"/>
      <c r="Z69" s="22"/>
      <c r="AA69" s="22"/>
    </row>
    <row r="70" spans="3:28" s="3" customFormat="1" ht="13">
      <c r="C70" s="40"/>
      <c r="D70" s="7"/>
      <c r="I70" s="248"/>
      <c r="K70" s="21"/>
      <c r="M70" s="59"/>
      <c r="N70" s="238"/>
      <c r="P70" s="60"/>
      <c r="Q70" s="60"/>
      <c r="R70" s="60"/>
      <c r="S70" s="60"/>
      <c r="T70" s="60"/>
      <c r="U70" s="60"/>
      <c r="V70" s="22"/>
      <c r="W70" s="22"/>
      <c r="X70" s="22"/>
      <c r="Y70" s="22"/>
      <c r="Z70" s="22"/>
      <c r="AA70" s="22"/>
    </row>
    <row r="71" spans="3:28" s="3" customFormat="1" ht="13">
      <c r="C71" s="40"/>
      <c r="D71" s="7"/>
      <c r="I71" s="248"/>
      <c r="K71" s="21"/>
      <c r="M71" s="59"/>
      <c r="N71" s="238"/>
      <c r="P71" s="60"/>
      <c r="Q71" s="60"/>
      <c r="R71" s="60"/>
      <c r="S71" s="60"/>
      <c r="T71" s="60"/>
      <c r="U71" s="60"/>
      <c r="V71" s="22"/>
      <c r="W71" s="22"/>
      <c r="X71" s="22"/>
      <c r="Y71" s="22"/>
      <c r="Z71" s="22"/>
      <c r="AA71" s="22"/>
    </row>
    <row r="72" spans="3:28" s="3" customFormat="1" ht="13">
      <c r="C72" s="40"/>
      <c r="D72" s="7"/>
      <c r="I72" s="248"/>
      <c r="K72" s="21"/>
      <c r="M72" s="59"/>
      <c r="N72" s="238"/>
      <c r="P72" s="60"/>
      <c r="Q72" s="60"/>
      <c r="R72" s="60"/>
      <c r="S72" s="60"/>
      <c r="T72" s="60"/>
      <c r="U72" s="60"/>
      <c r="V72" s="22"/>
      <c r="W72" s="22"/>
      <c r="X72" s="22"/>
      <c r="Y72" s="22"/>
      <c r="Z72" s="22"/>
      <c r="AA72" s="22"/>
    </row>
    <row r="73" spans="3:28" s="3" customFormat="1" ht="13">
      <c r="C73" s="40"/>
      <c r="D73" s="7"/>
      <c r="I73" s="248"/>
      <c r="K73" s="21"/>
      <c r="M73" s="59"/>
      <c r="N73" s="238"/>
      <c r="P73" s="60"/>
      <c r="Q73" s="60"/>
      <c r="R73" s="60"/>
      <c r="S73" s="60"/>
      <c r="T73" s="60"/>
      <c r="U73" s="60"/>
      <c r="V73" s="22"/>
      <c r="W73" s="22"/>
      <c r="X73" s="22"/>
      <c r="Y73" s="22"/>
      <c r="Z73" s="22"/>
      <c r="AA73" s="22"/>
    </row>
    <row r="74" spans="3:28" s="3" customFormat="1" ht="13">
      <c r="C74" s="36"/>
      <c r="E74" s="11"/>
      <c r="I74" s="248"/>
      <c r="K74" s="21"/>
      <c r="M74" s="62"/>
      <c r="N74" s="238"/>
      <c r="P74" s="60"/>
      <c r="Q74" s="60"/>
      <c r="R74" s="60"/>
      <c r="S74" s="60"/>
      <c r="T74" s="60"/>
      <c r="U74" s="60"/>
      <c r="V74" s="22"/>
      <c r="W74" s="22"/>
      <c r="X74" s="22"/>
      <c r="Y74" s="22"/>
      <c r="Z74" s="22"/>
      <c r="AA74" s="22"/>
    </row>
    <row r="75" spans="3:28" s="3" customFormat="1" ht="13">
      <c r="C75" s="36"/>
      <c r="E75" s="11"/>
      <c r="I75" s="248"/>
      <c r="K75" s="21"/>
      <c r="M75" s="62"/>
      <c r="N75" s="238"/>
      <c r="P75" s="60"/>
      <c r="Q75" s="60"/>
      <c r="R75" s="60"/>
      <c r="S75" s="60"/>
      <c r="T75" s="60"/>
      <c r="U75" s="60"/>
      <c r="V75" s="22"/>
      <c r="W75" s="22"/>
      <c r="X75" s="22"/>
      <c r="Y75" s="22"/>
      <c r="Z75" s="22"/>
      <c r="AA75" s="22"/>
    </row>
    <row r="76" spans="3:28" s="3" customFormat="1" ht="13">
      <c r="C76" s="36"/>
      <c r="E76" s="11"/>
      <c r="I76" s="248"/>
      <c r="K76" s="21"/>
      <c r="M76" s="62"/>
      <c r="N76" s="238"/>
      <c r="P76" s="60"/>
      <c r="Q76" s="60"/>
      <c r="R76" s="60"/>
      <c r="S76" s="60"/>
      <c r="T76" s="60"/>
      <c r="U76" s="60"/>
      <c r="V76" s="22"/>
      <c r="W76" s="22"/>
      <c r="X76" s="22"/>
      <c r="Y76" s="22"/>
      <c r="Z76" s="22"/>
      <c r="AA76" s="22"/>
    </row>
    <row r="77" spans="3:28" s="3" customFormat="1" ht="13">
      <c r="C77" s="36"/>
      <c r="E77" s="11"/>
      <c r="I77" s="248"/>
      <c r="K77" s="21"/>
      <c r="M77" s="63"/>
      <c r="N77" s="238"/>
      <c r="P77" s="23"/>
      <c r="Q77" s="23"/>
      <c r="R77" s="24"/>
      <c r="S77" s="24"/>
      <c r="T77" s="23"/>
      <c r="V77" s="22"/>
      <c r="W77" s="22"/>
      <c r="X77" s="22"/>
      <c r="Y77" s="22"/>
      <c r="Z77" s="22"/>
      <c r="AA77" s="22"/>
    </row>
    <row r="78" spans="3:28" s="3" customFormat="1">
      <c r="I78" s="238"/>
      <c r="M78" s="63"/>
      <c r="N78" s="238"/>
    </row>
    <row r="79" spans="3:28" s="3" customFormat="1">
      <c r="I79" s="238"/>
      <c r="M79" s="63"/>
      <c r="N79" s="238"/>
    </row>
    <row r="80" spans="3:28" s="3" customFormat="1" ht="13">
      <c r="C80" s="7"/>
      <c r="D80" s="7"/>
      <c r="I80" s="238"/>
      <c r="M80" s="64"/>
      <c r="N80" s="238"/>
      <c r="V80" s="25"/>
      <c r="W80" s="25"/>
      <c r="X80" s="25"/>
      <c r="Y80" s="25"/>
      <c r="Z80" s="25"/>
      <c r="AA80" s="25"/>
    </row>
    <row r="81" spans="3:27" s="3" customFormat="1" ht="13">
      <c r="C81" s="7"/>
      <c r="D81" s="7"/>
      <c r="I81" s="248"/>
      <c r="K81" s="21"/>
      <c r="M81" s="64"/>
      <c r="N81" s="248"/>
      <c r="P81" s="60"/>
      <c r="Q81" s="60"/>
      <c r="R81" s="60"/>
      <c r="S81" s="60"/>
      <c r="T81" s="60"/>
      <c r="U81" s="60"/>
      <c r="V81" s="22"/>
      <c r="W81" s="22"/>
      <c r="X81" s="22"/>
      <c r="Y81" s="22"/>
      <c r="Z81" s="22"/>
      <c r="AA81" s="22"/>
    </row>
  </sheetData>
  <sheetProtection algorithmName="SHA-512" hashValue="qrvgE1oaDqkgVjFaMZXPU6gTm7w9leatnXEuISbzTFaQF8gdfUMQVmZ7/gAMrLu8q9JvIDgkeRhfDKNY0KiuYg==" saltValue="xPnBx0/jdjzDUDYttq2A4A==" spinCount="100000" sheet="1"/>
  <customSheetViews>
    <customSheetView guid="{EB7FE26D-7077-48F2-8515-D783BE87A220}" scale="70" state="hidden" topLeftCell="A10">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9CA7F-5DCB-4396-B537-87CE0998634E}">
  <dimension ref="A1:AB12"/>
  <sheetViews>
    <sheetView topLeftCell="B1" workbookViewId="0">
      <selection activeCell="E19" sqref="E19"/>
    </sheetView>
  </sheetViews>
  <sheetFormatPr defaultColWidth="8.81640625" defaultRowHeight="12.5"/>
  <cols>
    <col min="1" max="1" width="3" customWidth="1"/>
    <col min="2" max="2" width="6.1796875" customWidth="1"/>
    <col min="3" max="3" width="23.36328125" customWidth="1"/>
    <col min="4" max="4" width="8.453125" customWidth="1"/>
    <col min="5" max="5" width="10.453125" customWidth="1"/>
    <col min="6" max="6" width="12" customWidth="1"/>
    <col min="7" max="7" width="8.36328125" customWidth="1"/>
    <col min="8" max="8" width="13.453125" customWidth="1"/>
    <col min="9" max="9" width="18.453125" customWidth="1"/>
    <col min="10" max="10" width="19" customWidth="1"/>
    <col min="11" max="11" width="11.36328125" customWidth="1"/>
    <col min="12" max="12" width="11.453125" customWidth="1"/>
    <col min="13" max="13" width="15" style="13" customWidth="1"/>
    <col min="15" max="15" width="10.81640625" customWidth="1"/>
    <col min="16" max="16" width="4.453125" customWidth="1"/>
    <col min="17" max="17" width="5.36328125" customWidth="1"/>
    <col min="18" max="18" width="5" customWidth="1"/>
    <col min="19" max="19" width="8.453125" customWidth="1"/>
    <col min="21" max="21" width="15.453125" customWidth="1"/>
    <col min="22" max="22" width="12.453125" customWidth="1"/>
    <col min="24" max="24" width="9.6328125" customWidth="1"/>
    <col min="25" max="25" width="11.1796875" customWidth="1"/>
    <col min="26" max="26" width="11.453125" customWidth="1"/>
    <col min="27" max="27" width="17" customWidth="1"/>
    <col min="28" max="28" width="49.81640625" customWidth="1"/>
  </cols>
  <sheetData>
    <row r="1" spans="1:28" ht="18">
      <c r="A1" s="1" t="s">
        <v>34</v>
      </c>
    </row>
    <row r="2" spans="1:28" ht="14">
      <c r="A2" s="54" t="s">
        <v>311</v>
      </c>
    </row>
    <row r="3" spans="1:28" s="5" customFormat="1" ht="13">
      <c r="C3" s="7"/>
      <c r="D3" s="7"/>
      <c r="E3" s="7"/>
      <c r="F3" s="7"/>
      <c r="G3" s="7"/>
      <c r="H3" s="7"/>
      <c r="I3" s="7"/>
      <c r="J3" s="7"/>
      <c r="K3" s="7"/>
      <c r="L3" s="7"/>
      <c r="M3" s="64"/>
      <c r="N3" s="7"/>
      <c r="O3" s="7"/>
      <c r="P3" s="110" t="s">
        <v>55</v>
      </c>
      <c r="Q3" s="110"/>
      <c r="R3" s="110"/>
      <c r="S3" s="110"/>
      <c r="T3" s="110"/>
      <c r="U3" s="110"/>
      <c r="V3" s="190" t="s">
        <v>54</v>
      </c>
      <c r="W3" s="56"/>
      <c r="X3" s="56"/>
      <c r="Y3" s="56"/>
      <c r="Z3" s="56"/>
      <c r="AA3" s="56"/>
      <c r="AB3" s="110"/>
    </row>
    <row r="4" spans="1:28" s="143" customFormat="1" ht="39">
      <c r="A4" s="143" t="s">
        <v>52</v>
      </c>
      <c r="B4" s="143" t="s">
        <v>50</v>
      </c>
      <c r="C4" s="133" t="s">
        <v>59</v>
      </c>
      <c r="D4" s="111" t="s">
        <v>153</v>
      </c>
      <c r="E4" s="133" t="s">
        <v>49</v>
      </c>
      <c r="F4" s="142" t="s">
        <v>35</v>
      </c>
      <c r="G4" s="111" t="s">
        <v>37</v>
      </c>
      <c r="H4" s="142" t="s">
        <v>35</v>
      </c>
      <c r="I4" s="111" t="s">
        <v>51</v>
      </c>
      <c r="J4" s="143" t="s">
        <v>35</v>
      </c>
      <c r="K4" s="83" t="s">
        <v>61</v>
      </c>
      <c r="L4" s="142" t="s">
        <v>35</v>
      </c>
      <c r="M4" s="145" t="s">
        <v>279</v>
      </c>
      <c r="N4" s="111" t="s">
        <v>92</v>
      </c>
      <c r="O4" s="142" t="s">
        <v>35</v>
      </c>
      <c r="P4" s="146" t="s">
        <v>38</v>
      </c>
      <c r="Q4" s="146" t="s">
        <v>39</v>
      </c>
      <c r="R4" s="146" t="s">
        <v>40</v>
      </c>
      <c r="S4" s="146" t="s">
        <v>457</v>
      </c>
      <c r="T4" s="147" t="s">
        <v>42</v>
      </c>
      <c r="U4" s="147" t="s">
        <v>227</v>
      </c>
      <c r="V4" s="56" t="s">
        <v>38</v>
      </c>
      <c r="W4" s="56" t="s">
        <v>39</v>
      </c>
      <c r="X4" s="56" t="s">
        <v>40</v>
      </c>
      <c r="Y4" s="56" t="s">
        <v>457</v>
      </c>
      <c r="Z4" s="57" t="s">
        <v>42</v>
      </c>
      <c r="AA4" s="57" t="s">
        <v>227</v>
      </c>
      <c r="AB4" s="110" t="s">
        <v>87</v>
      </c>
    </row>
    <row r="5" spans="1:28" s="128" customFormat="1" ht="39">
      <c r="A5" s="128" t="s">
        <v>308</v>
      </c>
      <c r="C5" s="133" t="s">
        <v>302</v>
      </c>
      <c r="D5" s="110"/>
      <c r="F5" s="127"/>
      <c r="G5" s="75"/>
      <c r="H5" s="127"/>
      <c r="I5" s="252"/>
      <c r="K5" s="112"/>
      <c r="L5" s="127"/>
      <c r="M5" s="134"/>
      <c r="N5" s="252"/>
      <c r="O5" s="127"/>
      <c r="P5" s="126"/>
      <c r="Q5" s="126"/>
      <c r="R5" s="126"/>
      <c r="S5" s="126"/>
      <c r="T5" s="126"/>
      <c r="U5" s="126"/>
      <c r="V5" s="58"/>
      <c r="W5" s="58"/>
      <c r="X5" s="58"/>
      <c r="Y5" s="58"/>
      <c r="Z5" s="58"/>
      <c r="AA5" s="58"/>
      <c r="AB5" s="75"/>
    </row>
    <row r="6" spans="1:28" ht="13">
      <c r="B6" s="3" t="s">
        <v>309</v>
      </c>
      <c r="C6" s="26" t="s">
        <v>303</v>
      </c>
      <c r="D6" s="110"/>
      <c r="E6" s="11" t="s">
        <v>304</v>
      </c>
      <c r="F6" s="3" t="s">
        <v>305</v>
      </c>
      <c r="G6" s="75">
        <v>4</v>
      </c>
      <c r="H6" s="3" t="s">
        <v>305</v>
      </c>
      <c r="I6" s="253">
        <f>'Step7-Crematoria-cemetaries'!C5</f>
        <v>0</v>
      </c>
      <c r="J6" s="3" t="s">
        <v>306</v>
      </c>
      <c r="K6" s="112">
        <f>G6*I6/1000*('Step6-Hg products-substances'!C11/Countrydata!$D$57)</f>
        <v>0</v>
      </c>
      <c r="L6" s="3" t="s">
        <v>36</v>
      </c>
      <c r="M6" s="33"/>
      <c r="N6" s="252">
        <f>K6</f>
        <v>0</v>
      </c>
      <c r="O6" s="3" t="s">
        <v>36</v>
      </c>
      <c r="P6" s="75">
        <v>1</v>
      </c>
      <c r="Q6" s="75"/>
      <c r="R6" s="75"/>
      <c r="S6" s="277"/>
      <c r="T6" s="75"/>
      <c r="U6" s="75"/>
      <c r="V6" s="113">
        <f t="shared" ref="V6:AA6" si="0">$N6*P6</f>
        <v>0</v>
      </c>
      <c r="W6" s="113">
        <f t="shared" si="0"/>
        <v>0</v>
      </c>
      <c r="X6" s="113">
        <f t="shared" si="0"/>
        <v>0</v>
      </c>
      <c r="Y6" s="243" t="s">
        <v>272</v>
      </c>
      <c r="Z6" s="113">
        <f t="shared" si="0"/>
        <v>0</v>
      </c>
      <c r="AA6" s="113">
        <f t="shared" si="0"/>
        <v>0</v>
      </c>
      <c r="AB6" s="75"/>
    </row>
    <row r="7" spans="1:28" s="55" customFormat="1" ht="13">
      <c r="B7" s="103"/>
      <c r="C7" s="136"/>
      <c r="D7" s="75"/>
      <c r="E7" s="105"/>
      <c r="F7" s="103"/>
      <c r="G7" s="75"/>
      <c r="H7" s="103"/>
      <c r="I7" s="253"/>
      <c r="K7" s="168"/>
      <c r="L7" s="103"/>
      <c r="M7" s="137"/>
      <c r="N7" s="253"/>
      <c r="O7" s="103"/>
      <c r="P7" s="129"/>
      <c r="Q7" s="129"/>
      <c r="R7" s="129"/>
      <c r="S7" s="129"/>
      <c r="T7" s="129"/>
      <c r="U7" s="126"/>
      <c r="V7" s="115"/>
      <c r="W7" s="115"/>
      <c r="X7" s="115"/>
      <c r="Y7" s="115"/>
      <c r="Z7" s="115"/>
      <c r="AA7" s="115"/>
      <c r="AB7" s="75"/>
    </row>
    <row r="8" spans="1:28" ht="13">
      <c r="B8" s="3" t="s">
        <v>310</v>
      </c>
      <c r="C8" s="26" t="s">
        <v>431</v>
      </c>
      <c r="D8" s="110"/>
      <c r="E8" s="11" t="s">
        <v>304</v>
      </c>
      <c r="F8" s="3" t="s">
        <v>305</v>
      </c>
      <c r="G8" s="75">
        <v>4</v>
      </c>
      <c r="H8" s="3" t="s">
        <v>305</v>
      </c>
      <c r="I8" s="253">
        <f>'Step7-Crematoria-cemetaries'!C6</f>
        <v>0</v>
      </c>
      <c r="J8" s="3" t="s">
        <v>307</v>
      </c>
      <c r="K8" s="112">
        <f>G8*I8/1000*('Step6-Hg products-substances'!C11/Countrydata!$D$57)</f>
        <v>0</v>
      </c>
      <c r="L8" s="3" t="s">
        <v>36</v>
      </c>
      <c r="M8" s="33"/>
      <c r="N8" s="252">
        <f>K8</f>
        <v>0</v>
      </c>
      <c r="O8" s="3" t="s">
        <v>36</v>
      </c>
      <c r="P8" s="75"/>
      <c r="Q8" s="75"/>
      <c r="R8" s="75">
        <v>1</v>
      </c>
      <c r="S8" s="277"/>
      <c r="T8" s="75"/>
      <c r="U8" s="75"/>
      <c r="V8" s="113">
        <f t="shared" ref="V8:AA8" si="1">$N8*P8</f>
        <v>0</v>
      </c>
      <c r="W8" s="113">
        <f t="shared" si="1"/>
        <v>0</v>
      </c>
      <c r="X8" s="113">
        <f t="shared" si="1"/>
        <v>0</v>
      </c>
      <c r="Y8" s="243" t="s">
        <v>272</v>
      </c>
      <c r="Z8" s="113">
        <f t="shared" si="1"/>
        <v>0</v>
      </c>
      <c r="AA8" s="113">
        <f t="shared" si="1"/>
        <v>0</v>
      </c>
      <c r="AB8" s="75"/>
    </row>
    <row r="9" spans="1:28" s="55" customFormat="1">
      <c r="D9" s="75"/>
      <c r="G9" s="75"/>
      <c r="I9" s="252"/>
      <c r="K9" s="112"/>
      <c r="M9" s="161"/>
      <c r="N9" s="252"/>
      <c r="O9" s="103"/>
      <c r="P9" s="75"/>
      <c r="Q9" s="75"/>
      <c r="R9" s="75"/>
      <c r="S9" s="75"/>
      <c r="T9" s="75"/>
      <c r="U9" s="75"/>
      <c r="V9" s="58"/>
      <c r="W9" s="58"/>
      <c r="X9" s="58"/>
      <c r="Y9" s="58"/>
      <c r="Z9" s="58"/>
      <c r="AA9" s="58"/>
      <c r="AB9" s="75"/>
    </row>
    <row r="10" spans="1:28">
      <c r="D10" s="3"/>
      <c r="E10" s="3"/>
      <c r="F10" s="3"/>
      <c r="G10" s="3"/>
      <c r="H10" s="3"/>
      <c r="I10" s="3"/>
      <c r="J10" s="3"/>
      <c r="K10" s="36"/>
      <c r="L10" s="3"/>
      <c r="M10" s="63"/>
      <c r="N10" s="3"/>
      <c r="O10" s="3"/>
      <c r="P10" s="3"/>
      <c r="Q10" s="3"/>
      <c r="R10" s="3"/>
      <c r="S10" s="3"/>
      <c r="T10" s="3"/>
      <c r="U10" s="3"/>
      <c r="V10" s="3"/>
      <c r="W10" s="3"/>
      <c r="X10" s="3"/>
      <c r="Y10" s="3"/>
      <c r="Z10" s="3"/>
      <c r="AA10" s="3"/>
      <c r="AB10" s="3"/>
    </row>
    <row r="11" spans="1:28" ht="13">
      <c r="C11" s="5"/>
      <c r="D11" s="8"/>
    </row>
    <row r="12" spans="1:28">
      <c r="D12" s="6"/>
    </row>
  </sheetData>
  <sheetProtection algorithmName="SHA-512" hashValue="5Mcd3H1egAp9Wh0QhJn/4XSJAjo74Tj/R3moT/ppvJVrb27+HaSCWxv0VaFz0seyMFJWCkZFNKfiEYkWTrIwqw==" saltValue="oohqbx8GwQc9iH7FjFl5UA==" spinCount="100000" sheet="1"/>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D30"/>
  <sheetViews>
    <sheetView workbookViewId="0">
      <selection activeCell="B4" sqref="B4"/>
    </sheetView>
  </sheetViews>
  <sheetFormatPr defaultColWidth="9.1796875" defaultRowHeight="12.5"/>
  <cols>
    <col min="1" max="1" width="66.81640625" style="339" customWidth="1"/>
    <col min="2" max="2" width="8.81640625" style="360" customWidth="1"/>
    <col min="3" max="16384" width="9.1796875" style="339"/>
  </cols>
  <sheetData>
    <row r="1" spans="1:4" ht="13">
      <c r="A1" s="390" t="s">
        <v>432</v>
      </c>
      <c r="B1" s="392"/>
      <c r="C1" s="369"/>
    </row>
    <row r="2" spans="1:4" s="361" customFormat="1" ht="38.25" customHeight="1">
      <c r="A2" s="710" t="s">
        <v>312</v>
      </c>
      <c r="B2" s="712" t="s">
        <v>365</v>
      </c>
      <c r="C2" s="432"/>
      <c r="D2" s="467" t="s">
        <v>56</v>
      </c>
    </row>
    <row r="3" spans="1:4" ht="13.5" thickBot="1">
      <c r="A3" s="265"/>
      <c r="B3" s="266" t="str">
        <f>quest</f>
        <v>Y/N/?</v>
      </c>
      <c r="C3" s="431"/>
      <c r="D3" s="463"/>
    </row>
    <row r="4" spans="1:4">
      <c r="A4" s="275" t="s">
        <v>494</v>
      </c>
      <c r="B4" s="487"/>
      <c r="C4" s="431"/>
      <c r="D4" s="463"/>
    </row>
    <row r="5" spans="1:4">
      <c r="A5" s="270" t="s">
        <v>85</v>
      </c>
      <c r="B5" s="488"/>
      <c r="C5" s="431"/>
      <c r="D5" s="463"/>
    </row>
    <row r="6" spans="1:4">
      <c r="A6" s="270" t="s">
        <v>83</v>
      </c>
      <c r="B6" s="488"/>
      <c r="C6" s="431"/>
      <c r="D6" s="463"/>
    </row>
    <row r="7" spans="1:4">
      <c r="A7" s="270" t="s">
        <v>278</v>
      </c>
      <c r="B7" s="488"/>
      <c r="C7" s="431"/>
      <c r="D7" s="463"/>
    </row>
    <row r="8" spans="1:4">
      <c r="A8" s="270" t="s">
        <v>516</v>
      </c>
      <c r="B8" s="488"/>
      <c r="C8" s="431"/>
      <c r="D8" s="463"/>
    </row>
    <row r="9" spans="1:4">
      <c r="A9" s="270" t="s">
        <v>517</v>
      </c>
      <c r="B9" s="488"/>
      <c r="C9" s="431"/>
      <c r="D9" s="468"/>
    </row>
    <row r="10" spans="1:4" ht="25">
      <c r="A10" s="275" t="s">
        <v>590</v>
      </c>
      <c r="B10" s="488"/>
      <c r="C10" s="431"/>
      <c r="D10" s="463"/>
    </row>
    <row r="11" spans="1:4">
      <c r="A11" s="270" t="s">
        <v>394</v>
      </c>
      <c r="B11" s="488"/>
      <c r="C11" s="431"/>
      <c r="D11" s="463"/>
    </row>
    <row r="12" spans="1:4">
      <c r="A12" s="270" t="s">
        <v>234</v>
      </c>
      <c r="B12" s="488"/>
      <c r="C12" s="431"/>
      <c r="D12" s="463"/>
    </row>
    <row r="13" spans="1:4">
      <c r="A13" s="275" t="s">
        <v>509</v>
      </c>
      <c r="B13" s="488"/>
      <c r="C13" s="431"/>
      <c r="D13" s="463"/>
    </row>
    <row r="14" spans="1:4">
      <c r="A14" s="270" t="s">
        <v>236</v>
      </c>
      <c r="B14" s="488"/>
      <c r="C14" s="431"/>
      <c r="D14" s="463"/>
    </row>
    <row r="15" spans="1:4">
      <c r="A15" s="270" t="s">
        <v>237</v>
      </c>
      <c r="B15" s="488"/>
      <c r="C15" s="431"/>
      <c r="D15" s="463"/>
    </row>
    <row r="16" spans="1:4">
      <c r="A16" s="270" t="s">
        <v>238</v>
      </c>
      <c r="B16" s="488"/>
      <c r="C16" s="431"/>
      <c r="D16" s="463"/>
    </row>
    <row r="17" spans="1:4">
      <c r="A17" s="270" t="s">
        <v>514</v>
      </c>
      <c r="B17" s="488"/>
      <c r="C17" s="431"/>
      <c r="D17" s="463"/>
    </row>
    <row r="18" spans="1:4" ht="25">
      <c r="A18" s="270" t="s">
        <v>515</v>
      </c>
      <c r="B18" s="488"/>
      <c r="C18" s="431"/>
      <c r="D18" s="463"/>
    </row>
    <row r="19" spans="1:4">
      <c r="A19" s="270" t="s">
        <v>239</v>
      </c>
      <c r="B19" s="488"/>
      <c r="C19" s="431"/>
      <c r="D19" s="463"/>
    </row>
    <row r="20" spans="1:4">
      <c r="A20" s="275" t="s">
        <v>510</v>
      </c>
      <c r="B20" s="488"/>
      <c r="C20" s="431"/>
      <c r="D20" s="463"/>
    </row>
    <row r="21" spans="1:4" ht="25">
      <c r="A21" s="270" t="s">
        <v>241</v>
      </c>
      <c r="B21" s="488"/>
      <c r="C21" s="431"/>
      <c r="D21" s="463"/>
    </row>
    <row r="22" spans="1:4">
      <c r="A22" s="270" t="s">
        <v>242</v>
      </c>
      <c r="B22" s="488"/>
      <c r="C22" s="431"/>
      <c r="D22" s="463"/>
    </row>
    <row r="23" spans="1:4">
      <c r="A23" s="270" t="s">
        <v>243</v>
      </c>
      <c r="B23" s="488"/>
      <c r="C23" s="431"/>
      <c r="D23" s="463"/>
    </row>
    <row r="24" spans="1:4">
      <c r="A24" s="270" t="s">
        <v>495</v>
      </c>
      <c r="B24" s="488"/>
      <c r="C24" s="431"/>
      <c r="D24" s="463"/>
    </row>
    <row r="25" spans="1:4">
      <c r="A25" s="270" t="s">
        <v>245</v>
      </c>
      <c r="B25" s="488"/>
      <c r="C25" s="431"/>
      <c r="D25" s="463"/>
    </row>
    <row r="26" spans="1:4">
      <c r="A26" s="270" t="s">
        <v>246</v>
      </c>
      <c r="B26" s="488"/>
      <c r="C26" s="431"/>
      <c r="D26" s="463"/>
    </row>
    <row r="27" spans="1:4">
      <c r="A27" s="270" t="s">
        <v>247</v>
      </c>
      <c r="B27" s="488"/>
      <c r="C27" s="431"/>
      <c r="D27" s="463"/>
    </row>
    <row r="28" spans="1:4">
      <c r="A28" s="270" t="s">
        <v>248</v>
      </c>
      <c r="B28" s="488"/>
      <c r="C28" s="431"/>
      <c r="D28" s="463"/>
    </row>
    <row r="29" spans="1:4" ht="13" thickBot="1">
      <c r="A29" s="270" t="s">
        <v>249</v>
      </c>
      <c r="B29" s="489"/>
      <c r="C29" s="431"/>
      <c r="D29" s="463"/>
    </row>
    <row r="30" spans="1:4">
      <c r="A30" s="485"/>
      <c r="B30" s="486"/>
      <c r="C30" s="355"/>
    </row>
  </sheetData>
  <sheetProtection algorithmName="SHA-512" hashValue="2QkQ+bUMX9DW2zSd/k5ihukHDaBHvnlxRTKklUMs6F0vs0odMxtBrHBqk6HnBHNZ/tGYLW0g3CxTZnBTJdUC7w==" saltValue="hqPQK5AjaL6FAXkgMXyVOQ==" spinCount="100000" sheet="1"/>
  <customSheetViews>
    <customSheetView guid="{EB7FE26D-7077-48F2-8515-D783BE87A220}" scale="85" fitToPage="1">
      <selection activeCell="F41" sqref="F41"/>
      <pageMargins left="0.39370078740157483" right="0.39370078740157483" top="0.74803149606299213" bottom="0.74803149606299213" header="0.31496062992125984" footer="0.31496062992125984"/>
      <pageSetup paperSize="9" orientation="portrait" r:id="rId1"/>
      <headerFooter>
        <oddFooter>&amp;L&amp;A
Printed &amp;D</oddFooter>
      </headerFooter>
    </customSheetView>
  </customSheetViews>
  <pageMargins left="0.39370078740157483" right="0.39370078740157483" top="0.74803149606299213" bottom="0.74803149606299213" header="0.31496062992125984" footer="0.31496062992125984"/>
  <pageSetup paperSize="9" orientation="portrait" r:id="rId2"/>
  <headerFooter>
    <oddFooter>&amp;L&amp;A
Printed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N91"/>
  <sheetViews>
    <sheetView topLeftCell="A17" workbookViewId="0">
      <selection activeCell="A7" sqref="A7"/>
    </sheetView>
  </sheetViews>
  <sheetFormatPr defaultColWidth="9.1796875" defaultRowHeight="12.5"/>
  <cols>
    <col min="1" max="1" width="46.81640625" style="339" customWidth="1"/>
    <col min="2" max="2" width="10.81640625" style="339" customWidth="1"/>
    <col min="3" max="3" width="12.453125" style="339" customWidth="1"/>
    <col min="4" max="4" width="12.81640625" style="339" customWidth="1"/>
    <col min="5" max="5" width="11.6328125" style="339" customWidth="1"/>
    <col min="6" max="8" width="12.453125" style="339" customWidth="1"/>
    <col min="9" max="9" width="16.1796875" style="339" customWidth="1"/>
    <col min="10" max="10" width="102.1796875" style="339" customWidth="1"/>
    <col min="11" max="11" width="5.36328125" style="339" customWidth="1"/>
    <col min="12" max="16384" width="9.1796875" style="339"/>
  </cols>
  <sheetData>
    <row r="1" spans="1:14" ht="13">
      <c r="A1" s="356" t="s">
        <v>839</v>
      </c>
    </row>
    <row r="2" spans="1:14" ht="13">
      <c r="A2" s="356"/>
    </row>
    <row r="3" spans="1:14" ht="13">
      <c r="A3" s="356" t="s">
        <v>835</v>
      </c>
    </row>
    <row r="4" spans="1:14" ht="13">
      <c r="A4" s="356" t="s">
        <v>963</v>
      </c>
    </row>
    <row r="5" spans="1:14" ht="13">
      <c r="A5" s="356" t="s">
        <v>924</v>
      </c>
    </row>
    <row r="6" spans="1:14" ht="13">
      <c r="A6" s="543" t="s">
        <v>1258</v>
      </c>
    </row>
    <row r="7" spans="1:14" ht="13">
      <c r="A7" s="543" t="s">
        <v>838</v>
      </c>
    </row>
    <row r="8" spans="1:14" ht="13.5" thickBot="1">
      <c r="A8" s="543"/>
    </row>
    <row r="9" spans="1:14" s="361" customFormat="1" ht="13" thickBot="1">
      <c r="A9" s="547" t="s">
        <v>312</v>
      </c>
      <c r="B9" s="548"/>
      <c r="C9" s="589" t="s">
        <v>834</v>
      </c>
      <c r="D9" s="851" t="s">
        <v>832</v>
      </c>
      <c r="E9" s="852"/>
      <c r="F9" s="852"/>
      <c r="G9" s="852"/>
      <c r="H9" s="852"/>
      <c r="I9" s="853"/>
      <c r="J9" s="549"/>
      <c r="K9" s="854"/>
      <c r="L9" s="854"/>
      <c r="M9" s="854"/>
      <c r="N9" s="854"/>
    </row>
    <row r="10" spans="1:14" ht="50.5" thickBot="1">
      <c r="A10" s="550"/>
      <c r="B10" s="556" t="s">
        <v>836</v>
      </c>
      <c r="C10" s="551" t="s">
        <v>833</v>
      </c>
      <c r="D10" s="552" t="s">
        <v>38</v>
      </c>
      <c r="E10" s="552" t="s">
        <v>39</v>
      </c>
      <c r="F10" s="552" t="s">
        <v>40</v>
      </c>
      <c r="G10" s="551" t="s">
        <v>499</v>
      </c>
      <c r="H10" s="551" t="s">
        <v>42</v>
      </c>
      <c r="I10" s="551" t="s">
        <v>364</v>
      </c>
      <c r="J10" s="593" t="s">
        <v>837</v>
      </c>
      <c r="K10" s="602" t="s">
        <v>981</v>
      </c>
      <c r="L10" s="587"/>
    </row>
    <row r="11" spans="1:14" ht="13">
      <c r="A11" s="607" t="str">
        <f>'Step2-Energy'!A4</f>
        <v>Energy consumption</v>
      </c>
      <c r="B11" s="608"/>
      <c r="C11" s="608"/>
      <c r="D11" s="608"/>
      <c r="E11" s="608"/>
      <c r="F11" s="608"/>
      <c r="G11" s="608"/>
      <c r="H11" s="608"/>
      <c r="I11" s="608"/>
      <c r="J11" s="590"/>
      <c r="K11" s="597" t="str">
        <f>IF(SUM(C12:I20)+SUM(C22:I24)&lt;&gt;0,"IL2","")</f>
        <v/>
      </c>
    </row>
    <row r="12" spans="1:14">
      <c r="A12" s="544" t="str">
        <f>'Step2-Energy'!A5</f>
        <v>Coal combustion in large power plants</v>
      </c>
      <c r="B12" s="263" t="str">
        <f>'Step2-Energy'!M5</f>
        <v>5.1.1</v>
      </c>
      <c r="C12" s="559"/>
      <c r="D12" s="559"/>
      <c r="E12" s="559"/>
      <c r="F12" s="559"/>
      <c r="G12" s="559"/>
      <c r="H12" s="559"/>
      <c r="I12" s="559"/>
      <c r="J12" s="591"/>
      <c r="K12" s="595"/>
    </row>
    <row r="13" spans="1:14">
      <c r="A13" s="544" t="str">
        <f>'Step2-Energy'!A8</f>
        <v>Coal combustion in coal fired industrial boilers</v>
      </c>
      <c r="B13" s="263"/>
      <c r="C13" s="559"/>
      <c r="D13" s="559"/>
      <c r="E13" s="559"/>
      <c r="F13" s="559"/>
      <c r="G13" s="559"/>
      <c r="H13" s="559"/>
      <c r="I13" s="559"/>
      <c r="J13" s="591"/>
      <c r="K13" s="595"/>
    </row>
    <row r="14" spans="1:14">
      <c r="A14" s="544" t="str">
        <f>'Step2-Energy'!A11</f>
        <v>Other coal uses</v>
      </c>
      <c r="B14" s="263" t="str">
        <f>'Step2-Energy'!M11</f>
        <v>5.1.2.2</v>
      </c>
      <c r="C14" s="559"/>
      <c r="D14" s="559"/>
      <c r="E14" s="559"/>
      <c r="F14" s="559"/>
      <c r="G14" s="559"/>
      <c r="H14" s="559"/>
      <c r="I14" s="559"/>
      <c r="J14" s="591"/>
      <c r="K14" s="595"/>
    </row>
    <row r="15" spans="1:14">
      <c r="A15" s="544" t="str">
        <f>'Step2-Energy'!A12</f>
        <v>Combustion/use of petroleum coke and heavy oil</v>
      </c>
      <c r="B15" s="263" t="str">
        <f>'Step2-Energy'!M12</f>
        <v>5.1.3</v>
      </c>
      <c r="C15" s="559"/>
      <c r="D15" s="559"/>
      <c r="E15" s="559"/>
      <c r="F15" s="559"/>
      <c r="G15" s="559"/>
      <c r="H15" s="559"/>
      <c r="I15" s="559"/>
      <c r="J15" s="591"/>
      <c r="K15" s="595"/>
    </row>
    <row r="16" spans="1:14" ht="15.75" customHeight="1">
      <c r="A16" s="544" t="str">
        <f>'Step2-Energy'!A15</f>
        <v>Combustion/use of diesel, gasoil, petroleum, kerosene, LPG and other light to medium distillates</v>
      </c>
      <c r="B16" s="263" t="str">
        <f>'Step2-Energy'!M15</f>
        <v>5.1.3</v>
      </c>
      <c r="C16" s="559"/>
      <c r="D16" s="559"/>
      <c r="E16" s="559"/>
      <c r="F16" s="559"/>
      <c r="G16" s="559"/>
      <c r="H16" s="559"/>
      <c r="I16" s="559"/>
      <c r="J16" s="591"/>
      <c r="K16" s="595"/>
    </row>
    <row r="17" spans="1:11" ht="15.75" customHeight="1">
      <c r="A17" s="544" t="str">
        <f>'Step2-Energy'!A18</f>
        <v>Use of raw or pre-cleaned natural gas</v>
      </c>
      <c r="B17" s="263" t="str">
        <f>'Step2-Energy'!M18</f>
        <v>5.1.4</v>
      </c>
      <c r="C17" s="559"/>
      <c r="D17" s="559"/>
      <c r="E17" s="559"/>
      <c r="F17" s="559"/>
      <c r="G17" s="559"/>
      <c r="H17" s="559"/>
      <c r="I17" s="559"/>
      <c r="J17" s="591"/>
      <c r="K17" s="595"/>
    </row>
    <row r="18" spans="1:11" ht="15.75" customHeight="1">
      <c r="A18" s="544" t="str">
        <f>'Step2-Energy'!A19</f>
        <v>Use of pipeline gas (consumer quality)</v>
      </c>
      <c r="B18" s="263" t="str">
        <f>'Step2-Energy'!M19</f>
        <v>5.1.4</v>
      </c>
      <c r="C18" s="559"/>
      <c r="D18" s="559"/>
      <c r="E18" s="559"/>
      <c r="F18" s="559"/>
      <c r="G18" s="559"/>
      <c r="H18" s="559"/>
      <c r="I18" s="559"/>
      <c r="J18" s="591"/>
      <c r="K18" s="595"/>
    </row>
    <row r="19" spans="1:11">
      <c r="A19" s="544" t="str">
        <f>'Step2-Energy'!A20</f>
        <v>Biomass fired power and heat production</v>
      </c>
      <c r="B19" s="263" t="str">
        <f>'Step2-Energy'!M20</f>
        <v>5.1.6</v>
      </c>
      <c r="C19" s="559"/>
      <c r="D19" s="559"/>
      <c r="E19" s="559"/>
      <c r="F19" s="559"/>
      <c r="G19" s="559"/>
      <c r="H19" s="559"/>
      <c r="I19" s="559"/>
      <c r="J19" s="591"/>
      <c r="K19" s="595"/>
    </row>
    <row r="20" spans="1:11" ht="13" thickBot="1">
      <c r="A20" s="545" t="str">
        <f>'Step2-Energy'!A21</f>
        <v>Charcoal combustion</v>
      </c>
      <c r="B20" s="546" t="str">
        <f>'Step2-Energy'!M21</f>
        <v>5.1.6</v>
      </c>
      <c r="C20" s="559"/>
      <c r="D20" s="559"/>
      <c r="E20" s="559"/>
      <c r="F20" s="559"/>
      <c r="G20" s="559"/>
      <c r="H20" s="559"/>
      <c r="I20" s="559"/>
      <c r="J20" s="592"/>
      <c r="K20" s="595"/>
    </row>
    <row r="21" spans="1:11" ht="13">
      <c r="A21" s="607" t="str">
        <f>'Step2-Energy'!A23</f>
        <v>Fuel production</v>
      </c>
      <c r="B21" s="608"/>
      <c r="C21" s="608"/>
      <c r="D21" s="608"/>
      <c r="E21" s="608"/>
      <c r="F21" s="608"/>
      <c r="G21" s="608"/>
      <c r="H21" s="608"/>
      <c r="I21" s="608"/>
      <c r="J21" s="590"/>
      <c r="K21" s="595"/>
    </row>
    <row r="22" spans="1:11">
      <c r="A22" s="544" t="str">
        <f>'Step2-Energy'!A24</f>
        <v>Oil extraction</v>
      </c>
      <c r="B22" s="263" t="str">
        <f>'Step2-Energy'!M24</f>
        <v>5.1.3</v>
      </c>
      <c r="C22" s="559"/>
      <c r="D22" s="559"/>
      <c r="E22" s="559"/>
      <c r="F22" s="559"/>
      <c r="G22" s="559"/>
      <c r="H22" s="559"/>
      <c r="I22" s="559"/>
      <c r="J22" s="591"/>
      <c r="K22" s="595"/>
    </row>
    <row r="23" spans="1:11">
      <c r="A23" s="544" t="str">
        <f>'Step2-Energy'!A25</f>
        <v>Oil refining</v>
      </c>
      <c r="B23" s="263" t="str">
        <f>'Step2-Energy'!M25</f>
        <v>5.1.3</v>
      </c>
      <c r="C23" s="559"/>
      <c r="D23" s="559"/>
      <c r="E23" s="559"/>
      <c r="F23" s="559"/>
      <c r="G23" s="559"/>
      <c r="H23" s="559"/>
      <c r="I23" s="559"/>
      <c r="J23" s="591"/>
      <c r="K23" s="595"/>
    </row>
    <row r="24" spans="1:11" ht="13" thickBot="1">
      <c r="A24" s="545" t="str">
        <f>'Step2-Energy'!A26</f>
        <v>Extraction and processing of natural gas</v>
      </c>
      <c r="B24" s="546" t="str">
        <f>'Step2-Energy'!M26</f>
        <v>5.1.4</v>
      </c>
      <c r="C24" s="559"/>
      <c r="D24" s="559"/>
      <c r="E24" s="559"/>
      <c r="F24" s="559"/>
      <c r="G24" s="559"/>
      <c r="H24" s="559"/>
      <c r="I24" s="559"/>
      <c r="J24" s="592"/>
      <c r="K24" s="595"/>
    </row>
    <row r="25" spans="1:11" ht="13">
      <c r="A25" s="607" t="str">
        <f>'Step3-Metals-RawMat'!A5</f>
        <v>Primary metal production</v>
      </c>
      <c r="B25" s="608"/>
      <c r="C25" s="608"/>
      <c r="D25" s="608"/>
      <c r="E25" s="608"/>
      <c r="F25" s="608"/>
      <c r="G25" s="608"/>
      <c r="H25" s="608"/>
      <c r="I25" s="608"/>
      <c r="J25" s="590"/>
      <c r="K25" s="594" t="str">
        <f>IF(SUM(C26:I34)+SUM(C36:I37)&lt;&gt;0,"IL2","")</f>
        <v/>
      </c>
    </row>
    <row r="26" spans="1:11">
      <c r="A26" s="544" t="str">
        <f>'Step3-Metals-RawMat'!A6</f>
        <v>Mercury (primary) extraction and initial processing</v>
      </c>
      <c r="B26" s="263" t="str">
        <f>'Step3-Metals-RawMat'!M6</f>
        <v>5.2.1</v>
      </c>
      <c r="C26" s="559"/>
      <c r="D26" s="559"/>
      <c r="E26" s="559"/>
      <c r="F26" s="559"/>
      <c r="G26" s="559"/>
      <c r="H26" s="559"/>
      <c r="I26" s="559"/>
      <c r="J26" s="591"/>
      <c r="K26" s="595"/>
    </row>
    <row r="27" spans="1:11">
      <c r="A27" s="544" t="str">
        <f>'Step3-Metals-RawMat'!A7</f>
        <v>Production of zinc from concentrates</v>
      </c>
      <c r="B27" s="263" t="str">
        <f>'Step3-Metals-RawMat'!M7</f>
        <v>5.2.3</v>
      </c>
      <c r="C27" s="559"/>
      <c r="D27" s="559"/>
      <c r="E27" s="559"/>
      <c r="F27" s="559"/>
      <c r="G27" s="559"/>
      <c r="H27" s="559"/>
      <c r="I27" s="559"/>
      <c r="J27" s="591"/>
      <c r="K27" s="595"/>
    </row>
    <row r="28" spans="1:11">
      <c r="A28" s="544" t="str">
        <f>'Step3-Metals-RawMat'!A10</f>
        <v>Production of copper from concentrates</v>
      </c>
      <c r="B28" s="263" t="str">
        <f>'Step3-Metals-RawMat'!M10</f>
        <v>5.2.4</v>
      </c>
      <c r="C28" s="559"/>
      <c r="D28" s="559"/>
      <c r="E28" s="559"/>
      <c r="F28" s="559"/>
      <c r="G28" s="559"/>
      <c r="H28" s="559"/>
      <c r="I28" s="559"/>
      <c r="J28" s="591"/>
      <c r="K28" s="595"/>
    </row>
    <row r="29" spans="1:11">
      <c r="A29" s="544" t="str">
        <f>'Step3-Metals-RawMat'!A13</f>
        <v>Production of lead from concentrates</v>
      </c>
      <c r="B29" s="263" t="str">
        <f>'Step3-Metals-RawMat'!M13</f>
        <v>5.2.5</v>
      </c>
      <c r="C29" s="559"/>
      <c r="D29" s="559"/>
      <c r="E29" s="559"/>
      <c r="F29" s="559"/>
      <c r="G29" s="559"/>
      <c r="H29" s="559"/>
      <c r="I29" s="559"/>
      <c r="J29" s="591"/>
      <c r="K29" s="595"/>
    </row>
    <row r="30" spans="1:11" ht="25">
      <c r="A30" s="544" t="str">
        <f>'Step3-Metals-RawMat'!A16</f>
        <v>Gold extraction by methods other than mercury amalgamation</v>
      </c>
      <c r="B30" s="263" t="str">
        <f>'Step3-Metals-RawMat'!M16</f>
        <v>5.2.6</v>
      </c>
      <c r="C30" s="559"/>
      <c r="D30" s="559"/>
      <c r="E30" s="559"/>
      <c r="F30" s="559"/>
      <c r="G30" s="559"/>
      <c r="H30" s="559"/>
      <c r="I30" s="559"/>
      <c r="J30" s="591"/>
      <c r="K30" s="595"/>
    </row>
    <row r="31" spans="1:11" ht="16.5" customHeight="1">
      <c r="A31" s="544" t="str">
        <f>'Step3-Metals-RawMat'!A17</f>
        <v>Alumina production from bauxite (aluminium production)</v>
      </c>
      <c r="B31" s="263" t="str">
        <f>'Step3-Metals-RawMat'!M17</f>
        <v>5.2.7</v>
      </c>
      <c r="C31" s="559"/>
      <c r="D31" s="559"/>
      <c r="E31" s="559"/>
      <c r="F31" s="559"/>
      <c r="G31" s="559"/>
      <c r="H31" s="559"/>
      <c r="I31" s="559"/>
      <c r="J31" s="591"/>
      <c r="K31" s="595"/>
    </row>
    <row r="32" spans="1:11" ht="21" customHeight="1">
      <c r="A32" s="544" t="str">
        <f>'Step3-Metals-RawMat'!A18</f>
        <v>Primary ferrous metal production (pig iron production)</v>
      </c>
      <c r="B32" s="263" t="str">
        <f>'Step3-Metals-RawMat'!M18</f>
        <v>5.2.9</v>
      </c>
      <c r="C32" s="559"/>
      <c r="D32" s="559"/>
      <c r="E32" s="559"/>
      <c r="F32" s="559"/>
      <c r="G32" s="559"/>
      <c r="H32" s="559"/>
      <c r="I32" s="559"/>
      <c r="J32" s="591"/>
      <c r="K32" s="595"/>
    </row>
    <row r="33" spans="1:11" ht="25">
      <c r="A33" s="544" t="str">
        <f>'Step3-Metals-RawMat'!A19</f>
        <v>Gold extraction with mercury amalgamation - from whole ore</v>
      </c>
      <c r="B33" s="263" t="str">
        <f>'Step3-Metals-RawMat'!M19</f>
        <v>5.2.2</v>
      </c>
      <c r="C33" s="559"/>
      <c r="D33" s="559"/>
      <c r="E33" s="559"/>
      <c r="F33" s="559"/>
      <c r="G33" s="559"/>
      <c r="H33" s="559"/>
      <c r="I33" s="559"/>
      <c r="J33" s="591"/>
      <c r="K33" s="595"/>
    </row>
    <row r="34" spans="1:11" ht="25.5" thickBot="1">
      <c r="A34" s="545" t="str">
        <f>'Step3-Metals-RawMat'!A22</f>
        <v>Gold extraction with mercury amalgamation - from concentrate</v>
      </c>
      <c r="B34" s="546" t="str">
        <f>'Step3-Metals-RawMat'!M22</f>
        <v>5.2.2</v>
      </c>
      <c r="C34" s="559"/>
      <c r="D34" s="559"/>
      <c r="E34" s="559"/>
      <c r="F34" s="559"/>
      <c r="G34" s="559"/>
      <c r="H34" s="559"/>
      <c r="I34" s="559"/>
      <c r="J34" s="592"/>
      <c r="K34" s="595"/>
    </row>
    <row r="35" spans="1:11" ht="17.25" customHeight="1">
      <c r="A35" s="607" t="str">
        <f>'Step3-Metals-RawMat'!A25</f>
        <v>Other materials production</v>
      </c>
      <c r="B35" s="608"/>
      <c r="C35" s="608"/>
      <c r="D35" s="608"/>
      <c r="E35" s="608"/>
      <c r="F35" s="608"/>
      <c r="G35" s="608"/>
      <c r="H35" s="608"/>
      <c r="I35" s="608"/>
      <c r="J35" s="590"/>
      <c r="K35" s="595"/>
    </row>
    <row r="36" spans="1:11">
      <c r="A36" s="544" t="str">
        <f>'Step3-Metals-RawMat'!A26</f>
        <v>Cement clinker production</v>
      </c>
      <c r="B36" s="263" t="str">
        <f>'Step3-Metals-RawMat'!M26</f>
        <v>5.3.1</v>
      </c>
      <c r="C36" s="559"/>
      <c r="D36" s="559"/>
      <c r="E36" s="559"/>
      <c r="F36" s="559"/>
      <c r="G36" s="559"/>
      <c r="H36" s="559"/>
      <c r="I36" s="559"/>
      <c r="J36" s="591"/>
      <c r="K36" s="595"/>
    </row>
    <row r="37" spans="1:11" ht="13" thickBot="1">
      <c r="A37" s="545" t="str">
        <f>'Step3-Metals-RawMat'!A31</f>
        <v>Pulp and paper production</v>
      </c>
      <c r="B37" s="546" t="str">
        <f>'Step3-Metals-RawMat'!M31</f>
        <v>5.3.2</v>
      </c>
      <c r="C37" s="559"/>
      <c r="D37" s="559"/>
      <c r="E37" s="559"/>
      <c r="F37" s="559"/>
      <c r="G37" s="559"/>
      <c r="H37" s="559"/>
      <c r="I37" s="559"/>
      <c r="J37" s="592"/>
      <c r="K37" s="595"/>
    </row>
    <row r="38" spans="1:11" ht="13">
      <c r="A38" s="607" t="str">
        <f>'Step4-Industrial Hg use'!A4</f>
        <v>Production of chemicals</v>
      </c>
      <c r="B38" s="608"/>
      <c r="C38" s="608"/>
      <c r="D38" s="608"/>
      <c r="E38" s="608"/>
      <c r="F38" s="608"/>
      <c r="G38" s="608"/>
      <c r="H38" s="608"/>
      <c r="I38" s="608"/>
      <c r="J38" s="590"/>
      <c r="K38" s="594" t="str">
        <f>IF(SUM(C39:I41)+SUM(C43:I50)&lt;&gt;0,"IL2","")</f>
        <v/>
      </c>
    </row>
    <row r="39" spans="1:11">
      <c r="A39" s="544" t="str">
        <f>'Step4-Industrial Hg use'!A5</f>
        <v>Chlor-alkali production with mercury-cells</v>
      </c>
      <c r="B39" s="272" t="str">
        <f>'Step4-Industrial Hg use'!L5</f>
        <v>5.4.1</v>
      </c>
      <c r="C39" s="559"/>
      <c r="D39" s="559"/>
      <c r="E39" s="559"/>
      <c r="F39" s="559"/>
      <c r="G39" s="559"/>
      <c r="H39" s="559"/>
      <c r="I39" s="559"/>
      <c r="J39" s="591"/>
      <c r="K39" s="595"/>
    </row>
    <row r="40" spans="1:11">
      <c r="A40" s="544" t="str">
        <f>'Step4-Industrial Hg use'!A6</f>
        <v>VCM production with mercury catalyst</v>
      </c>
      <c r="B40" s="272" t="str">
        <f>'Step4-Industrial Hg use'!L6</f>
        <v>5.4.2</v>
      </c>
      <c r="C40" s="559"/>
      <c r="D40" s="559"/>
      <c r="E40" s="559"/>
      <c r="F40" s="559"/>
      <c r="G40" s="559"/>
      <c r="H40" s="559"/>
      <c r="I40" s="559"/>
      <c r="J40" s="591"/>
      <c r="K40" s="595"/>
    </row>
    <row r="41" spans="1:11" ht="13" thickBot="1">
      <c r="A41" s="545" t="str">
        <f>'Step4-Industrial Hg use'!A7</f>
        <v>Acetaldehyde production with mercury catalyst</v>
      </c>
      <c r="B41" s="553" t="str">
        <f>'Step4-Industrial Hg use'!L7</f>
        <v>5.4.3</v>
      </c>
      <c r="C41" s="559"/>
      <c r="D41" s="559"/>
      <c r="E41" s="559"/>
      <c r="F41" s="559"/>
      <c r="G41" s="559"/>
      <c r="H41" s="559"/>
      <c r="I41" s="559"/>
      <c r="J41" s="592"/>
      <c r="K41" s="595"/>
    </row>
    <row r="42" spans="1:11" ht="13">
      <c r="A42" s="607" t="str">
        <f>'Step4-Industrial Hg use'!A9</f>
        <v>Production of products with mercury content</v>
      </c>
      <c r="B42" s="608"/>
      <c r="C42" s="608"/>
      <c r="D42" s="608"/>
      <c r="E42" s="608"/>
      <c r="F42" s="608"/>
      <c r="G42" s="608"/>
      <c r="H42" s="608"/>
      <c r="I42" s="608"/>
      <c r="J42" s="590"/>
      <c r="K42" s="595"/>
    </row>
    <row r="43" spans="1:11">
      <c r="A43" s="544" t="str">
        <f>'Step4-Industrial Hg use'!A10</f>
        <v xml:space="preserve">Hg thermometers (medical, air, lab, industrial etc.) </v>
      </c>
      <c r="B43" s="280" t="str">
        <f>'Step4-Industrial Hg use'!L10</f>
        <v>5.5.1</v>
      </c>
      <c r="C43" s="559"/>
      <c r="D43" s="559"/>
      <c r="E43" s="559"/>
      <c r="F43" s="559"/>
      <c r="G43" s="559"/>
      <c r="H43" s="559"/>
      <c r="I43" s="559"/>
      <c r="J43" s="591"/>
      <c r="K43" s="595"/>
    </row>
    <row r="44" spans="1:11">
      <c r="A44" s="544" t="str">
        <f>'Step4-Industrial Hg use'!A11</f>
        <v xml:space="preserve">Electrical switches and relays with mercury </v>
      </c>
      <c r="B44" s="280" t="str">
        <f>'Step4-Industrial Hg use'!L11</f>
        <v>5.5.2</v>
      </c>
      <c r="C44" s="559"/>
      <c r="D44" s="559"/>
      <c r="E44" s="559"/>
      <c r="F44" s="559"/>
      <c r="G44" s="559"/>
      <c r="H44" s="559"/>
      <c r="I44" s="559"/>
      <c r="J44" s="591"/>
      <c r="K44" s="595"/>
    </row>
    <row r="45" spans="1:11" ht="25">
      <c r="A45" s="544" t="str">
        <f>'Step4-Industrial Hg use'!A12</f>
        <v xml:space="preserve">Light sources with mercury (fluorescent, compact, others: see guideline) </v>
      </c>
      <c r="B45" s="280" t="str">
        <f>'Step4-Industrial Hg use'!L12</f>
        <v>5.5.3</v>
      </c>
      <c r="C45" s="559"/>
      <c r="D45" s="559"/>
      <c r="E45" s="559"/>
      <c r="F45" s="559"/>
      <c r="G45" s="559"/>
      <c r="H45" s="559"/>
      <c r="I45" s="559"/>
      <c r="J45" s="591"/>
      <c r="K45" s="595"/>
    </row>
    <row r="46" spans="1:11">
      <c r="A46" s="544" t="str">
        <f>'Step4-Industrial Hg use'!A13</f>
        <v xml:space="preserve">Batteries with mercury </v>
      </c>
      <c r="B46" s="280" t="str">
        <f>'Step4-Industrial Hg use'!L13</f>
        <v>5.5.4</v>
      </c>
      <c r="C46" s="559"/>
      <c r="D46" s="559"/>
      <c r="E46" s="559"/>
      <c r="F46" s="559"/>
      <c r="G46" s="559"/>
      <c r="H46" s="559"/>
      <c r="I46" s="559"/>
      <c r="J46" s="591"/>
      <c r="K46" s="595"/>
    </row>
    <row r="47" spans="1:11">
      <c r="A47" s="544" t="str">
        <f>'Step4-Industrial Hg use'!A14</f>
        <v xml:space="preserve">Manometers and gauges with mercury </v>
      </c>
      <c r="B47" s="272" t="str">
        <f>'Step4-Industrial Hg use'!L14</f>
        <v>5.6.2</v>
      </c>
      <c r="C47" s="559"/>
      <c r="D47" s="559"/>
      <c r="E47" s="559"/>
      <c r="F47" s="559"/>
      <c r="G47" s="559"/>
      <c r="H47" s="559"/>
      <c r="I47" s="559"/>
      <c r="J47" s="591"/>
      <c r="K47" s="595"/>
    </row>
    <row r="48" spans="1:11">
      <c r="A48" s="544" t="str">
        <f>'Step4-Industrial Hg use'!A15</f>
        <v xml:space="preserve">Biocides and pesticides with mercury </v>
      </c>
      <c r="B48" s="272" t="str">
        <f>'Step4-Industrial Hg use'!L15</f>
        <v>5.5.5</v>
      </c>
      <c r="C48" s="559"/>
      <c r="D48" s="559"/>
      <c r="E48" s="559"/>
      <c r="F48" s="559"/>
      <c r="G48" s="559"/>
      <c r="H48" s="559"/>
      <c r="I48" s="559"/>
      <c r="J48" s="591"/>
      <c r="K48" s="595"/>
    </row>
    <row r="49" spans="1:11">
      <c r="A49" s="544" t="str">
        <f>'Step4-Industrial Hg use'!A16</f>
        <v xml:space="preserve">Paints with mercury </v>
      </c>
      <c r="B49" s="272" t="str">
        <f>'Step4-Industrial Hg use'!L16</f>
        <v>5.5.6</v>
      </c>
      <c r="C49" s="559"/>
      <c r="D49" s="559"/>
      <c r="E49" s="559"/>
      <c r="F49" s="559"/>
      <c r="G49" s="559"/>
      <c r="H49" s="559"/>
      <c r="I49" s="559"/>
      <c r="J49" s="591"/>
      <c r="K49" s="595"/>
    </row>
    <row r="50" spans="1:11" ht="25.5" thickBot="1">
      <c r="A50" s="545" t="str">
        <f>'Step4-Industrial Hg use'!A17</f>
        <v xml:space="preserve">Skin lightening creams and soaps with mercury chemicals </v>
      </c>
      <c r="B50" s="553" t="str">
        <f>'Step4-Industrial Hg use'!L17</f>
        <v>5.5.7</v>
      </c>
      <c r="C50" s="559"/>
      <c r="D50" s="559"/>
      <c r="E50" s="559"/>
      <c r="F50" s="559"/>
      <c r="G50" s="559"/>
      <c r="H50" s="559"/>
      <c r="I50" s="559"/>
      <c r="J50" s="592"/>
      <c r="K50" s="596"/>
    </row>
    <row r="51" spans="1:11" ht="16.5" customHeight="1">
      <c r="A51" s="607" t="str">
        <f>'Step6-Hg products-substances'!A6</f>
        <v>Use and disposal of products with mercury content</v>
      </c>
      <c r="B51" s="608"/>
      <c r="C51" s="608"/>
      <c r="D51" s="608"/>
      <c r="E51" s="608"/>
      <c r="F51" s="608"/>
      <c r="G51" s="608"/>
      <c r="H51" s="608"/>
      <c r="I51" s="608"/>
      <c r="J51" s="590"/>
      <c r="K51" s="595" t="str">
        <f>IF(SUM(C52:I63)&lt;&gt;0,"IL2","")</f>
        <v/>
      </c>
    </row>
    <row r="52" spans="1:11">
      <c r="A52" s="544" t="str">
        <f>'Step6-Hg products-substances'!A7</f>
        <v>Dental amalgam fillings ("silver" fillings)</v>
      </c>
      <c r="B52" s="272" t="str">
        <f>'Step6-Hg products-substances'!M7</f>
        <v>5.6.1</v>
      </c>
      <c r="C52" s="559"/>
      <c r="D52" s="559"/>
      <c r="E52" s="559"/>
      <c r="F52" s="559"/>
      <c r="G52" s="559"/>
      <c r="H52" s="559"/>
      <c r="I52" s="559"/>
      <c r="J52" s="591"/>
      <c r="K52" s="595"/>
    </row>
    <row r="53" spans="1:11">
      <c r="A53" s="544" t="str">
        <f>'Step6-Hg products-substances'!A15</f>
        <v>Thermometers</v>
      </c>
      <c r="B53" s="272" t="str">
        <f>'Step6-Hg products-substances'!M15</f>
        <v>5.5.1</v>
      </c>
      <c r="C53" s="559"/>
      <c r="D53" s="559"/>
      <c r="E53" s="559"/>
      <c r="F53" s="559"/>
      <c r="G53" s="559"/>
      <c r="H53" s="559"/>
      <c r="I53" s="559"/>
      <c r="J53" s="591"/>
      <c r="K53" s="595"/>
    </row>
    <row r="54" spans="1:11">
      <c r="A54" s="544" t="str">
        <f>'Step6-Hg products-substances'!A20</f>
        <v>Electrical switches and relays with mercury</v>
      </c>
      <c r="B54" s="272" t="str">
        <f>'Step6-Hg products-substances'!M20</f>
        <v>5.5.2</v>
      </c>
      <c r="C54" s="559"/>
      <c r="D54" s="559"/>
      <c r="E54" s="559"/>
      <c r="F54" s="559"/>
      <c r="G54" s="559"/>
      <c r="H54" s="559"/>
      <c r="I54" s="559"/>
      <c r="J54" s="591"/>
      <c r="K54" s="595"/>
    </row>
    <row r="55" spans="1:11">
      <c r="A55" s="544" t="str">
        <f>'Step6-Hg products-substances'!A23</f>
        <v>Light sources with mercury</v>
      </c>
      <c r="B55" s="272" t="str">
        <f>'Step6-Hg products-substances'!M23</f>
        <v>5.5.3</v>
      </c>
      <c r="C55" s="559"/>
      <c r="D55" s="559"/>
      <c r="E55" s="559"/>
      <c r="F55" s="559"/>
      <c r="G55" s="559"/>
      <c r="H55" s="559"/>
      <c r="I55" s="559"/>
      <c r="J55" s="591"/>
      <c r="K55" s="595"/>
    </row>
    <row r="56" spans="1:11">
      <c r="A56" s="554" t="str">
        <f>'Step6-Hg products-substances'!A28</f>
        <v>Batteries with mercury</v>
      </c>
      <c r="B56" s="272" t="str">
        <f>'Step6-Hg products-substances'!M28</f>
        <v>5.5.4</v>
      </c>
      <c r="C56" s="559"/>
      <c r="D56" s="559"/>
      <c r="E56" s="559"/>
      <c r="F56" s="559"/>
      <c r="G56" s="559"/>
      <c r="H56" s="559"/>
      <c r="I56" s="559"/>
      <c r="J56" s="591"/>
      <c r="K56" s="595"/>
    </row>
    <row r="57" spans="1:11">
      <c r="A57" s="544" t="str">
        <f>'Step6-Hg products-substances'!A33</f>
        <v>Polyurethane (PU, PUR) produced with mercury catalyst</v>
      </c>
      <c r="B57" s="272" t="str">
        <f>'Step6-Hg products-substances'!M33</f>
        <v>5.5.5.</v>
      </c>
      <c r="C57" s="559"/>
      <c r="D57" s="559"/>
      <c r="E57" s="559"/>
      <c r="F57" s="559"/>
      <c r="G57" s="559"/>
      <c r="H57" s="559"/>
      <c r="I57" s="559"/>
      <c r="J57" s="591"/>
      <c r="K57" s="595"/>
    </row>
    <row r="58" spans="1:11">
      <c r="A58" s="544" t="str">
        <f>'Step6-Hg products-substances'!A36</f>
        <v>Paints with mercury preservatives</v>
      </c>
      <c r="B58" s="272" t="str">
        <f>'Step6-Hg products-substances'!M36</f>
        <v>5.5.7</v>
      </c>
      <c r="C58" s="559"/>
      <c r="D58" s="559"/>
      <c r="E58" s="559"/>
      <c r="F58" s="559"/>
      <c r="G58" s="559"/>
      <c r="H58" s="559"/>
      <c r="I58" s="559"/>
      <c r="J58" s="591"/>
      <c r="K58" s="595"/>
    </row>
    <row r="59" spans="1:11" ht="25">
      <c r="A59" s="544" t="str">
        <f>'Step6-Hg products-substances'!A38</f>
        <v>Skin lightening creams and soaps with mercury chemicals</v>
      </c>
      <c r="B59" s="272" t="str">
        <f>'Step6-Hg products-substances'!M38</f>
        <v>5.5.8</v>
      </c>
      <c r="C59" s="559"/>
      <c r="D59" s="559"/>
      <c r="E59" s="559"/>
      <c r="F59" s="559"/>
      <c r="G59" s="559"/>
      <c r="H59" s="559"/>
      <c r="I59" s="559"/>
      <c r="J59" s="591"/>
      <c r="K59" s="595"/>
    </row>
    <row r="60" spans="1:11" ht="29.25" customHeight="1">
      <c r="A60" s="544" t="str">
        <f>'Step6-Hg products-substances'!A40</f>
        <v>Medical blood pressure gauges (mercury sphygmomanometers)</v>
      </c>
      <c r="B60" s="272" t="str">
        <f>'Step6-Hg products-substances'!M40</f>
        <v>5.6.2</v>
      </c>
      <c r="C60" s="559"/>
      <c r="D60" s="559"/>
      <c r="E60" s="559"/>
      <c r="F60" s="559"/>
      <c r="G60" s="559"/>
      <c r="H60" s="559"/>
      <c r="I60" s="559"/>
      <c r="J60" s="591"/>
      <c r="K60" s="595"/>
    </row>
    <row r="61" spans="1:11">
      <c r="A61" s="544" t="str">
        <f>'Step6-Hg products-substances'!A42</f>
        <v>Other manometers and gauges with mercury</v>
      </c>
      <c r="B61" s="272" t="str">
        <f>'Step6-Hg products-substances'!M42</f>
        <v>5.6.2</v>
      </c>
      <c r="C61" s="559"/>
      <c r="D61" s="559"/>
      <c r="E61" s="559"/>
      <c r="F61" s="559"/>
      <c r="G61" s="559"/>
      <c r="H61" s="559"/>
      <c r="I61" s="559"/>
      <c r="J61" s="591"/>
      <c r="K61" s="595"/>
    </row>
    <row r="62" spans="1:11">
      <c r="A62" s="544" t="str">
        <f>'Step6-Hg products-substances'!A45</f>
        <v>Laboratory chemicals</v>
      </c>
      <c r="B62" s="272" t="str">
        <f>'Step6-Hg products-substances'!M45</f>
        <v>5.6.3</v>
      </c>
      <c r="C62" s="559"/>
      <c r="D62" s="559"/>
      <c r="E62" s="559"/>
      <c r="F62" s="559"/>
      <c r="G62" s="559"/>
      <c r="H62" s="559"/>
      <c r="I62" s="559"/>
      <c r="J62" s="591"/>
      <c r="K62" s="595"/>
    </row>
    <row r="63" spans="1:11" ht="13" thickBot="1">
      <c r="A63" s="545" t="str">
        <f>'Step6-Hg products-substances'!A48</f>
        <v xml:space="preserve">Other laboratory and medical equipment with mercury </v>
      </c>
      <c r="B63" s="553" t="str">
        <f>'Step6-Hg products-substances'!M48</f>
        <v>5.6.3, 5.6.5</v>
      </c>
      <c r="C63" s="559"/>
      <c r="D63" s="559"/>
      <c r="E63" s="559"/>
      <c r="F63" s="559"/>
      <c r="G63" s="559"/>
      <c r="H63" s="559"/>
      <c r="I63" s="559"/>
      <c r="J63" s="592"/>
      <c r="K63" s="595"/>
    </row>
    <row r="64" spans="1:11" ht="13">
      <c r="A64" s="607" t="str">
        <f>'Step5-Waste treatment+recycling'!A8</f>
        <v>Production of recycled of metals</v>
      </c>
      <c r="B64" s="608"/>
      <c r="C64" s="608"/>
      <c r="D64" s="608"/>
      <c r="E64" s="608"/>
      <c r="F64" s="608"/>
      <c r="G64" s="608"/>
      <c r="H64" s="608"/>
      <c r="I64" s="608"/>
      <c r="J64" s="590"/>
      <c r="K64" s="594" t="str">
        <f>IF(SUM(C65:I66)+SUM(C68:I72)+SUM(C74:I76)&lt;&gt;0,"IL2","")</f>
        <v/>
      </c>
    </row>
    <row r="65" spans="1:11">
      <c r="A65" s="544" t="str">
        <f>'Step5-Waste treatment+recycling'!A9</f>
        <v>Production of recycled mercury ("secondary production”)</v>
      </c>
      <c r="B65" s="272" t="str">
        <f>'Step5-Waste treatment+recycling'!M9</f>
        <v>5.7.1</v>
      </c>
      <c r="C65" s="559"/>
      <c r="D65" s="559"/>
      <c r="E65" s="559"/>
      <c r="F65" s="559"/>
      <c r="G65" s="559"/>
      <c r="H65" s="559"/>
      <c r="I65" s="559"/>
      <c r="J65" s="591"/>
      <c r="K65" s="595"/>
    </row>
    <row r="66" spans="1:11" ht="13" thickBot="1">
      <c r="A66" s="545" t="str">
        <f>'Step5-Waste treatment+recycling'!A10</f>
        <v>Production of recycled ferrous metals (iron and steel)</v>
      </c>
      <c r="B66" s="553" t="str">
        <f>'Step5-Waste treatment+recycling'!M10</f>
        <v>5.7.2</v>
      </c>
      <c r="C66" s="559"/>
      <c r="D66" s="559"/>
      <c r="E66" s="559"/>
      <c r="F66" s="559"/>
      <c r="G66" s="559"/>
      <c r="H66" s="559"/>
      <c r="I66" s="559"/>
      <c r="J66" s="592"/>
      <c r="K66" s="595"/>
    </row>
    <row r="67" spans="1:11" ht="13">
      <c r="A67" s="607" t="str">
        <f>'Step5-Waste treatment+recycling'!A12</f>
        <v>Waste incineration</v>
      </c>
      <c r="B67" s="608"/>
      <c r="C67" s="608"/>
      <c r="D67" s="608"/>
      <c r="E67" s="608"/>
      <c r="F67" s="608"/>
      <c r="G67" s="608"/>
      <c r="H67" s="608"/>
      <c r="I67" s="608"/>
      <c r="J67" s="590"/>
      <c r="K67" s="595"/>
    </row>
    <row r="68" spans="1:11">
      <c r="A68" s="554" t="s">
        <v>561</v>
      </c>
      <c r="B68" s="272" t="str">
        <f>'Step5-Waste treatment+recycling'!M13</f>
        <v>5.8.1</v>
      </c>
      <c r="C68" s="559"/>
      <c r="D68" s="559"/>
      <c r="E68" s="559"/>
      <c r="F68" s="559"/>
      <c r="G68" s="559"/>
      <c r="H68" s="559"/>
      <c r="I68" s="559"/>
      <c r="J68" s="591"/>
      <c r="K68" s="595"/>
    </row>
    <row r="69" spans="1:11">
      <c r="A69" s="554" t="s">
        <v>562</v>
      </c>
      <c r="B69" s="272" t="str">
        <f>'Step5-Waste treatment+recycling'!M16</f>
        <v>5.8.2</v>
      </c>
      <c r="C69" s="559"/>
      <c r="D69" s="559"/>
      <c r="E69" s="559"/>
      <c r="F69" s="559"/>
      <c r="G69" s="559"/>
      <c r="H69" s="559"/>
      <c r="I69" s="559"/>
      <c r="J69" s="591"/>
      <c r="K69" s="595"/>
    </row>
    <row r="70" spans="1:11">
      <c r="A70" s="554" t="s">
        <v>563</v>
      </c>
      <c r="B70" s="272" t="str">
        <f>'Step5-Waste treatment+recycling'!M19</f>
        <v>5.8.3</v>
      </c>
      <c r="C70" s="559"/>
      <c r="D70" s="559"/>
      <c r="E70" s="559"/>
      <c r="F70" s="559"/>
      <c r="G70" s="559"/>
      <c r="H70" s="559"/>
      <c r="I70" s="559"/>
      <c r="J70" s="591"/>
      <c r="K70" s="595"/>
    </row>
    <row r="71" spans="1:11">
      <c r="A71" s="554" t="s">
        <v>564</v>
      </c>
      <c r="B71" s="272" t="str">
        <f>'Step5-Waste treatment+recycling'!M22</f>
        <v>5.8.4</v>
      </c>
      <c r="C71" s="559"/>
      <c r="D71" s="559"/>
      <c r="E71" s="559"/>
      <c r="F71" s="559"/>
      <c r="G71" s="559"/>
      <c r="H71" s="559"/>
      <c r="I71" s="559"/>
      <c r="J71" s="591"/>
      <c r="K71" s="595"/>
    </row>
    <row r="72" spans="1:11" ht="13" thickBot="1">
      <c r="A72" s="603" t="s">
        <v>565</v>
      </c>
      <c r="B72" s="604" t="str">
        <f>'Step5-Waste treatment+recycling'!M23</f>
        <v>5.8.5</v>
      </c>
      <c r="C72" s="605"/>
      <c r="D72" s="605"/>
      <c r="E72" s="605"/>
      <c r="F72" s="605"/>
      <c r="G72" s="605"/>
      <c r="H72" s="605"/>
      <c r="I72" s="605"/>
      <c r="J72" s="606"/>
      <c r="K72" s="595"/>
    </row>
    <row r="73" spans="1:11" ht="13">
      <c r="A73" s="607" t="str">
        <f>'Step5-Waste treatment+recycling'!A25</f>
        <v>Waste deposition/landfilling and waste water treatment</v>
      </c>
      <c r="B73" s="608"/>
      <c r="C73" s="608"/>
      <c r="D73" s="608"/>
      <c r="E73" s="608"/>
      <c r="F73" s="608"/>
      <c r="G73" s="608"/>
      <c r="H73" s="608"/>
      <c r="I73" s="608"/>
      <c r="J73" s="598"/>
      <c r="K73" s="595"/>
    </row>
    <row r="74" spans="1:11">
      <c r="A74" s="554" t="s">
        <v>537</v>
      </c>
      <c r="B74" s="272" t="str">
        <f>'Step5-Waste treatment+recycling'!M26</f>
        <v>5.9.1</v>
      </c>
      <c r="C74" s="559"/>
      <c r="D74" s="559"/>
      <c r="E74" s="559"/>
      <c r="F74" s="559"/>
      <c r="G74" s="559"/>
      <c r="H74" s="559"/>
      <c r="I74" s="559"/>
      <c r="J74" s="599"/>
      <c r="K74" s="595"/>
    </row>
    <row r="75" spans="1:11">
      <c r="A75" s="554" t="s">
        <v>557</v>
      </c>
      <c r="B75" s="272" t="str">
        <f>'Step5-Waste treatment+recycling'!M27</f>
        <v>5.9.4</v>
      </c>
      <c r="C75" s="559"/>
      <c r="D75" s="559"/>
      <c r="E75" s="559"/>
      <c r="F75" s="559"/>
      <c r="G75" s="559"/>
      <c r="H75" s="559"/>
      <c r="I75" s="559"/>
      <c r="J75" s="599"/>
      <c r="K75" s="595"/>
    </row>
    <row r="76" spans="1:11" ht="13" thickBot="1">
      <c r="A76" s="555" t="s">
        <v>536</v>
      </c>
      <c r="B76" s="553" t="str">
        <f>'Step5-Waste treatment+recycling'!M29</f>
        <v>5.9.5</v>
      </c>
      <c r="C76" s="600"/>
      <c r="D76" s="600"/>
      <c r="E76" s="600"/>
      <c r="F76" s="600"/>
      <c r="G76" s="600"/>
      <c r="H76" s="600"/>
      <c r="I76" s="600"/>
      <c r="J76" s="601"/>
      <c r="K76" s="596"/>
    </row>
    <row r="77" spans="1:11" ht="13">
      <c r="A77" s="607" t="str">
        <f>'Step7-Crematoria-cemetaries'!A4</f>
        <v>Crematoria and cemeteries</v>
      </c>
      <c r="B77" s="609"/>
      <c r="C77" s="609"/>
      <c r="D77" s="609"/>
      <c r="E77" s="609"/>
      <c r="F77" s="609"/>
      <c r="G77" s="609"/>
      <c r="H77" s="609"/>
      <c r="I77" s="609"/>
      <c r="J77" s="598"/>
      <c r="K77" s="595" t="str">
        <f>IF(SUM(C78:I79)&lt;&gt;0,"IL2","")</f>
        <v/>
      </c>
    </row>
    <row r="78" spans="1:11">
      <c r="A78" s="544" t="str">
        <f>'Step7-Crematoria-cemetaries'!A5</f>
        <v>Crematoria</v>
      </c>
      <c r="B78" s="272" t="str">
        <f>'Step7-Crematoria-cemetaries'!L5</f>
        <v>5.10.1</v>
      </c>
      <c r="C78" s="559"/>
      <c r="D78" s="559"/>
      <c r="E78" s="559"/>
      <c r="F78" s="559"/>
      <c r="G78" s="559"/>
      <c r="H78" s="559"/>
      <c r="I78" s="559"/>
      <c r="J78" s="599"/>
      <c r="K78" s="595"/>
    </row>
    <row r="79" spans="1:11" ht="13" thickBot="1">
      <c r="A79" s="545" t="str">
        <f>'Step7-Crematoria-cemetaries'!A6</f>
        <v>Cemeteries</v>
      </c>
      <c r="B79" s="553" t="str">
        <f>'Step7-Crematoria-cemetaries'!L6</f>
        <v>5.10.2</v>
      </c>
      <c r="C79" s="600"/>
      <c r="D79" s="600"/>
      <c r="E79" s="600"/>
      <c r="F79" s="600"/>
      <c r="G79" s="600"/>
      <c r="H79" s="600"/>
      <c r="I79" s="600"/>
      <c r="J79" s="601"/>
      <c r="K79" s="596"/>
    </row>
    <row r="80" spans="1:11">
      <c r="A80" s="323"/>
      <c r="C80" s="3"/>
    </row>
    <row r="81" spans="1:11">
      <c r="A81" s="323"/>
    </row>
    <row r="82" spans="1:11">
      <c r="K82" s="472"/>
    </row>
    <row r="85" spans="1:11">
      <c r="A85" s="323"/>
    </row>
    <row r="86" spans="1:11">
      <c r="A86" s="323"/>
    </row>
    <row r="87" spans="1:11">
      <c r="A87" s="323"/>
      <c r="K87" s="472"/>
    </row>
    <row r="88" spans="1:11">
      <c r="A88" s="323"/>
    </row>
    <row r="89" spans="1:11">
      <c r="K89" s="472"/>
    </row>
    <row r="91" spans="1:11">
      <c r="K91" s="472"/>
    </row>
  </sheetData>
  <sheetProtection algorithmName="SHA-512" hashValue="oZ189D2rZSQERg+nGAXwXdN9DHYCD3WkIjv652DR8xxRL/jhGKxO1P8RH5zfcILmiBiEQ4Ppnke8OELn7ByAXw==" saltValue="jyiqfU9+bsXBZBhqiX+a2w==" spinCount="100000" sheet="1"/>
  <customSheetViews>
    <customSheetView guid="{EB7FE26D-7077-48F2-8515-D783BE87A220}" fitToPage="1" topLeftCell="B1">
      <selection activeCell="N23" sqref="N23"/>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customSheetView>
  </customSheetViews>
  <mergeCells count="2">
    <mergeCell ref="D9:I9"/>
    <mergeCell ref="K9:N9"/>
  </mergeCells>
  <dataValidations count="1">
    <dataValidation type="decimal" allowBlank="1" showInputMessage="1" showErrorMessage="1" errorTitle="Input error" error="Use digits and decimal mark only." promptTitle="Input cell" prompt="Use digits and decimal mark only." sqref="C12:I20 C22:I24 C26:I34 C36:I37 C39:I41 C43:I50 C52:I63 C65:I66 C68:I72 C74:I76 C78:I79" xr:uid="{00000000-0002-0000-1100-000000000000}">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90" fitToHeight="2" orientation="landscape" r:id="rId2"/>
  <headerFooter>
    <oddFooter>&amp;L&amp;A
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40"/>
  <sheetViews>
    <sheetView zoomScale="106" zoomScaleNormal="80" workbookViewId="0">
      <selection activeCell="B27" sqref="B27"/>
    </sheetView>
  </sheetViews>
  <sheetFormatPr defaultColWidth="9.1796875" defaultRowHeight="12.5" outlineLevelRow="1"/>
  <cols>
    <col min="1" max="1" width="29.6328125" style="339" customWidth="1"/>
    <col min="2" max="2" width="11.1796875" style="360" customWidth="1"/>
    <col min="3" max="3" width="16" style="339" customWidth="1"/>
    <col min="4" max="4" width="24.1796875" style="339" customWidth="1"/>
    <col min="5" max="5" width="23" style="339" customWidth="1"/>
    <col min="6" max="6" width="15.1796875" style="339" customWidth="1"/>
    <col min="7" max="7" width="13.6328125" style="339" customWidth="1"/>
    <col min="8" max="8" width="10.453125" style="339" customWidth="1"/>
    <col min="9" max="9" width="11.453125" style="339" customWidth="1"/>
    <col min="10" max="10" width="13.453125" style="339" customWidth="1"/>
    <col min="11" max="11" width="10.36328125" style="339" customWidth="1"/>
    <col min="12" max="12" width="15.6328125" style="339" customWidth="1"/>
    <col min="13" max="13" width="7" style="339" customWidth="1"/>
    <col min="14" max="14" width="9.1796875" style="339"/>
    <col min="15" max="15" width="5.6328125" style="339" customWidth="1"/>
    <col min="16" max="16" width="20.1796875" style="339" customWidth="1"/>
    <col min="17" max="16384" width="9.1796875" style="339"/>
  </cols>
  <sheetData>
    <row r="1" spans="1:17" ht="13">
      <c r="A1" s="356" t="s">
        <v>368</v>
      </c>
      <c r="B1" s="357"/>
    </row>
    <row r="2" spans="1:17" ht="30" customHeight="1">
      <c r="A2" s="840" t="str">
        <f>IF(ISNA(MATCH("n",O5:O26,0)),"", trans_warning)</f>
        <v/>
      </c>
      <c r="B2" s="841"/>
      <c r="C2" s="841"/>
      <c r="D2" s="841"/>
      <c r="E2" s="841"/>
      <c r="F2" s="841"/>
      <c r="G2" s="841"/>
      <c r="H2" s="841"/>
      <c r="I2" s="841"/>
      <c r="J2" s="841"/>
      <c r="K2" s="841"/>
      <c r="L2" s="841"/>
      <c r="M2" s="842"/>
    </row>
    <row r="3" spans="1:17" s="361" customFormat="1" ht="26">
      <c r="A3" s="710" t="s">
        <v>312</v>
      </c>
      <c r="B3" s="711" t="s">
        <v>365</v>
      </c>
      <c r="C3" s="712" t="s">
        <v>496</v>
      </c>
      <c r="D3" s="710"/>
      <c r="E3" s="713"/>
      <c r="F3" s="714" t="s">
        <v>358</v>
      </c>
      <c r="G3" s="837" t="s">
        <v>363</v>
      </c>
      <c r="H3" s="838"/>
      <c r="I3" s="838"/>
      <c r="J3" s="838"/>
      <c r="K3" s="838"/>
      <c r="L3" s="839"/>
      <c r="M3" s="710"/>
    </row>
    <row r="4" spans="1:17" ht="39.5" thickBot="1">
      <c r="A4" s="708" t="s">
        <v>416</v>
      </c>
      <c r="B4" s="709" t="str">
        <f>quest</f>
        <v>Y/N/?</v>
      </c>
      <c r="C4" s="715" t="s">
        <v>1117</v>
      </c>
      <c r="D4" s="716" t="s">
        <v>35</v>
      </c>
      <c r="E4" s="716" t="s">
        <v>1055</v>
      </c>
      <c r="F4" s="712" t="s">
        <v>362</v>
      </c>
      <c r="G4" s="717" t="s">
        <v>38</v>
      </c>
      <c r="H4" s="717" t="s">
        <v>39</v>
      </c>
      <c r="I4" s="717" t="s">
        <v>40</v>
      </c>
      <c r="J4" s="712" t="s">
        <v>499</v>
      </c>
      <c r="K4" s="712" t="s">
        <v>42</v>
      </c>
      <c r="L4" s="712" t="s">
        <v>1118</v>
      </c>
      <c r="M4" s="710" t="s">
        <v>357</v>
      </c>
      <c r="N4" s="323" t="s">
        <v>56</v>
      </c>
    </row>
    <row r="5" spans="1:17" ht="25.5" thickBot="1">
      <c r="A5" s="270" t="str">
        <f>'5-1 Fuels'!C6</f>
        <v>Coal combustion in large power plants</v>
      </c>
      <c r="B5" s="404"/>
      <c r="C5" s="403"/>
      <c r="D5" s="345" t="s">
        <v>931</v>
      </c>
      <c r="E5" s="665"/>
      <c r="F5" s="460" t="str">
        <f>IF(OR($B5=yes,$B5=yes),'5-1 Fuels'!$K$6, IF(OR($B5=no,$B5=no),"-", IF($B5=que,que, pres)))</f>
        <v>Present?</v>
      </c>
      <c r="G5" s="461" t="str">
        <f>IF(OR($B5=yes,$B5=yes),'5-1 Fuels'!V6, IF(OR($B5=no,$B5=no),"-", IF($B5=que,que, pres)))</f>
        <v>Present?</v>
      </c>
      <c r="H5" s="461" t="str">
        <f>IF(OR($B5=yes,$B5=yes),'5-1 Fuels'!W6, IF(OR($B5=no,$B5=no),"-", IF($B5=que,que, pres)))</f>
        <v>Present?</v>
      </c>
      <c r="I5" s="461" t="str">
        <f>IF(OR($B5=yes,$B5=yes),'5-1 Fuels'!X6, IF(OR($B5=no,$B5=no),"-", IF($B5=que,que, pres)))</f>
        <v>Present?</v>
      </c>
      <c r="J5" s="461" t="str">
        <f>IF(OR($B5=yes,$B5=yes),'5-1 Fuels'!Y6, IF(OR($B5=no,$B5=no),"-", IF($B5=que,que, pres)))</f>
        <v>Present?</v>
      </c>
      <c r="K5" s="461" t="str">
        <f>IF(OR($B5=yes,$B5=yes),'5-1 Fuels'!Z6, IF(OR($B5=no,$B5=no),"-", IF($B5=que,que, pres)))</f>
        <v>Present?</v>
      </c>
      <c r="L5" s="461" t="str">
        <f>IF(OR($B5=yes,$B5=yes),'5-1 Fuels'!AA6, IF(OR($B5=no,$B5=no),"-", IF($B5=que,que, pres)))</f>
        <v>Present?</v>
      </c>
      <c r="M5" s="272" t="str">
        <f>'5-1 Fuels'!B6</f>
        <v>5.1.1</v>
      </c>
      <c r="N5" s="464"/>
      <c r="O5" s="339" t="str">
        <f>INDEX('Range-thresholds'!$G$6:$G$73,MATCH(A5,'Range-thresholds'!$A$6:$A$73,0))</f>
        <v/>
      </c>
      <c r="P5" s="323"/>
      <c r="Q5" s="472"/>
    </row>
    <row r="6" spans="1:17" ht="37.5" outlineLevel="1">
      <c r="A6" s="270"/>
      <c r="B6" s="647"/>
      <c r="C6" s="350"/>
      <c r="D6" s="651"/>
      <c r="E6" s="672" t="s">
        <v>1039</v>
      </c>
      <c r="F6" s="652"/>
      <c r="G6" s="652" t="s">
        <v>1031</v>
      </c>
      <c r="H6" s="652" t="s">
        <v>1032</v>
      </c>
      <c r="I6" s="652" t="s">
        <v>1033</v>
      </c>
      <c r="J6" s="652" t="s">
        <v>1034</v>
      </c>
      <c r="K6" s="652" t="s">
        <v>1035</v>
      </c>
      <c r="L6" s="652" t="s">
        <v>1035</v>
      </c>
      <c r="M6" s="272"/>
      <c r="N6" s="464"/>
      <c r="P6" s="323"/>
    </row>
    <row r="7" spans="1:17" ht="25.5" outlineLevel="1" thickBot="1">
      <c r="A7" s="270"/>
      <c r="B7" s="648"/>
      <c r="C7" s="347"/>
      <c r="D7" s="653" t="s">
        <v>1037</v>
      </c>
      <c r="E7" s="652" t="s">
        <v>1038</v>
      </c>
      <c r="F7" s="652" t="s">
        <v>1132</v>
      </c>
      <c r="G7" s="654">
        <f>100-H7-I7-J7-K7-L7</f>
        <v>0</v>
      </c>
      <c r="H7" s="659">
        <v>100</v>
      </c>
      <c r="I7" s="659"/>
      <c r="J7" s="659"/>
      <c r="K7" s="659"/>
      <c r="L7" s="659"/>
      <c r="M7" s="696" t="s">
        <v>1133</v>
      </c>
      <c r="N7" s="464"/>
      <c r="P7" s="323"/>
    </row>
    <row r="8" spans="1:17" ht="25.5" thickBot="1">
      <c r="A8" s="270" t="str">
        <f>'5-1 Fuels'!C16</f>
        <v>Coal combustion in coal fired industrial boilers</v>
      </c>
      <c r="B8" s="613"/>
      <c r="C8" s="403"/>
      <c r="D8" s="345" t="s">
        <v>931</v>
      </c>
      <c r="E8" s="665"/>
      <c r="F8" s="460" t="str">
        <f>IF(OR($B8=yes,$B8=yes),'5-1 Fuels'!K16, IF(OR($B8=no,$B8=no),"-", IF($B8=que,que, pres)))</f>
        <v>Present?</v>
      </c>
      <c r="G8" s="461" t="str">
        <f>IF(OR($B8=yes,$B8=yes),'5-1 Fuels'!V16, IF(OR($B8=no,$B8=no),"-", IF($B8=que,que, pres)))</f>
        <v>Present?</v>
      </c>
      <c r="H8" s="461" t="str">
        <f>IF(OR($B8=yes,$B8=yes),'5-1 Fuels'!W16, IF(OR($B8=no,$B8=no),"-", IF($B8=que,que, pres)))</f>
        <v>Present?</v>
      </c>
      <c r="I8" s="461" t="str">
        <f>IF(OR($B8=yes,$B8=yes),'5-1 Fuels'!X16, IF(OR($B8=no,$B8=no),"-", IF($B8=que,que, pres)))</f>
        <v>Present?</v>
      </c>
      <c r="J8" s="461" t="str">
        <f>IF(OR($B8=yes,$B8=yes),'5-1 Fuels'!Y16, IF(OR($B8=no,$B8=no),"-", IF($B8=que,que, pres)))</f>
        <v>Present?</v>
      </c>
      <c r="K8" s="461" t="str">
        <f>IF(OR($B8=yes,$B8=yes),'5-1 Fuels'!Z16, IF(OR($B8=no,$B8=no),"-", IF($B8=que,que, pres)))</f>
        <v>Present?</v>
      </c>
      <c r="L8" s="461" t="str">
        <f>IF(OR($B8=yes,$B8=yes),'5-1 Fuels'!AA16, IF(OR($B8=no,$B8=no),"-", IF($B8=que,que, pres)))</f>
        <v>Present?</v>
      </c>
      <c r="M8" s="272" t="str">
        <f>'5-1 Fuels'!B16</f>
        <v>5.1.2.1</v>
      </c>
      <c r="N8" s="464"/>
      <c r="P8" s="323"/>
      <c r="Q8" s="472"/>
    </row>
    <row r="9" spans="1:17" ht="37.5" outlineLevel="1">
      <c r="A9" s="270"/>
      <c r="B9" s="649"/>
      <c r="C9" s="350"/>
      <c r="D9" s="345"/>
      <c r="E9" s="672" t="s">
        <v>1039</v>
      </c>
      <c r="F9" s="652"/>
      <c r="G9" s="652" t="s">
        <v>1031</v>
      </c>
      <c r="H9" s="652" t="s">
        <v>1032</v>
      </c>
      <c r="I9" s="652" t="s">
        <v>1033</v>
      </c>
      <c r="J9" s="652" t="s">
        <v>1034</v>
      </c>
      <c r="K9" s="652" t="s">
        <v>1035</v>
      </c>
      <c r="L9" s="652" t="s">
        <v>1036</v>
      </c>
      <c r="M9" s="272"/>
      <c r="N9" s="464"/>
      <c r="P9" s="323"/>
    </row>
    <row r="10" spans="1:17" ht="25.5" outlineLevel="1" thickBot="1">
      <c r="A10" s="270"/>
      <c r="B10" s="650"/>
      <c r="C10" s="347"/>
      <c r="D10" s="653" t="s">
        <v>1037</v>
      </c>
      <c r="E10" s="652" t="s">
        <v>1038</v>
      </c>
      <c r="F10" s="652"/>
      <c r="G10" s="654">
        <f>100-H10-I10-J10-K10-L10</f>
        <v>100</v>
      </c>
      <c r="H10" s="659"/>
      <c r="I10" s="659"/>
      <c r="J10" s="659"/>
      <c r="K10" s="659"/>
      <c r="L10" s="659"/>
      <c r="M10" s="697" t="s">
        <v>1133</v>
      </c>
      <c r="N10" s="464"/>
      <c r="P10" s="323"/>
    </row>
    <row r="11" spans="1:17" ht="13" thickBot="1">
      <c r="A11" s="270" t="s">
        <v>427</v>
      </c>
      <c r="B11" s="610"/>
      <c r="C11" s="377"/>
      <c r="D11" s="345" t="s">
        <v>932</v>
      </c>
      <c r="E11" s="345"/>
      <c r="F11" s="460" t="str">
        <f>IF(OR($B11=yes,$B11=yes),'5-1 Fuels'!K26, IF(OR($B11=no,$B11=no),"-", IF($B11=que,que, pres)))</f>
        <v>Present?</v>
      </c>
      <c r="G11" s="461" t="str">
        <f>IF(OR($B11=yes,$B11=yes),'5-1 Fuels'!V26, IF(OR($B11=no,$B11=no),"-", IF($B11=que,que, pres)))</f>
        <v>Present?</v>
      </c>
      <c r="H11" s="461" t="str">
        <f>IF(OR($B11=yes,$B11=yes),'5-1 Fuels'!W26, IF(OR($B11=no,$B11=no),"-", IF($B11=que,que, pres)))</f>
        <v>Present?</v>
      </c>
      <c r="I11" s="461" t="str">
        <f>IF(OR($B11=yes,$B11=yes),'5-1 Fuels'!X26, IF(OR($B11=no,$B11=no),"-", IF($B11=que,que, pres)))</f>
        <v>Present?</v>
      </c>
      <c r="J11" s="461" t="str">
        <f>IF(OR($B11=yes,$B11=yes),'5-1 Fuels'!Y26, IF(OR($B11=no,$B11=no),"-", IF($B11=que,que, pres)))</f>
        <v>Present?</v>
      </c>
      <c r="K11" s="461" t="str">
        <f>IF(OR($B11=yes,$B11=yes),'5-1 Fuels'!Z26, IF(OR($B11=no,$B11=no),"-", IF($B11=que,que, pres)))</f>
        <v>Present?</v>
      </c>
      <c r="L11" s="461" t="str">
        <f>IF(OR($B11=yes,$B11=yes),'5-1 Fuels'!AA26, IF(OR($B11=no,$B11=no),"-", IF($B11=que,que, pres)))</f>
        <v>Present?</v>
      </c>
      <c r="M11" s="272" t="str">
        <f>'5-1 Fuels'!B26</f>
        <v>5.1.2.2</v>
      </c>
      <c r="N11" s="463"/>
      <c r="O11" s="339" t="str">
        <f>INDEX('Range-thresholds'!$G$6:$G$73,MATCH(A11,'Range-thresholds'!$A$6:$A$73,0))</f>
        <v/>
      </c>
      <c r="Q11" s="472"/>
    </row>
    <row r="12" spans="1:17" ht="25.5" thickBot="1">
      <c r="A12" s="275" t="s">
        <v>476</v>
      </c>
      <c r="B12" s="611"/>
      <c r="C12" s="400"/>
      <c r="D12" s="345" t="s">
        <v>925</v>
      </c>
      <c r="E12" s="665"/>
      <c r="F12" s="460" t="str">
        <f>IF(OR($B12=yes,$B12=yes),SUM('5-1 Fuels'!K38:K41), IF(OR($B12=no,$B12=no),"-", IF($B12=que,que, pres)))</f>
        <v>Present?</v>
      </c>
      <c r="G12" s="461" t="str">
        <f>IF(OR($B12=yes,$B12=yes),SUM('5-1 Fuels'!V38:V41), IF(OR($B12=no,$B12=no),"-", IF($B12=que,que, pres)))</f>
        <v>Present?</v>
      </c>
      <c r="H12" s="461" t="str">
        <f>IF(OR($B12=yes,$B12=yes),SUM('5-1 Fuels'!W38:W41), IF(OR($B12=no,$B12=no),"-", IF($B12=que,que, pres)))</f>
        <v>Present?</v>
      </c>
      <c r="I12" s="461" t="str">
        <f>IF(OR($B12=yes,$B12=yes),SUM('5-1 Fuels'!X38:X41), IF(OR($B12=no,$B12=no),"-", IF($B12=que,que, pres)))</f>
        <v>Present?</v>
      </c>
      <c r="J12" s="461" t="str">
        <f>IF(OR($B12=yes,$B12=yes),SUM('5-1 Fuels'!Y38:Y41), IF(OR($B12=no,$B12=no),"-", IF($B12=que,que, pres)))</f>
        <v>Present?</v>
      </c>
      <c r="K12" s="461" t="str">
        <f>IF(OR($B12=yes,$B12=yes),SUM('5-1 Fuels'!Z38:Z41), IF(OR($B12=no,$B12=no),"-", IF($B12=que,que, pres)))</f>
        <v>Present?</v>
      </c>
      <c r="L12" s="461" t="str">
        <f>IF(OR($B12=yes,$B12=yes),SUM('5-1 Fuels'!AA38:AA41), IF(OR($B12=no,$B12=no),"-", IF($B12=que,que, pres)))</f>
        <v>Present?</v>
      </c>
      <c r="M12" s="272" t="str">
        <f>'5-1 Fuels'!B34</f>
        <v>5.1.3</v>
      </c>
      <c r="N12" s="463"/>
      <c r="O12" s="339" t="str">
        <f>INDEX('Range-thresholds'!$G$6:$G$73,MATCH(A12,'Range-thresholds'!$A$6:$A$73,0))</f>
        <v/>
      </c>
      <c r="Q12" s="472"/>
    </row>
    <row r="13" spans="1:17" ht="37.5" outlineLevel="1">
      <c r="A13" s="275"/>
      <c r="B13" s="647"/>
      <c r="C13" s="350"/>
      <c r="D13" s="651"/>
      <c r="E13" s="672" t="s">
        <v>1039</v>
      </c>
      <c r="F13" s="652"/>
      <c r="G13" s="652" t="s">
        <v>1042</v>
      </c>
      <c r="H13" s="652" t="s">
        <v>1040</v>
      </c>
      <c r="I13" s="652" t="s">
        <v>1041</v>
      </c>
      <c r="J13" s="461"/>
      <c r="K13" s="461"/>
      <c r="L13" s="461"/>
      <c r="M13" s="272"/>
      <c r="N13" s="463"/>
    </row>
    <row r="14" spans="1:17" ht="25.5" outlineLevel="1" thickBot="1">
      <c r="A14" s="275"/>
      <c r="B14" s="648"/>
      <c r="C14" s="347"/>
      <c r="D14" s="653" t="s">
        <v>1037</v>
      </c>
      <c r="E14" s="652" t="s">
        <v>1038</v>
      </c>
      <c r="F14" s="652"/>
      <c r="G14" s="654">
        <f>100-H14-I14</f>
        <v>100</v>
      </c>
      <c r="H14" s="659"/>
      <c r="I14" s="659"/>
      <c r="J14" s="461"/>
      <c r="K14" s="461"/>
      <c r="L14" s="461"/>
      <c r="M14" s="697" t="s">
        <v>1133</v>
      </c>
      <c r="N14" s="464"/>
    </row>
    <row r="15" spans="1:17" ht="51" customHeight="1" thickBot="1">
      <c r="A15" s="588" t="s">
        <v>980</v>
      </c>
      <c r="B15" s="613"/>
      <c r="C15" s="403"/>
      <c r="D15" s="345" t="s">
        <v>925</v>
      </c>
      <c r="E15" s="665"/>
      <c r="F15" s="460" t="str">
        <f>IF(OR($B15=yes,$B15=yes),'5-1 Fuels'!K43, IF(OR($B15=no,$B15=no),"-", IF($B15=que,que, pres)))</f>
        <v>Present?</v>
      </c>
      <c r="G15" s="461" t="str">
        <f>IF(OR($B15=yes,$B15=yes),SUM('5-1 Fuels'!V43:V47), IF(OR($B15=no,$B15=no),"-", IF($B15=que,que, pres)))</f>
        <v>Present?</v>
      </c>
      <c r="H15" s="461" t="str">
        <f>IF(OR($B15=yes,$B15=yes),SUM('5-1 Fuels'!W43:W47), IF(OR($B15=no,$B15=no),"-", IF($B15=que,que, pres)))</f>
        <v>Present?</v>
      </c>
      <c r="I15" s="461" t="str">
        <f>IF(OR($B15=yes,$B15=yes),SUM('5-1 Fuels'!X43:X47), IF(OR($B15=no,$B15=no),"-", IF($B15=que,que, pres)))</f>
        <v>Present?</v>
      </c>
      <c r="J15" s="461" t="str">
        <f>IF(OR($B15=yes,$B15=yes),SUM('5-1 Fuels'!Y43:Y47), IF(OR($B15=no,$B15=no),"-", IF($B15=que,que, pres)))</f>
        <v>Present?</v>
      </c>
      <c r="K15" s="461" t="str">
        <f>IF(OR($B15=yes,$B15=yes),SUM('5-1 Fuels'!Z43:Z47), IF(OR($B15=no,$B15=no),"-", IF($B15=que,que, pres)))</f>
        <v>Present?</v>
      </c>
      <c r="L15" s="461" t="str">
        <f>IF(OR($B15=yes,$B15=yes),SUM('5-1 Fuels'!AA43:AA47), IF(OR($B15=no,$B15=no),"-", IF($B15=que,que, pres)))</f>
        <v>Present?</v>
      </c>
      <c r="M15" s="272" t="str">
        <f>M24</f>
        <v>5.1.3</v>
      </c>
      <c r="N15" s="464"/>
      <c r="O15" s="339" t="str">
        <f>INDEX('Range-thresholds'!$G$6:$G$73,MATCH(A15,'Range-thresholds'!$A$6:$A$73,0))</f>
        <v/>
      </c>
      <c r="Q15" s="472"/>
    </row>
    <row r="16" spans="1:17" ht="37.5">
      <c r="A16" s="588"/>
      <c r="B16" s="647"/>
      <c r="C16" s="350"/>
      <c r="D16" s="651"/>
      <c r="E16" s="672" t="s">
        <v>1039</v>
      </c>
      <c r="F16" s="652"/>
      <c r="G16" s="652" t="s">
        <v>1042</v>
      </c>
      <c r="H16" s="652" t="s">
        <v>1040</v>
      </c>
      <c r="I16" s="652" t="s">
        <v>1041</v>
      </c>
      <c r="J16" s="461"/>
      <c r="K16" s="461"/>
      <c r="L16" s="461"/>
      <c r="M16" s="272"/>
      <c r="N16" s="464"/>
    </row>
    <row r="17" spans="1:17" ht="25.5" thickBot="1">
      <c r="A17" s="588"/>
      <c r="B17" s="648"/>
      <c r="C17" s="347"/>
      <c r="D17" s="653" t="s">
        <v>1037</v>
      </c>
      <c r="E17" s="652" t="s">
        <v>1038</v>
      </c>
      <c r="F17" s="652"/>
      <c r="G17" s="654">
        <f>100-H17-I17</f>
        <v>100</v>
      </c>
      <c r="H17" s="659"/>
      <c r="I17" s="659"/>
      <c r="J17" s="461"/>
      <c r="K17" s="461"/>
      <c r="L17" s="461"/>
      <c r="M17" s="697" t="s">
        <v>1133</v>
      </c>
      <c r="N17" s="464"/>
    </row>
    <row r="18" spans="1:17" ht="25">
      <c r="A18" s="275" t="s">
        <v>532</v>
      </c>
      <c r="B18" s="610"/>
      <c r="C18" s="377"/>
      <c r="D18" s="345" t="s">
        <v>933</v>
      </c>
      <c r="E18" s="345"/>
      <c r="F18" s="460" t="str">
        <f>IF(OR($B18=yes,$B18=yes),'5-1 Fuels'!K52, IF(OR($B18=no,$B18=no),"-", IF($B18=que,que, pres)))</f>
        <v>Present?</v>
      </c>
      <c r="G18" s="461" t="str">
        <f>IF(OR($B18=yes,$B18=yes),'5-1 Fuels'!V52, IF(OR($B18=no,$B18=no),"-", IF($B18=que,que, pres)))</f>
        <v>Present?</v>
      </c>
      <c r="H18" s="461" t="str">
        <f>IF(OR($B18=yes,$B18=yes),'5-1 Fuels'!W52, IF(OR($B18=no,$B18=no),"-", IF($B18=que,que, pres)))</f>
        <v>Present?</v>
      </c>
      <c r="I18" s="461" t="str">
        <f>IF(OR($B18=yes,$B18=yes),'5-1 Fuels'!X52, IF(OR($B18=no,$B18=no),"-", IF($B18=que,que, pres)))</f>
        <v>Present?</v>
      </c>
      <c r="J18" s="461" t="str">
        <f>IF(OR($B18=yes,$B18=yes),'5-1 Fuels'!Y52, IF(OR($B18=no,$B18=no),"-", IF($B18=que,que, pres)))</f>
        <v>Present?</v>
      </c>
      <c r="K18" s="461" t="str">
        <f>IF(OR($B18=yes,$B18=yes),'5-1 Fuels'!Z52, IF(OR($B18=no,$B18=no),"-", IF($B18=que,que, pres)))</f>
        <v>Present?</v>
      </c>
      <c r="L18" s="461" t="str">
        <f>IF(OR($B18=yes,$B18=yes),'5-1 Fuels'!AA52, IF(OR($B18=no,$B18=no),"-", IF($B18=que,que, pres)))</f>
        <v>Present?</v>
      </c>
      <c r="M18" s="272" t="str">
        <f>'5-1 Fuels'!B49</f>
        <v>5.1.4</v>
      </c>
      <c r="N18" s="464"/>
      <c r="O18" s="339" t="str">
        <f>INDEX('Range-thresholds'!$G$6:$G$73,MATCH(A18,'Range-thresholds'!$A$6:$A$73,0))</f>
        <v/>
      </c>
      <c r="Q18" s="472"/>
    </row>
    <row r="19" spans="1:17" ht="25">
      <c r="A19" s="275" t="s">
        <v>531</v>
      </c>
      <c r="B19" s="612"/>
      <c r="C19" s="378"/>
      <c r="D19" s="345" t="s">
        <v>933</v>
      </c>
      <c r="E19" s="345"/>
      <c r="F19" s="460" t="str">
        <f>IF(OR($B19=yes,$B19=yes),'5-1 Fuels'!K53, IF(OR($B19=no,$B19=no),"-", IF($B19=que,que, pres)))</f>
        <v>Present?</v>
      </c>
      <c r="G19" s="461" t="str">
        <f>IF(OR($B19=yes,$B19=yes),'5-1 Fuels'!V53, IF(OR($B19=no,$B19=no),"-", IF($B19=que,que, pres)))</f>
        <v>Present?</v>
      </c>
      <c r="H19" s="461" t="str">
        <f>IF(OR($B19=yes,$B19=yes),'5-1 Fuels'!W53, IF(OR($B19=no,$B19=no),"-", IF($B19=que,que, pres)))</f>
        <v>Present?</v>
      </c>
      <c r="I19" s="461" t="str">
        <f>IF(OR($B19=yes,$B19=yes),'5-1 Fuels'!X53, IF(OR($B19=no,$B19=no),"-", IF($B19=que,que, pres)))</f>
        <v>Present?</v>
      </c>
      <c r="J19" s="461" t="str">
        <f>IF(OR($B19=yes,$B19=yes),'5-1 Fuels'!Y53, IF(OR($B19=no,$B19=no),"-", IF($B19=que,que, pres)))</f>
        <v>Present?</v>
      </c>
      <c r="K19" s="461" t="str">
        <f>IF(OR($B19=yes,$B19=yes),'5-1 Fuels'!Z53, IF(OR($B19=no,$B19=no),"-", IF($B19=que,que, pres)))</f>
        <v>Present?</v>
      </c>
      <c r="L19" s="461" t="str">
        <f>IF(OR($B19=yes,$B19=yes),'5-1 Fuels'!AA53, IF(OR($B19=no,$B19=no),"-", IF($B19=que,que, pres)))</f>
        <v>Present?</v>
      </c>
      <c r="M19" s="272" t="str">
        <f>M18</f>
        <v>5.1.4</v>
      </c>
      <c r="N19" s="463"/>
      <c r="O19" s="339" t="str">
        <f>INDEX('Range-thresholds'!$G$6:$G$73,MATCH(A19,'Range-thresholds'!$A$6:$A$73,0))</f>
        <v/>
      </c>
      <c r="Q19" s="472"/>
    </row>
    <row r="20" spans="1:17" ht="25">
      <c r="A20" s="270" t="str">
        <f>'5-1 Fuels'!C62</f>
        <v>Biomass fired power and heat production</v>
      </c>
      <c r="B20" s="612"/>
      <c r="C20" s="379"/>
      <c r="D20" s="345" t="s">
        <v>926</v>
      </c>
      <c r="E20" s="345"/>
      <c r="F20" s="460" t="str">
        <f>IF(OR($B20=yes,$B20=yes),'5-1 Fuels'!K62, IF(OR($B20=no,$B20=no),"-", IF($B20=que,que, pres)))</f>
        <v>Present?</v>
      </c>
      <c r="G20" s="461" t="str">
        <f>IF(OR($B20=yes,$B20=yes),'5-1 Fuels'!V62, IF(OR($B20=no,$B20=no),"-", IF($B20=que,que, pres)))</f>
        <v>Present?</v>
      </c>
      <c r="H20" s="461" t="str">
        <f>IF(OR($B20=yes,$B20=yes),'5-1 Fuels'!W62, IF(OR($B20=no,$B20=no),"-", IF($B20=que,que, pres)))</f>
        <v>Present?</v>
      </c>
      <c r="I20" s="461" t="str">
        <f>IF(OR($B20=yes,$B20=yes),'5-1 Fuels'!X62, IF(OR($B20=no,$B20=no),"-", IF($B20=que,que, pres)))</f>
        <v>Present?</v>
      </c>
      <c r="J20" s="461" t="str">
        <f>IF(OR($B20=yes,$B20=yes),'5-1 Fuels'!Y62, IF(OR($B20=no,$B20=no),"-", IF($B20=que,que, pres)))</f>
        <v>Present?</v>
      </c>
      <c r="K20" s="461" t="str">
        <f>IF(OR($B20=yes,$B20=yes),'5-1 Fuels'!Z62, IF(OR($B20=no,$B20=no),"-", IF($B20=que,que, pres)))</f>
        <v>Present?</v>
      </c>
      <c r="L20" s="461" t="str">
        <f>IF(OR($B20=yes,$B20=yes),'5-1 Fuels'!AA62, IF(OR($B20=no,$B20=no),"-", IF($B20=que,que, pres)))</f>
        <v>Present?</v>
      </c>
      <c r="M20" s="272" t="str">
        <f>'5-1 Fuels'!B62</f>
        <v>5.1.6</v>
      </c>
      <c r="N20" s="463"/>
      <c r="O20" s="339" t="str">
        <f>INDEX('Range-thresholds'!$G$6:$G$73,MATCH(A20,'Range-thresholds'!$A$6:$A$73,0))</f>
        <v/>
      </c>
      <c r="Q20" s="472"/>
    </row>
    <row r="21" spans="1:17" ht="13" thickBot="1">
      <c r="A21" s="270" t="s">
        <v>428</v>
      </c>
      <c r="B21" s="611"/>
      <c r="C21" s="400"/>
      <c r="D21" s="345" t="s">
        <v>927</v>
      </c>
      <c r="E21" s="345"/>
      <c r="F21" s="460" t="str">
        <f>IF(OR($B21=yes,$B21=yes),'5-1 Fuels'!K63, IF(OR($B21=no,$B21=no),"-", IF($B21=que,que, pres)))</f>
        <v>Present?</v>
      </c>
      <c r="G21" s="461" t="str">
        <f>IF(OR($B21=yes,$B21=yes),'5-1 Fuels'!V63, IF(OR($B21=no,$B21=no),"-", IF($B21=que,que, pres)))</f>
        <v>Present?</v>
      </c>
      <c r="H21" s="461" t="str">
        <f>IF(OR($B21=yes,$B21=yes),'5-1 Fuels'!W63, IF(OR($B21=no,$B21=no),"-", IF($B21=que,que, pres)))</f>
        <v>Present?</v>
      </c>
      <c r="I21" s="461" t="str">
        <f>IF(OR($B21=yes,$B21=yes),'5-1 Fuels'!X63, IF(OR($B21=no,$B21=no),"-", IF($B21=que,que, pres)))</f>
        <v>Present?</v>
      </c>
      <c r="J21" s="461" t="str">
        <f>IF(OR($B21=yes,$B21=yes),'5-1 Fuels'!Y63, IF(OR($B21=no,$B21=no),"-", IF($B21=que,que, pres)))</f>
        <v>Present?</v>
      </c>
      <c r="K21" s="461" t="str">
        <f>IF(OR($B21=yes,$B21=yes),'5-1 Fuels'!Z63, IF(OR($B21=no,$B21=no),"-", IF($B21=que,que, pres)))</f>
        <v>Present?</v>
      </c>
      <c r="L21" s="461" t="str">
        <f>IF(OR($B21=yes,$B21=yes),'5-1 Fuels'!AA63, IF(OR($B21=no,$B21=no),"-", IF($B21=que,que, pres)))</f>
        <v>Present?</v>
      </c>
      <c r="M21" s="272" t="str">
        <f>'5-1 Fuels'!B62</f>
        <v>5.1.6</v>
      </c>
      <c r="N21" s="463"/>
      <c r="O21" s="339" t="str">
        <f>INDEX('Range-thresholds'!$G$6:$G$73,MATCH(A21,'Range-thresholds'!$A$6:$A$73,0))</f>
        <v/>
      </c>
      <c r="Q21" s="472"/>
    </row>
    <row r="22" spans="1:17">
      <c r="A22" s="272"/>
      <c r="B22" s="480"/>
      <c r="C22" s="376"/>
      <c r="D22" s="272"/>
      <c r="E22" s="272"/>
      <c r="F22" s="460"/>
      <c r="G22" s="460"/>
      <c r="H22" s="460"/>
      <c r="I22" s="460"/>
      <c r="J22" s="460"/>
      <c r="K22" s="460"/>
      <c r="L22" s="460"/>
      <c r="M22" s="272"/>
      <c r="N22" s="463"/>
      <c r="Q22" s="472"/>
    </row>
    <row r="23" spans="1:17" ht="13.5" thickBot="1">
      <c r="A23" s="374" t="s">
        <v>418</v>
      </c>
      <c r="B23" s="479"/>
      <c r="C23" s="381"/>
      <c r="D23" s="272"/>
      <c r="E23" s="272"/>
      <c r="F23" s="460"/>
      <c r="G23" s="460"/>
      <c r="H23" s="460"/>
      <c r="I23" s="460"/>
      <c r="J23" s="460"/>
      <c r="K23" s="460"/>
      <c r="L23" s="460"/>
      <c r="M23" s="272"/>
      <c r="N23" s="463"/>
      <c r="Q23" s="472"/>
    </row>
    <row r="24" spans="1:17">
      <c r="A24" s="380" t="s">
        <v>361</v>
      </c>
      <c r="B24" s="666"/>
      <c r="C24" s="382"/>
      <c r="D24" s="272" t="s">
        <v>928</v>
      </c>
      <c r="E24" s="272"/>
      <c r="F24" s="460" t="str">
        <f>IF(OR($B24=yes,$B24=yes),'5-1 Fuels'!K35, IF(OR($B24=no,$B24=no),"-", IF($B24=que,que, pres)))</f>
        <v>Present?</v>
      </c>
      <c r="G24" s="461" t="str">
        <f>IF(OR($B24=yes,$B24=yes),'5-1 Fuels'!V35, IF(OR($B24=no,$B24=no),"-", IF($B24=que,que, pres)))</f>
        <v>Present?</v>
      </c>
      <c r="H24" s="461" t="str">
        <f>IF(OR($B24=yes,$B24=yes),'5-1 Fuels'!W35, IF(OR($B24=no,$B24=no),"-", IF($B24=que,que, pres)))</f>
        <v>Present?</v>
      </c>
      <c r="I24" s="461" t="str">
        <f>IF(OR($B24=yes,$B24=yes),'5-1 Fuels'!X35, IF(OR($B24=no,$B24=no),"-", IF($B24=que,que, pres)))</f>
        <v>Present?</v>
      </c>
      <c r="J24" s="461" t="str">
        <f>IF(OR($B24=yes,$B24=yes),'5-1 Fuels'!Y35, IF(OR($B24=no,$B24=no),"-", IF($B24=que,que, pres)))</f>
        <v>Present?</v>
      </c>
      <c r="K24" s="461" t="str">
        <f>IF(OR($B24=yes,$B24=yes),'5-1 Fuels'!Z35, IF(OR($B24=no,$B24=no),"-", IF($B24=que,que, pres)))</f>
        <v>Present?</v>
      </c>
      <c r="L24" s="461" t="str">
        <f>IF(OR($B24=yes,$B24=yes),'5-1 Fuels'!AA35, IF(OR($B24=no,$B24=no),"-", IF($B24=que,que, pres)))</f>
        <v>Present?</v>
      </c>
      <c r="M24" s="272" t="str">
        <f>M12</f>
        <v>5.1.3</v>
      </c>
      <c r="N24" s="463"/>
      <c r="O24" s="339" t="str">
        <f>INDEX('Range-thresholds'!$G$6:$G$73,MATCH(A24,'Range-thresholds'!$A$6:$A$73,0))</f>
        <v/>
      </c>
      <c r="Q24" s="472"/>
    </row>
    <row r="25" spans="1:17" ht="13" thickBot="1">
      <c r="A25" s="275" t="s">
        <v>359</v>
      </c>
      <c r="B25" s="612"/>
      <c r="C25" s="379"/>
      <c r="D25" s="355" t="s">
        <v>929</v>
      </c>
      <c r="E25" s="355"/>
      <c r="F25" s="460" t="str">
        <f>IF(OR($B25=yes,$B25=yes),'5-1 Fuels'!K36, IF(OR($B25=no,$B25=no),"-", IF($B25=que,que, pres)))</f>
        <v>Present?</v>
      </c>
      <c r="G25" s="461" t="str">
        <f>IF(OR($B25=yes,$B25=yes),'5-1 Fuels'!V36, IF(OR($B25=no,$B25=no),"-", IF($B25=que,que, pres)))</f>
        <v>Present?</v>
      </c>
      <c r="H25" s="461" t="str">
        <f>IF(OR($B25=yes,$B25=yes),'5-1 Fuels'!W36, IF(OR($B25=no,$B25=no),"-", IF($B25=que,que, pres)))</f>
        <v>Present?</v>
      </c>
      <c r="I25" s="461" t="str">
        <f>IF(OR($B25=yes,$B25=yes),'5-1 Fuels'!X36, IF(OR($B25=no,$B25=no),"-", IF($B25=que,que, pres)))</f>
        <v>Present?</v>
      </c>
      <c r="J25" s="461" t="str">
        <f>IF(OR($B25=yes,$B25=yes),'5-1 Fuels'!Y36, IF(OR($B25=no,$B25=no),"-", IF($B25=que,que, pres)))</f>
        <v>Present?</v>
      </c>
      <c r="K25" s="461" t="str">
        <f>IF(OR($B25=yes,$B25=yes),'5-1 Fuels'!Z36, IF(OR($B25=no,$B25=no),"-", IF($B25=que,que, pres)))</f>
        <v>Present?</v>
      </c>
      <c r="L25" s="461" t="str">
        <f>IF(OR($B25=yes,$B25=yes),'5-1 Fuels'!AA36, IF(OR($B25=no,$B25=no),"-", IF($B25=que,que, pres)))</f>
        <v>Present?</v>
      </c>
      <c r="M25" s="272" t="str">
        <f>M24</f>
        <v>5.1.3</v>
      </c>
      <c r="N25" s="463"/>
      <c r="O25" s="339" t="str">
        <f>INDEX('Range-thresholds'!$G$6:$G$73,MATCH(A25,'Range-thresholds'!$A$6:$A$73,0))</f>
        <v/>
      </c>
      <c r="Q25" s="472"/>
    </row>
    <row r="26" spans="1:17" ht="25.5" thickBot="1">
      <c r="A26" s="483" t="s">
        <v>360</v>
      </c>
      <c r="B26" s="611"/>
      <c r="C26" s="400"/>
      <c r="D26" s="643" t="s">
        <v>930</v>
      </c>
      <c r="E26" s="665"/>
      <c r="F26" s="644" t="str">
        <f>IF(OR($B26=yes,$B26=yes),'5-1 Fuels'!K50, IF(OR($B26=no,$B26=no),"-", IF($B26=que,que, pres)))</f>
        <v>Present?</v>
      </c>
      <c r="G26" s="645" t="str">
        <f>IF(OR($B26=yes,$B26=yes),SUM('5-1 Fuels'!V50:V51), IF(OR($B26=no,$B26=no),"-", IF($B26=que,que, pres)))</f>
        <v>Present?</v>
      </c>
      <c r="H26" s="645" t="str">
        <f>IF(OR($B26=yes,$B26=yes),SUM('5-1 Fuels'!W50:W51), IF(OR($B26=no,$B26=no),"-", IF($B26=que,que, pres)))</f>
        <v>Present?</v>
      </c>
      <c r="I26" s="645" t="str">
        <f>IF(OR($B26=yes,$B26=yes),SUM('5-1 Fuels'!X50:X51), IF(OR($B26=no,$B26=no),"-", IF($B26=que,que, pres)))</f>
        <v>Present?</v>
      </c>
      <c r="J26" s="645" t="str">
        <f>IF(OR($B26=yes,$B26=yes),SUM('5-1 Fuels'!Y50:Y51), IF(OR($B26=no,$B26=no),"-", IF($B26=que,que, pres)))</f>
        <v>Present?</v>
      </c>
      <c r="K26" s="645" t="str">
        <f>IF(OR($B26=yes,$B26=yes),SUM('5-1 Fuels'!Z50:Z51), IF(OR($B26=no,$B26=no),"-", IF($B26=que,que, pres)))</f>
        <v>Present?</v>
      </c>
      <c r="L26" s="645" t="str">
        <f>IF(OR($B26=yes,$B26=yes),'5-1 Fuels'!AA49, IF(OR($B26=no,$B26=no),"-", IF($B26=que,que, pres)))</f>
        <v>Present?</v>
      </c>
      <c r="M26" s="604" t="str">
        <f>'5-1 Fuels'!B49</f>
        <v>5.1.4</v>
      </c>
      <c r="N26" s="463"/>
      <c r="O26" s="339" t="str">
        <f>INDEX('Range-thresholds'!$G$6:$G$73,MATCH(A26,'Range-thresholds'!$A$6:$A$73,0))</f>
        <v/>
      </c>
      <c r="Q26" s="472"/>
    </row>
    <row r="27" spans="1:17" ht="37.5">
      <c r="A27" s="367"/>
      <c r="B27" s="647"/>
      <c r="C27" s="350"/>
      <c r="D27" s="651"/>
      <c r="E27" s="672" t="s">
        <v>1039</v>
      </c>
      <c r="F27" s="652"/>
      <c r="G27" s="652" t="s">
        <v>1043</v>
      </c>
      <c r="H27" s="652" t="s">
        <v>1044</v>
      </c>
      <c r="I27" s="461"/>
      <c r="J27" s="461"/>
      <c r="K27" s="461"/>
      <c r="L27" s="461"/>
      <c r="M27" s="272"/>
      <c r="N27" s="463"/>
    </row>
    <row r="28" spans="1:17" ht="25">
      <c r="A28" s="367"/>
      <c r="B28" s="646"/>
      <c r="C28" s="375"/>
      <c r="D28" s="653" t="s">
        <v>1037</v>
      </c>
      <c r="E28" s="652" t="s">
        <v>1038</v>
      </c>
      <c r="F28" s="652"/>
      <c r="G28" s="654">
        <f>100-H28</f>
        <v>50</v>
      </c>
      <c r="H28" s="659">
        <v>50</v>
      </c>
      <c r="I28" s="461"/>
      <c r="J28" s="461"/>
      <c r="K28" s="461"/>
      <c r="L28" s="461"/>
      <c r="M28" s="697" t="s">
        <v>1133</v>
      </c>
      <c r="N28" s="464"/>
      <c r="P28" s="361"/>
    </row>
    <row r="31" spans="1:17">
      <c r="A31" s="585" t="s">
        <v>979</v>
      </c>
    </row>
    <row r="32" spans="1:17">
      <c r="A32" s="585"/>
    </row>
    <row r="40" spans="9:9">
      <c r="I40" s="587"/>
    </row>
  </sheetData>
  <sheetProtection algorithmName="SHA-512" hashValue="kSs3MLWawQSAliy3irncWDIYM3POet5bFpgDwNMul5t21hc11Qg/sJbRLiAjDadQDcfNfXogFyZA9Fs+ubVsJA==" saltValue="Ru5HmYID5d9TCJZJOfrEvA==" spinCount="100000" sheet="1"/>
  <dataConsolidate/>
  <customSheetViews>
    <customSheetView guid="{EB7FE26D-7077-48F2-8515-D783BE87A220}" scale="90" showPageBreaks="1" fitToPage="1" printArea="1">
      <selection activeCell="A3" sqref="A3"/>
      <pageMargins left="0.39370078740157483" right="0.39370078740157483" top="0.74803149606299213" bottom="0.74803149606299213" header="0.31496062992125984" footer="0.31496062992125984"/>
      <pageSetup paperSize="9" scale="70" orientation="landscape" r:id="rId1"/>
      <headerFooter>
        <oddFooter>&amp;L&amp;A
Printed &amp;D</oddFooter>
      </headerFooter>
    </customSheetView>
  </customSheetViews>
  <mergeCells count="2">
    <mergeCell ref="G3:L3"/>
    <mergeCell ref="A2:M2"/>
  </mergeCells>
  <conditionalFormatting sqref="A2">
    <cfRule type="expression" dxfId="142" priority="56" stopIfTrue="1">
      <formula>$A$2&lt;&gt;""</formula>
    </cfRule>
  </conditionalFormatting>
  <conditionalFormatting sqref="F5 F11:F12 F15 F18:F26">
    <cfRule type="expression" dxfId="141" priority="58" stopIfTrue="1">
      <formula>AND(B5="y",O5="n")</formula>
    </cfRule>
  </conditionalFormatting>
  <conditionalFormatting sqref="F8">
    <cfRule type="expression" dxfId="140" priority="52" stopIfTrue="1">
      <formula>AND(B8="y",O8="n")</formula>
    </cfRule>
  </conditionalFormatting>
  <conditionalFormatting sqref="E6:L6">
    <cfRule type="expression" dxfId="139" priority="50">
      <formula>OR($E$5=yes)</formula>
    </cfRule>
  </conditionalFormatting>
  <conditionalFormatting sqref="F7:G7">
    <cfRule type="expression" dxfId="138" priority="49">
      <formula>OR($E$5=yes)</formula>
    </cfRule>
  </conditionalFormatting>
  <conditionalFormatting sqref="H7:L7">
    <cfRule type="expression" dxfId="137" priority="48">
      <formula>OR($E$5=yes)</formula>
    </cfRule>
  </conditionalFormatting>
  <conditionalFormatting sqref="G7">
    <cfRule type="expression" dxfId="136" priority="47">
      <formula>$G$7&lt;0</formula>
    </cfRule>
  </conditionalFormatting>
  <conditionalFormatting sqref="D7">
    <cfRule type="expression" dxfId="135" priority="46">
      <formula>$G$7&lt;0</formula>
    </cfRule>
  </conditionalFormatting>
  <conditionalFormatting sqref="F9:L9">
    <cfRule type="expression" dxfId="134" priority="44">
      <formula>OR($E$8=yes)</formula>
    </cfRule>
  </conditionalFormatting>
  <conditionalFormatting sqref="E10:F10">
    <cfRule type="expression" dxfId="133" priority="43">
      <formula>OR($E$8=yes)</formula>
    </cfRule>
  </conditionalFormatting>
  <conditionalFormatting sqref="H10:L10">
    <cfRule type="expression" dxfId="132" priority="42">
      <formula>OR($E$8=yes)</formula>
    </cfRule>
  </conditionalFormatting>
  <conditionalFormatting sqref="D10">
    <cfRule type="expression" dxfId="131" priority="40">
      <formula>$G$10&lt;0</formula>
    </cfRule>
  </conditionalFormatting>
  <conditionalFormatting sqref="E13:I13">
    <cfRule type="expression" dxfId="130" priority="35">
      <formula>OR($E$12=yes)</formula>
    </cfRule>
  </conditionalFormatting>
  <conditionalFormatting sqref="E14:G14">
    <cfRule type="expression" dxfId="129" priority="34">
      <formula>OR($E$12=yes)</formula>
    </cfRule>
  </conditionalFormatting>
  <conditionalFormatting sqref="H14:I14">
    <cfRule type="expression" dxfId="128" priority="33">
      <formula>OR($E$12=yes)</formula>
    </cfRule>
  </conditionalFormatting>
  <conditionalFormatting sqref="G14">
    <cfRule type="expression" dxfId="127" priority="32">
      <formula>$G$14&lt;0</formula>
    </cfRule>
  </conditionalFormatting>
  <conditionalFormatting sqref="D14">
    <cfRule type="expression" dxfId="126" priority="31">
      <formula>$G$14&lt;0</formula>
    </cfRule>
  </conditionalFormatting>
  <conditionalFormatting sqref="E16:I16">
    <cfRule type="expression" dxfId="125" priority="30">
      <formula>OR($E$15=yes)</formula>
    </cfRule>
  </conditionalFormatting>
  <conditionalFormatting sqref="E17:G17">
    <cfRule type="expression" dxfId="124" priority="29">
      <formula>OR($E$15=yes)</formula>
    </cfRule>
  </conditionalFormatting>
  <conditionalFormatting sqref="H17:I17">
    <cfRule type="expression" dxfId="123" priority="28">
      <formula>OR($E$15=yes)</formula>
    </cfRule>
  </conditionalFormatting>
  <conditionalFormatting sqref="G17">
    <cfRule type="expression" dxfId="122" priority="27">
      <formula>$G$17&lt;0</formula>
    </cfRule>
  </conditionalFormatting>
  <conditionalFormatting sqref="D17">
    <cfRule type="expression" dxfId="121" priority="26">
      <formula>$G$17&lt;0</formula>
    </cfRule>
  </conditionalFormatting>
  <conditionalFormatting sqref="E27:H27">
    <cfRule type="expression" dxfId="120" priority="25">
      <formula>OR($E$26=yes)</formula>
    </cfRule>
  </conditionalFormatting>
  <conditionalFormatting sqref="E28:G28">
    <cfRule type="expression" dxfId="119" priority="24">
      <formula>OR($E$26=yes)</formula>
    </cfRule>
  </conditionalFormatting>
  <conditionalFormatting sqref="H28">
    <cfRule type="expression" dxfId="118" priority="23">
      <formula>OR($E$26=yes)</formula>
    </cfRule>
  </conditionalFormatting>
  <conditionalFormatting sqref="G28">
    <cfRule type="expression" dxfId="117" priority="22">
      <formula>$G$28&lt;0</formula>
    </cfRule>
  </conditionalFormatting>
  <conditionalFormatting sqref="D28">
    <cfRule type="expression" dxfId="116" priority="21">
      <formula>$G$28&lt;0</formula>
    </cfRule>
  </conditionalFormatting>
  <conditionalFormatting sqref="E9">
    <cfRule type="expression" dxfId="115" priority="20">
      <formula>OR($E$8=yes)</formula>
    </cfRule>
  </conditionalFormatting>
  <conditionalFormatting sqref="G10">
    <cfRule type="expression" dxfId="114" priority="13">
      <formula>OR($E$8=yes)</formula>
    </cfRule>
  </conditionalFormatting>
  <conditionalFormatting sqref="G10">
    <cfRule type="expression" dxfId="113" priority="12">
      <formula>$G$10&lt;0</formula>
    </cfRule>
  </conditionalFormatting>
  <conditionalFormatting sqref="E7">
    <cfRule type="expression" dxfId="112" priority="8">
      <formula>OR($E$5=yes)</formula>
    </cfRule>
  </conditionalFormatting>
  <conditionalFormatting sqref="M14">
    <cfRule type="expression" dxfId="111" priority="3">
      <formula>OR(NOT($E$12=yes))</formula>
    </cfRule>
  </conditionalFormatting>
  <conditionalFormatting sqref="M17">
    <cfRule type="expression" dxfId="110" priority="2">
      <formula>OR(NOT($E$15=yes))</formula>
    </cfRule>
  </conditionalFormatting>
  <conditionalFormatting sqref="M28">
    <cfRule type="expression" dxfId="109" priority="1">
      <formula>OR(NOT($E$26=yes))</formula>
    </cfRule>
  </conditionalFormatting>
  <conditionalFormatting sqref="M7">
    <cfRule type="expression" dxfId="108" priority="5">
      <formula>OR(NOT($E$5=yes))</formula>
    </cfRule>
  </conditionalFormatting>
  <conditionalFormatting sqref="M10">
    <cfRule type="expression" dxfId="107" priority="4">
      <formula>OR(NOT($E$8=yes))</formula>
    </cfRule>
  </conditionalFormatting>
  <dataValidations count="16">
    <dataValidation type="decimal" allowBlank="1" showInputMessage="1" showErrorMessage="1" errorTitle="Input error" error="Use digits and decimal mark only." promptTitle="Input cell" prompt="Use digits and decimal mark only." sqref="C5:C28" xr:uid="{00000000-0002-0000-0100-000000000000}">
      <formula1>-9.99999999999999E+22</formula1>
      <formula2>9.99999999999999E+22</formula2>
    </dataValidation>
    <dataValidation type="list" allowBlank="1" showInputMessage="1" showErrorMessage="1" errorTitle="Input error" error="Enter only y, n or ? (or translation of these)" sqref="B5:B21 B24:B28" xr:uid="{00000000-0002-0000-0100-000001000000}">
      <formula1>yn?</formula1>
    </dataValidation>
    <dataValidation allowBlank="1" showInputMessage="1" showErrorMessage="1" promptTitle="Controls" prompt="No filters in place (automatically calculated)" sqref="G7 G10" xr:uid="{00000000-0002-0000-0100-000002000000}"/>
    <dataValidation allowBlank="1" showInputMessage="1" showErrorMessage="1" promptTitle="Controls" prompt="Enter per cent of total activity rate that is used in facilities with mercury-specific filters such as activated carbon injection (ACI) or similar" sqref="L7 L10" xr:uid="{00000000-0002-0000-0100-000003000000}"/>
    <dataValidation allowBlank="1" showInputMessage="1" showErrorMessage="1" promptTitle="Controls" prompt="Enter per cent of total activity rate that is used in facilities with particle filters + flue gas de-suphurisation + selective catalytic reduction" sqref="K7 K10" xr:uid="{00000000-0002-0000-0100-000004000000}"/>
    <dataValidation allowBlank="1" showInputMessage="1" showErrorMessage="1" promptTitle="Controls" prompt="Enter per cent of total activity rate that is used in facilities with electrostatic precipitators (ESP), particle scrubbers (PC) or cyclones (CYC)" sqref="H7 H10" xr:uid="{00000000-0002-0000-0100-000005000000}"/>
    <dataValidation allowBlank="1" showInputMessage="1" showErrorMessage="1" promptTitle="Controls" prompt="Enter per cent of total activity rate that is used in facilities with particle filters + spray dryer absorbtion or wet flue gas de-sulphurisation" sqref="J7 J10" xr:uid="{00000000-0002-0000-0100-000006000000}"/>
    <dataValidation allowBlank="1" showInputMessage="1" showErrorMessage="1" promptTitle="Controls" prompt="Enter per cent of total activity rate that is used in facilities with fabric filters for particle control" sqref="I7 I10" xr:uid="{00000000-0002-0000-0100-000007000000}"/>
    <dataValidation allowBlank="1" showInputMessage="1" showErrorMessage="1" promptTitle="Controls" prompt="Enter per cent of total activity rate that is used in facilities with electrostatic precipitators (ESP) or particle scrubbers (PS)" sqref="H14 H17" xr:uid="{00000000-0002-0000-0100-000008000000}"/>
    <dataValidation allowBlank="1" showInputMessage="1" showErrorMessage="1" promptTitle="Controls" prompt="Enter per cent of total activity rate that is used in facilities with cold-side electrostatic presipitators (cESP) AND flue gas de-sulphurisation (FGD)" sqref="I14 I17" xr:uid="{00000000-0002-0000-0100-000009000000}"/>
    <dataValidation allowBlank="1" showInputMessage="1" showErrorMessage="1" promptTitle="Controls" prompt="Facilities/uses with no filters in place (automatically calculated)" sqref="G14 G28" xr:uid="{00000000-0002-0000-0100-00000A000000}"/>
    <dataValidation allowBlank="1" showInputMessage="1" showErrorMessage="1" promptTitle="Controls" prompt="Enter per cent of total activity rate that is used in natural gas processing with mercury removal" sqref="H28" xr:uid="{00000000-0002-0000-0100-00000B000000}"/>
    <dataValidation allowBlank="1" showInputMessage="1" showErrorMessage="1" promptTitle="Controls" prompt="Transport and facilities/uses with no filters in place (automatically calculated)" sqref="G17" xr:uid="{00000000-0002-0000-0100-00000C000000}"/>
    <dataValidation allowBlank="1" showInputMessage="1" showErrorMessage="1" promptTitle="Default controls" prompt="Cell is blue and reads &quot;Non-default controls entered here&quot;, if you have entered numbers for controls selection. If you want to include controls, enter &quot;y&quot; in column E for the sub-category in question. Otherwise ignore this message." sqref="M28 M10 M14 M7" xr:uid="{00000000-0002-0000-0100-00000D000000}"/>
    <dataValidation type="list" allowBlank="1" showInputMessage="1" showErrorMessage="1" sqref="E5 E8 E12 E15 E26" xr:uid="{00000000-0002-0000-0100-000010000000}">
      <formula1>yn</formula1>
    </dataValidation>
    <dataValidation allowBlank="1" showInputMessage="1" showErrorMessage="1" promptTitle="Deafult controls" prompt="Cell is blue and reads &quot;Non-default controls entered here&quot;, if you have entered numbers for controls selection. If you want to include controls, enter &quot;y&quot; in column E for the sub-category in question. Otherwise ignore this message." sqref="M17" xr:uid="{3A01EA57-2F3C-4DCC-A07B-B25C054D63A9}"/>
  </dataValidations>
  <pageMargins left="0.39370078740157483" right="0.39370078740157483" top="0.74803149606299213" bottom="0.74803149606299213" header="0.31496062992125984" footer="0.31496062992125984"/>
  <pageSetup paperSize="9" scale="70" orientation="landscape" r:id="rId2"/>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7" id="{00000000-000E-0000-0100-00000C000000}">
            <xm:f>OR($G$14&lt;&gt;'Default Controls'!$C$12)</xm:f>
            <x14:dxf>
              <font>
                <color theme="1"/>
              </font>
              <fill>
                <patternFill>
                  <bgColor rgb="FFFFFFCC"/>
                </patternFill>
              </fill>
            </x14:dxf>
          </x14:cfRule>
          <xm:sqref>M14</xm:sqref>
        </x14:conditionalFormatting>
        <x14:conditionalFormatting xmlns:xm="http://schemas.microsoft.com/office/excel/2006/main">
          <x14:cfRule type="expression" priority="16" id="{00000000-000E-0000-0100-00000B000000}">
            <xm:f>OR($G$17&lt;&gt;'Default Controls'!$C$15)</xm:f>
            <x14:dxf>
              <font>
                <color theme="1"/>
              </font>
              <fill>
                <patternFill>
                  <bgColor rgb="FFFFFFCC"/>
                </patternFill>
              </fill>
            </x14:dxf>
          </x14:cfRule>
          <xm:sqref>M17</xm:sqref>
        </x14:conditionalFormatting>
        <x14:conditionalFormatting xmlns:xm="http://schemas.microsoft.com/office/excel/2006/main">
          <x14:cfRule type="expression" priority="15" id="{00000000-000E-0000-0100-00000A000000}">
            <xm:f>OR($G$28&lt;&gt;'Default Controls'!$C$18)</xm:f>
            <x14:dxf>
              <font>
                <color theme="1"/>
              </font>
              <fill>
                <patternFill>
                  <bgColor rgb="FFFFFFCC"/>
                </patternFill>
              </fill>
            </x14:dxf>
          </x14:cfRule>
          <xm:sqref>M28</xm:sqref>
        </x14:conditionalFormatting>
        <x14:conditionalFormatting xmlns:xm="http://schemas.microsoft.com/office/excel/2006/main">
          <x14:cfRule type="expression" priority="19" id="{00000000-000E-0000-0100-00000C000000}">
            <xm:f>OR($G$7&lt;&gt;'Default Controls'!$C$6,$H$7&lt;&gt;'Default Controls'!$D$6,$I$7&lt;&gt;'Default Controls'!$E$6,$J$7&lt;&gt;'Default Controls'!$F$6,$K$7&lt;&gt;'Default Controls'!$G$6,$L$7&lt;&gt;'Default Controls'!$H$6)</xm:f>
            <x14:dxf>
              <font>
                <color theme="1"/>
              </font>
              <fill>
                <patternFill>
                  <bgColor rgb="FFFFFFCC"/>
                </patternFill>
              </fill>
            </x14:dxf>
          </x14:cfRule>
          <xm:sqref>M7</xm:sqref>
        </x14:conditionalFormatting>
        <x14:conditionalFormatting xmlns:xm="http://schemas.microsoft.com/office/excel/2006/main">
          <x14:cfRule type="expression" priority="53" id="{2D294E8F-C094-4B04-BBCF-78E62FF6E629}">
            <xm:f>'Insert IL2 results'!$K$11&lt;&gt;""</xm:f>
            <x14:dxf>
              <font>
                <color rgb="FFFF0000"/>
              </font>
            </x14:dxf>
          </x14:cfRule>
          <xm:sqref>A31</xm:sqref>
        </x14:conditionalFormatting>
        <x14:conditionalFormatting xmlns:xm="http://schemas.microsoft.com/office/excel/2006/main">
          <x14:cfRule type="expression" priority="6" id="{14C6912D-801E-0445-B672-CB777E9B1FAE}">
            <xm:f>OR($G$10&lt;&gt;'Default Controls'!$C$9,$H$10&lt;&gt;'Default Controls'!$D$9,$I$10&lt;&gt;'Default Controls'!$E$9,$J$10&lt;&gt;'Default Controls'!$F$9,$K$10&lt;&gt;'Default Controls'!$G$9,$L$10&lt;&gt;'Default Controls'!$H$9)</xm:f>
            <x14:dxf>
              <font>
                <strike val="0"/>
                <color theme="1"/>
              </font>
              <fill>
                <patternFill>
                  <bgColor rgb="FFFFFFCC"/>
                </patternFill>
              </fill>
            </x14:dxf>
          </x14:cfRule>
          <xm:sqref>M10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G73"/>
  <sheetViews>
    <sheetView workbookViewId="0">
      <selection activeCell="E4" sqref="E4"/>
    </sheetView>
  </sheetViews>
  <sheetFormatPr defaultColWidth="8.81640625" defaultRowHeight="12.5"/>
  <cols>
    <col min="1" max="1" width="50.1796875" customWidth="1"/>
    <col min="2" max="3" width="15.6328125" customWidth="1"/>
    <col min="4" max="4" width="15.81640625" customWidth="1"/>
    <col min="5" max="5" width="19" customWidth="1"/>
    <col min="6" max="6" width="15.81640625" customWidth="1"/>
  </cols>
  <sheetData>
    <row r="1" spans="1:7" ht="43.5">
      <c r="A1" s="356" t="s">
        <v>504</v>
      </c>
      <c r="B1" s="12" t="s">
        <v>907</v>
      </c>
      <c r="C1" s="12" t="s">
        <v>911</v>
      </c>
      <c r="D1" s="575" t="s">
        <v>916</v>
      </c>
      <c r="E1" s="12" t="s">
        <v>908</v>
      </c>
    </row>
    <row r="2" spans="1:7" ht="26">
      <c r="A2" s="453" t="s">
        <v>312</v>
      </c>
      <c r="B2" s="12"/>
      <c r="C2" s="12" t="s">
        <v>912</v>
      </c>
      <c r="D2" s="577"/>
      <c r="E2" s="53" t="s">
        <v>909</v>
      </c>
    </row>
    <row r="3" spans="1:7" ht="14.5">
      <c r="A3" s="453"/>
      <c r="B3" s="12"/>
      <c r="C3" s="53">
        <v>10</v>
      </c>
      <c r="D3" s="577"/>
      <c r="E3" s="9"/>
    </row>
    <row r="4" spans="1:7" ht="52">
      <c r="A4" s="58"/>
      <c r="B4" s="12" t="s">
        <v>834</v>
      </c>
      <c r="C4" s="566" t="s">
        <v>915</v>
      </c>
      <c r="D4" s="12" t="s">
        <v>917</v>
      </c>
      <c r="E4" s="12" t="s">
        <v>910</v>
      </c>
      <c r="F4" s="92" t="s">
        <v>918</v>
      </c>
      <c r="G4" s="92" t="s">
        <v>919</v>
      </c>
    </row>
    <row r="5" spans="1:7" ht="13">
      <c r="A5" s="393" t="str">
        <f>'Step2-Energy'!A4</f>
        <v>Energy consumption</v>
      </c>
      <c r="D5" s="576"/>
    </row>
    <row r="6" spans="1:7">
      <c r="A6" s="453" t="str">
        <f>'Step2-Energy'!A5</f>
        <v>Coal combustion in large power plants</v>
      </c>
      <c r="B6">
        <v>6.7227168213380929E-4</v>
      </c>
      <c r="C6">
        <f>$C$3</f>
        <v>10</v>
      </c>
      <c r="D6" s="574">
        <f t="shared" ref="D6:D34" si="0">IF(ISNUMBER(B6),B6*C6,"SKIP")</f>
        <v>6.7227168213380931E-3</v>
      </c>
      <c r="E6" s="578">
        <f>IF(ISNUMBER(D6),D6*'Step1-Country data'!$B$6,"SKIP")</f>
        <v>0</v>
      </c>
      <c r="F6" s="582" t="str">
        <f>IF('Level 1-summary of Hg inputs'!E5="","",'Level 1-summary of Hg inputs'!E5)</f>
        <v>Present?</v>
      </c>
      <c r="G6" t="str">
        <f>IF(ISNUMBER(F6),IF(F6&lt;E6,"y","n"),"")</f>
        <v/>
      </c>
    </row>
    <row r="7" spans="1:7">
      <c r="A7" s="453" t="str">
        <f>'Step2-Energy'!A8</f>
        <v>Coal combustion in coal fired industrial boilers</v>
      </c>
      <c r="D7" s="574"/>
      <c r="E7" s="578"/>
      <c r="F7" s="582"/>
    </row>
    <row r="8" spans="1:7">
      <c r="A8" s="453" t="str">
        <f>'Step2-Energy'!A11</f>
        <v>Other coal uses</v>
      </c>
      <c r="B8">
        <v>2.2364446616113013E-4</v>
      </c>
      <c r="C8" s="316">
        <v>20</v>
      </c>
      <c r="D8" s="574">
        <f t="shared" si="0"/>
        <v>4.4728893232226022E-3</v>
      </c>
      <c r="E8" s="578">
        <f>IF(ISNUMBER(D8),D8*'Step1-Country data'!$B$6,"SKIP")</f>
        <v>0</v>
      </c>
      <c r="F8" s="582" t="str">
        <f>IF('Level 1-summary of Hg inputs'!E7="","",'Level 1-summary of Hg inputs'!E7)</f>
        <v>Present?</v>
      </c>
      <c r="G8" t="str">
        <f t="shared" ref="G8:G71" si="1">IF(ISNUMBER(F8),IF(F8&lt;E8,"y","n"),"")</f>
        <v/>
      </c>
    </row>
    <row r="9" spans="1:7">
      <c r="A9" s="453" t="str">
        <f>'Step2-Energy'!A12</f>
        <v>Combustion/use of petroleum coke and heavy oil</v>
      </c>
      <c r="B9">
        <v>1.0032298136645963E-4</v>
      </c>
      <c r="C9">
        <f t="shared" ref="C9:C71" si="2">$C$3</f>
        <v>10</v>
      </c>
      <c r="D9" s="574">
        <f t="shared" si="0"/>
        <v>1.0032298136645962E-3</v>
      </c>
      <c r="E9" s="578">
        <f>IF(ISNUMBER(D9),D9*'Step1-Country data'!$B$6,"SKIP")</f>
        <v>0</v>
      </c>
      <c r="F9" s="582" t="str">
        <f>IF('Level 1-summary of Hg inputs'!E8="","""",'Level 1-summary of Hg inputs'!E8)</f>
        <v>Present?</v>
      </c>
      <c r="G9" t="str">
        <f t="shared" si="1"/>
        <v/>
      </c>
    </row>
    <row r="10" spans="1:7" ht="25">
      <c r="A10" s="453" t="str">
        <f>'Step2-Energy'!A15</f>
        <v>Combustion/use of diesel, gasoil, petroleum, kerosene, LPG and other light to medium distillates</v>
      </c>
      <c r="B10">
        <v>1.6173158415841584E-5</v>
      </c>
      <c r="C10">
        <f t="shared" si="2"/>
        <v>10</v>
      </c>
      <c r="D10" s="574">
        <f t="shared" si="0"/>
        <v>1.6173158415841584E-4</v>
      </c>
      <c r="E10" s="578">
        <f>IF(ISNUMBER(D10),D10*'Step1-Country data'!$B$6,"SKIP")</f>
        <v>0</v>
      </c>
      <c r="F10" s="582" t="str">
        <f>IF('Level 1-summary of Hg inputs'!E9="","",'Level 1-summary of Hg inputs'!E9)</f>
        <v>Present?</v>
      </c>
      <c r="G10" t="str">
        <f t="shared" si="1"/>
        <v/>
      </c>
    </row>
    <row r="11" spans="1:7">
      <c r="A11" s="453" t="str">
        <f>'Step2-Energy'!A18</f>
        <v>Use of raw or pre-cleaned natural gas</v>
      </c>
      <c r="B11">
        <v>3.7316770186335403E-5</v>
      </c>
      <c r="C11">
        <f t="shared" si="2"/>
        <v>10</v>
      </c>
      <c r="D11" s="574">
        <f t="shared" si="0"/>
        <v>3.7316770186335404E-4</v>
      </c>
      <c r="E11" s="578">
        <f>IF(ISNUMBER(D11),D11*'Step1-Country data'!$B$6,"SKIP")</f>
        <v>0</v>
      </c>
      <c r="F11" s="582" t="str">
        <f>IF('Level 1-summary of Hg inputs'!E10="","",'Level 1-summary of Hg inputs'!E10)</f>
        <v>Present?</v>
      </c>
      <c r="G11" t="str">
        <f t="shared" si="1"/>
        <v/>
      </c>
    </row>
    <row r="12" spans="1:7">
      <c r="A12" s="453" t="str">
        <f>'Step2-Energy'!A19</f>
        <v>Use of pipeline gas (consumer quality)</v>
      </c>
      <c r="B12">
        <v>3.066424807808586E-6</v>
      </c>
      <c r="C12" s="316">
        <v>100</v>
      </c>
      <c r="D12" s="574">
        <f t="shared" si="0"/>
        <v>3.0664248078085858E-4</v>
      </c>
      <c r="E12" s="578">
        <f>IF(ISNUMBER(D12),D12*'Step1-Country data'!$B$6,"SKIP")</f>
        <v>0</v>
      </c>
      <c r="F12" s="582" t="str">
        <f>IF('Level 1-summary of Hg inputs'!E11="","",'Level 1-summary of Hg inputs'!E11)</f>
        <v>Present?</v>
      </c>
      <c r="G12" t="str">
        <f t="shared" si="1"/>
        <v/>
      </c>
    </row>
    <row r="13" spans="1:7">
      <c r="A13" s="453" t="str">
        <f>'Step2-Energy'!A20</f>
        <v>Biomass fired power and heat production</v>
      </c>
      <c r="B13">
        <v>2.1352177849016704E-5</v>
      </c>
      <c r="C13">
        <f t="shared" si="2"/>
        <v>10</v>
      </c>
      <c r="D13" s="574">
        <f t="shared" si="0"/>
        <v>2.1352177849016704E-4</v>
      </c>
      <c r="E13" s="578">
        <f>IF(ISNUMBER(D13),D13*'Step1-Country data'!$B$6,"SKIP")</f>
        <v>0</v>
      </c>
      <c r="F13" s="582" t="str">
        <f>IF('Level 1-summary of Hg inputs'!E12="","",'Level 1-summary of Hg inputs'!E12)</f>
        <v>Present?</v>
      </c>
      <c r="G13" t="str">
        <f t="shared" si="1"/>
        <v/>
      </c>
    </row>
    <row r="14" spans="1:7">
      <c r="A14" s="453" t="str">
        <f>'Step2-Energy'!A21</f>
        <v>Charcoal combustion</v>
      </c>
      <c r="B14">
        <v>2.6555239118131514E-5</v>
      </c>
      <c r="C14">
        <f t="shared" si="2"/>
        <v>10</v>
      </c>
      <c r="D14" s="574">
        <f t="shared" si="0"/>
        <v>2.6555239118131516E-4</v>
      </c>
      <c r="E14" s="578">
        <f>IF(ISNUMBER(D14),D14*'Step1-Country data'!$B$6,"SKIP")</f>
        <v>0</v>
      </c>
      <c r="F14" s="582" t="str">
        <f>IF('Level 1-summary of Hg inputs'!E13="","",'Level 1-summary of Hg inputs'!E13)</f>
        <v>Present?</v>
      </c>
      <c r="G14" t="str">
        <f t="shared" si="1"/>
        <v/>
      </c>
    </row>
    <row r="15" spans="1:7" ht="13">
      <c r="A15" s="393" t="str">
        <f>'Step2-Energy'!A23</f>
        <v>Fuel production</v>
      </c>
      <c r="B15">
        <v>0</v>
      </c>
      <c r="C15">
        <f t="shared" si="2"/>
        <v>10</v>
      </c>
      <c r="D15" s="574">
        <f t="shared" si="0"/>
        <v>0</v>
      </c>
      <c r="E15" s="578">
        <f>IF(ISNUMBER(D15),D15*'Step1-Country data'!$B$6,"SKIP")</f>
        <v>0</v>
      </c>
      <c r="F15" s="582" t="str">
        <f>IF('Level 1-summary of Hg inputs'!E14="","",'Level 1-summary of Hg inputs'!E14)</f>
        <v/>
      </c>
      <c r="G15" t="str">
        <f t="shared" si="1"/>
        <v/>
      </c>
    </row>
    <row r="16" spans="1:7">
      <c r="A16" s="453" t="str">
        <f>'Step2-Energy'!A24</f>
        <v>Oil extraction</v>
      </c>
      <c r="B16">
        <v>5.112380952380952E-4</v>
      </c>
      <c r="C16">
        <f t="shared" si="2"/>
        <v>10</v>
      </c>
      <c r="D16" s="574">
        <f t="shared" si="0"/>
        <v>5.1123809523809516E-3</v>
      </c>
      <c r="E16" s="578">
        <f>IF(ISNUMBER(D16),D16*'Step1-Country data'!$B$6,"SKIP")</f>
        <v>0</v>
      </c>
      <c r="F16" s="582" t="str">
        <f>IF('Level 1-summary of Hg inputs'!E15="","",'Level 1-summary of Hg inputs'!E15)</f>
        <v>Present?</v>
      </c>
      <c r="G16" t="str">
        <f t="shared" si="1"/>
        <v/>
      </c>
    </row>
    <row r="17" spans="1:7">
      <c r="A17" s="453" t="str">
        <f>'Step2-Energy'!A25</f>
        <v>Oil refining</v>
      </c>
      <c r="B17">
        <v>1.7505590062111802E-4</v>
      </c>
      <c r="C17" s="316">
        <v>30</v>
      </c>
      <c r="D17" s="574">
        <f t="shared" si="0"/>
        <v>5.2516770186335406E-3</v>
      </c>
      <c r="E17" s="578">
        <f>IF(ISNUMBER(D17),D17*'Step1-Country data'!$B$6,"SKIP")</f>
        <v>0</v>
      </c>
      <c r="F17" s="582" t="str">
        <f>IF('Level 1-summary of Hg inputs'!E16="","",'Level 1-summary of Hg inputs'!E16)</f>
        <v>Present?</v>
      </c>
      <c r="G17" t="str">
        <f t="shared" si="1"/>
        <v/>
      </c>
    </row>
    <row r="18" spans="1:7">
      <c r="A18" s="453" t="str">
        <f>'Step2-Energy'!A26</f>
        <v>Extraction and processing of natural gas</v>
      </c>
      <c r="B18">
        <v>2.0723809523809524E-4</v>
      </c>
      <c r="C18">
        <f t="shared" si="2"/>
        <v>10</v>
      </c>
      <c r="D18" s="574">
        <f t="shared" si="0"/>
        <v>2.0723809523809523E-3</v>
      </c>
      <c r="E18" s="578">
        <f>IF(ISNUMBER(D18),D18*'Step1-Country data'!$B$6,"SKIP")</f>
        <v>0</v>
      </c>
      <c r="F18" s="582" t="str">
        <f>IF('Level 1-summary of Hg inputs'!E17="","",'Level 1-summary of Hg inputs'!E17)</f>
        <v>Present?</v>
      </c>
      <c r="G18" t="str">
        <f t="shared" si="1"/>
        <v/>
      </c>
    </row>
    <row r="19" spans="1:7" ht="13">
      <c r="A19" s="393" t="str">
        <f>'Step3-Metals-RawMat'!A5</f>
        <v>Primary metal production</v>
      </c>
      <c r="B19">
        <v>0</v>
      </c>
      <c r="C19">
        <f t="shared" si="2"/>
        <v>10</v>
      </c>
      <c r="D19" s="574">
        <f t="shared" si="0"/>
        <v>0</v>
      </c>
      <c r="E19" s="578">
        <f>IF(ISNUMBER(D19),D19*'Step1-Country data'!$B$6,"SKIP")</f>
        <v>0</v>
      </c>
      <c r="F19" s="582" t="str">
        <f>IF('Level 1-summary of Hg inputs'!E18="","",'Level 1-summary of Hg inputs'!E18)</f>
        <v/>
      </c>
      <c r="G19" t="str">
        <f t="shared" si="1"/>
        <v/>
      </c>
    </row>
    <row r="20" spans="1:7" ht="14.5">
      <c r="A20" s="571" t="str">
        <f>'Step3-Metals-RawMat'!A6</f>
        <v>Mercury (primary) extraction and initial processing</v>
      </c>
      <c r="B20">
        <v>4.9587833629833274E-2</v>
      </c>
      <c r="C20">
        <f t="shared" si="2"/>
        <v>10</v>
      </c>
      <c r="D20" s="574">
        <f t="shared" si="0"/>
        <v>0.49587833629833272</v>
      </c>
      <c r="E20" s="578">
        <f>IF(ISNUMBER(D20),D20*'Step1-Country data'!$B$6,"SKIP")</f>
        <v>0</v>
      </c>
      <c r="F20" s="582" t="str">
        <f>IF('Level 1-summary of Hg inputs'!E19="","",'Level 1-summary of Hg inputs'!E19)</f>
        <v>Present?</v>
      </c>
      <c r="G20" t="str">
        <f t="shared" si="1"/>
        <v/>
      </c>
    </row>
    <row r="21" spans="1:7">
      <c r="A21" s="453" t="str">
        <f>'Step3-Metals-RawMat'!A7</f>
        <v>Production of zinc from concentrates</v>
      </c>
      <c r="B21">
        <v>4.7096817600753547E-4</v>
      </c>
      <c r="C21" s="316">
        <v>200</v>
      </c>
      <c r="D21" s="574">
        <f t="shared" si="0"/>
        <v>9.41936352015071E-2</v>
      </c>
      <c r="E21" s="578">
        <f>IF(ISNUMBER(D21),D21*'Step1-Country data'!$B$6,"SKIP")</f>
        <v>0</v>
      </c>
      <c r="F21" s="582" t="str">
        <f>IF('Level 1-summary of Hg inputs'!E20="","",'Level 1-summary of Hg inputs'!E20)</f>
        <v>Present?</v>
      </c>
      <c r="G21" t="str">
        <f t="shared" si="1"/>
        <v/>
      </c>
    </row>
    <row r="22" spans="1:7">
      <c r="A22" s="453" t="str">
        <f>'Step3-Metals-RawMat'!A10</f>
        <v>Production of copper from concentrates</v>
      </c>
      <c r="B22">
        <v>1.1711757298861753E-2</v>
      </c>
      <c r="C22">
        <f t="shared" si="2"/>
        <v>10</v>
      </c>
      <c r="D22" s="574">
        <f t="shared" si="0"/>
        <v>0.11711757298861752</v>
      </c>
      <c r="E22" s="578">
        <f>IF(ISNUMBER(D22),D22*'Step1-Country data'!$B$6,"SKIP")</f>
        <v>0</v>
      </c>
      <c r="F22" s="582" t="str">
        <f>IF('Level 1-summary of Hg inputs'!E21="","",'Level 1-summary of Hg inputs'!E21)</f>
        <v>Present?</v>
      </c>
      <c r="G22" t="str">
        <f t="shared" si="1"/>
        <v/>
      </c>
    </row>
    <row r="23" spans="1:7">
      <c r="A23" s="453" t="str">
        <f>'Step3-Metals-RawMat'!A13</f>
        <v>Production of lead from concentrates</v>
      </c>
      <c r="B23">
        <v>4.5302653120724842E-4</v>
      </c>
      <c r="C23" s="316">
        <v>200</v>
      </c>
      <c r="D23" s="574">
        <f t="shared" si="0"/>
        <v>9.060530624144969E-2</v>
      </c>
      <c r="E23" s="578">
        <f>IF(ISNUMBER(D23),D23*'Step1-Country data'!$B$6,"SKIP")</f>
        <v>0</v>
      </c>
      <c r="F23" s="582" t="str">
        <f>IF('Level 1-summary of Hg inputs'!E22="","",'Level 1-summary of Hg inputs'!E22)</f>
        <v>Present?</v>
      </c>
      <c r="G23" t="str">
        <f t="shared" si="1"/>
        <v/>
      </c>
    </row>
    <row r="24" spans="1:7" ht="25">
      <c r="A24" s="453" t="str">
        <f>'Step3-Metals-RawMat'!A16</f>
        <v>Gold extraction by methods other than mercury amalgamation</v>
      </c>
      <c r="B24">
        <v>0.19547223276627479</v>
      </c>
      <c r="C24">
        <f t="shared" si="2"/>
        <v>10</v>
      </c>
      <c r="D24" s="574">
        <f t="shared" si="0"/>
        <v>1.9547223276627479</v>
      </c>
      <c r="E24" s="578">
        <f>IF(ISNUMBER(D24),D24*'Step1-Country data'!$B$6,"SKIP")</f>
        <v>0</v>
      </c>
      <c r="F24" s="582" t="str">
        <f>IF('Level 1-summary of Hg inputs'!E23="","",'Level 1-summary of Hg inputs'!E23)</f>
        <v>Present?</v>
      </c>
      <c r="G24" t="str">
        <f t="shared" si="1"/>
        <v/>
      </c>
    </row>
    <row r="25" spans="1:7">
      <c r="A25" s="453" t="str">
        <f>'Step3-Metals-RawMat'!A17</f>
        <v>Alumina production from bauxite (aluminium production)</v>
      </c>
      <c r="B25">
        <v>1.024066800980033E-5</v>
      </c>
      <c r="C25">
        <f t="shared" si="2"/>
        <v>10</v>
      </c>
      <c r="D25" s="574">
        <f t="shared" si="0"/>
        <v>1.024066800980033E-4</v>
      </c>
      <c r="E25" s="578">
        <f>IF(ISNUMBER(D25),D25*'Step1-Country data'!$B$6,"SKIP")</f>
        <v>0</v>
      </c>
      <c r="F25" s="582" t="str">
        <f>IF('Level 1-summary of Hg inputs'!E24="","",'Level 1-summary of Hg inputs'!E24)</f>
        <v>Present?</v>
      </c>
      <c r="G25" t="str">
        <f t="shared" si="1"/>
        <v/>
      </c>
    </row>
    <row r="26" spans="1:7">
      <c r="A26" s="453" t="str">
        <f>'Step3-Metals-RawMat'!A18</f>
        <v>Primary ferrous metal production (pig iron production)</v>
      </c>
      <c r="B26">
        <v>6.6708080643022112E-5</v>
      </c>
      <c r="C26">
        <f t="shared" si="2"/>
        <v>10</v>
      </c>
      <c r="D26" s="574">
        <f t="shared" si="0"/>
        <v>6.6708080643022112E-4</v>
      </c>
      <c r="E26" s="578">
        <f>IF(ISNUMBER(D26),D26*'Step1-Country data'!$B$6,"SKIP")</f>
        <v>0</v>
      </c>
      <c r="F26" s="582" t="str">
        <f>IF('Level 1-summary of Hg inputs'!E25="","",'Level 1-summary of Hg inputs'!E25)</f>
        <v>Present?</v>
      </c>
      <c r="G26" t="str">
        <f t="shared" si="1"/>
        <v/>
      </c>
    </row>
    <row r="27" spans="1:7">
      <c r="A27" s="453" t="str">
        <f>'Step3-Metals-RawMat'!A19</f>
        <v>Gold extraction with mercury amalgamation - from whole ore</v>
      </c>
      <c r="B27">
        <v>1.0861473345961381E-3</v>
      </c>
      <c r="C27">
        <f t="shared" si="2"/>
        <v>10</v>
      </c>
      <c r="D27" s="574">
        <f t="shared" si="0"/>
        <v>1.0861473345961381E-2</v>
      </c>
      <c r="E27" s="578">
        <f>IF(ISNUMBER(D27),D27*'Step1-Country data'!$B$6,"SKIP")</f>
        <v>0</v>
      </c>
      <c r="F27" s="582" t="str">
        <f>IF('Level 1-summary of Hg inputs'!E26="","",'Level 1-summary of Hg inputs'!E26)</f>
        <v>Present?</v>
      </c>
      <c r="G27" t="str">
        <f t="shared" si="1"/>
        <v/>
      </c>
    </row>
    <row r="28" spans="1:7" ht="25">
      <c r="A28" s="453" t="str">
        <f>'Step3-Metals-RawMat'!A22</f>
        <v>Gold extraction with mercury amalgamation - from concentrate</v>
      </c>
      <c r="B28">
        <v>6.50839232784204E-10</v>
      </c>
      <c r="C28" s="316">
        <v>1000000</v>
      </c>
      <c r="D28" s="574">
        <f t="shared" si="0"/>
        <v>6.5083923278420398E-4</v>
      </c>
      <c r="E28" s="578">
        <f>IF(ISNUMBER(D28),D28*'Step1-Country data'!$B$6,"SKIP")</f>
        <v>0</v>
      </c>
      <c r="F28" s="582" t="str">
        <f>IF('Level 1-summary of Hg inputs'!E27="","",'Level 1-summary of Hg inputs'!E27)</f>
        <v>Present?</v>
      </c>
      <c r="G28" t="str">
        <f t="shared" si="1"/>
        <v/>
      </c>
    </row>
    <row r="29" spans="1:7" ht="13">
      <c r="A29" s="393" t="str">
        <f>'Step3-Metals-RawMat'!A25</f>
        <v>Other materials production</v>
      </c>
      <c r="B29">
        <v>0</v>
      </c>
      <c r="C29">
        <f t="shared" si="2"/>
        <v>10</v>
      </c>
      <c r="D29" s="574">
        <f t="shared" si="0"/>
        <v>0</v>
      </c>
      <c r="E29" s="578">
        <f>IF(ISNUMBER(D29),D29*'Step1-Country data'!$B$6,"SKIP")</f>
        <v>0</v>
      </c>
      <c r="F29" s="582" t="str">
        <f>IF('Level 1-summary of Hg inputs'!E28="","",'Level 1-summary of Hg inputs'!E28)</f>
        <v/>
      </c>
      <c r="G29" t="str">
        <f t="shared" si="1"/>
        <v/>
      </c>
    </row>
    <row r="30" spans="1:7">
      <c r="A30" s="453" t="str">
        <f>'Step3-Metals-RawMat'!A26</f>
        <v>Cement clinker production</v>
      </c>
      <c r="B30">
        <v>4.1647022787699354E-4</v>
      </c>
      <c r="C30">
        <f t="shared" si="2"/>
        <v>10</v>
      </c>
      <c r="D30" s="574">
        <f t="shared" si="0"/>
        <v>4.1647022787699352E-3</v>
      </c>
      <c r="E30" s="578">
        <f>IF(ISNUMBER(D30),D30*'Step1-Country data'!$B$6,"SKIP")</f>
        <v>0</v>
      </c>
      <c r="F30" s="582" t="str">
        <f>IF('Level 1-summary of Hg inputs'!E29="","",'Level 1-summary of Hg inputs'!E29)</f>
        <v>Present?</v>
      </c>
      <c r="G30" t="str">
        <f t="shared" si="1"/>
        <v/>
      </c>
    </row>
    <row r="31" spans="1:7">
      <c r="A31" s="453" t="str">
        <f>'Step3-Metals-RawMat'!A31</f>
        <v>Pulp and paper production</v>
      </c>
      <c r="B31">
        <v>2.1555240695590912E-6</v>
      </c>
      <c r="C31">
        <f t="shared" si="2"/>
        <v>10</v>
      </c>
      <c r="D31" s="574">
        <f t="shared" si="0"/>
        <v>2.1555240695590913E-5</v>
      </c>
      <c r="E31" s="578">
        <f>IF(ISNUMBER(D31),D31*'Step1-Country data'!$B$6,"SKIP")</f>
        <v>0</v>
      </c>
      <c r="F31" s="582" t="str">
        <f>IF('Level 1-summary of Hg inputs'!E30="","",'Level 1-summary of Hg inputs'!E30)</f>
        <v>Present?</v>
      </c>
      <c r="G31" t="str">
        <f t="shared" si="1"/>
        <v/>
      </c>
    </row>
    <row r="32" spans="1:7" ht="13">
      <c r="A32" s="393" t="str">
        <f>'Step4-Industrial Hg use'!A4</f>
        <v>Production of chemicals</v>
      </c>
      <c r="B32">
        <v>0</v>
      </c>
      <c r="C32">
        <f t="shared" si="2"/>
        <v>10</v>
      </c>
      <c r="D32" s="574">
        <f t="shared" si="0"/>
        <v>0</v>
      </c>
      <c r="E32" s="578">
        <f>IF(ISNUMBER(D32),D32*'Step1-Country data'!$B$6,"SKIP")</f>
        <v>0</v>
      </c>
      <c r="F32" s="582" t="str">
        <f>IF('Level 1-summary of Hg inputs'!E31="","",'Level 1-summary of Hg inputs'!E31)</f>
        <v/>
      </c>
      <c r="G32" t="str">
        <f t="shared" si="1"/>
        <v/>
      </c>
    </row>
    <row r="33" spans="1:7">
      <c r="A33" s="453" t="str">
        <f>'Step4-Industrial Hg use'!A5</f>
        <v>Chlor-alkali production with mercury-cells</v>
      </c>
      <c r="B33">
        <v>1.2788374205267939E-4</v>
      </c>
      <c r="C33">
        <f t="shared" si="2"/>
        <v>10</v>
      </c>
      <c r="D33" s="574">
        <f t="shared" si="0"/>
        <v>1.2788374205267938E-3</v>
      </c>
      <c r="E33" s="578">
        <f>IF(ISNUMBER(D33),D33*'Step1-Country data'!$B$6,"SKIP")</f>
        <v>0</v>
      </c>
      <c r="F33" s="582" t="str">
        <f>IF('Level 1-summary of Hg inputs'!E32="","",'Level 1-summary of Hg inputs'!E32)</f>
        <v>Present?</v>
      </c>
      <c r="G33" t="str">
        <f t="shared" si="1"/>
        <v/>
      </c>
    </row>
    <row r="34" spans="1:7" ht="14.5">
      <c r="A34" s="571" t="str">
        <f>'Step4-Industrial Hg use'!A6</f>
        <v>VCM production with mercury catalyst</v>
      </c>
      <c r="B34">
        <v>1.0916327136237051E-4</v>
      </c>
      <c r="C34" s="316">
        <v>200</v>
      </c>
      <c r="D34" s="574">
        <f t="shared" si="0"/>
        <v>2.1832654272474102E-2</v>
      </c>
      <c r="E34" s="578">
        <f>IF(ISNUMBER(D34),D34*'Step1-Country data'!$B$6,"SKIP")</f>
        <v>0</v>
      </c>
      <c r="F34" s="582" t="str">
        <f>IF('Level 1-summary of Hg inputs'!E33="","",'Level 1-summary of Hg inputs'!E33)</f>
        <v>Present?</v>
      </c>
      <c r="G34" t="str">
        <f t="shared" si="1"/>
        <v/>
      </c>
    </row>
    <row r="35" spans="1:7" ht="14.5">
      <c r="A35" s="571" t="str">
        <f>'Step4-Industrial Hg use'!A7</f>
        <v>Acetaldehyde production with mercury catalyst</v>
      </c>
      <c r="B35" s="573" t="s">
        <v>913</v>
      </c>
      <c r="C35">
        <f t="shared" si="2"/>
        <v>10</v>
      </c>
      <c r="D35" s="574" t="str">
        <f>IF(ISNUMBER(B35),B35*C35,"SKIP")</f>
        <v>SKIP</v>
      </c>
      <c r="E35" s="578" t="str">
        <f>IF(ISNUMBER(D35),D35*'Step1-Country data'!$B$6,"SKIP")</f>
        <v>SKIP</v>
      </c>
      <c r="F35" s="582" t="str">
        <f>IF('Level 1-summary of Hg inputs'!E34="","",'Level 1-summary of Hg inputs'!E34)</f>
        <v>Present?</v>
      </c>
      <c r="G35" t="str">
        <f t="shared" si="1"/>
        <v/>
      </c>
    </row>
    <row r="36" spans="1:7" ht="13">
      <c r="A36" s="393" t="str">
        <f>'Step4-Industrial Hg use'!A9</f>
        <v>Production of products with mercury content</v>
      </c>
      <c r="B36" s="573"/>
      <c r="C36">
        <f t="shared" si="2"/>
        <v>10</v>
      </c>
      <c r="D36" s="574" t="str">
        <f t="shared" ref="D36:D73" si="3">IF(ISNUMBER(B36),B36*C36,"SKIP")</f>
        <v>SKIP</v>
      </c>
      <c r="E36" s="578" t="str">
        <f>IF(ISNUMBER(D36),D36*'Step1-Country data'!$B$6,"SKIP")</f>
        <v>SKIP</v>
      </c>
      <c r="F36" s="582" t="str">
        <f>IF('Level 1-summary of Hg inputs'!E35="","",'Level 1-summary of Hg inputs'!E35)</f>
        <v/>
      </c>
      <c r="G36" t="str">
        <f t="shared" si="1"/>
        <v/>
      </c>
    </row>
    <row r="37" spans="1:7" ht="14.5">
      <c r="A37" s="571" t="str">
        <f>'Step4-Industrial Hg use'!A10</f>
        <v xml:space="preserve">Hg thermometers (medical, air, lab, industrial etc.) </v>
      </c>
      <c r="B37" s="579">
        <f>B40</f>
        <v>1.0046862845014277E-4</v>
      </c>
      <c r="C37">
        <f t="shared" si="2"/>
        <v>10</v>
      </c>
      <c r="D37" s="574">
        <f t="shared" si="3"/>
        <v>1.0046862845014277E-3</v>
      </c>
      <c r="E37" s="578">
        <f>IF(ISNUMBER(D37),D37*'Step1-Country data'!$B$6,"SKIP")</f>
        <v>0</v>
      </c>
      <c r="F37" s="582" t="str">
        <f>IF('Level 1-summary of Hg inputs'!E36="","",'Level 1-summary of Hg inputs'!E36)</f>
        <v>Present?</v>
      </c>
      <c r="G37" t="str">
        <f t="shared" si="1"/>
        <v/>
      </c>
    </row>
    <row r="38" spans="1:7" ht="14.5">
      <c r="A38" s="571" t="str">
        <f>'Step4-Industrial Hg use'!A11</f>
        <v xml:space="preserve">Electrical switches and relays with mercury </v>
      </c>
      <c r="B38" s="579">
        <f>B40</f>
        <v>1.0046862845014277E-4</v>
      </c>
      <c r="C38">
        <f t="shared" si="2"/>
        <v>10</v>
      </c>
      <c r="D38" s="574">
        <f t="shared" si="3"/>
        <v>1.0046862845014277E-3</v>
      </c>
      <c r="E38" s="578">
        <f>IF(ISNUMBER(D38),D38*'Step1-Country data'!$B$6,"SKIP")</f>
        <v>0</v>
      </c>
      <c r="F38" s="582" t="str">
        <f>IF('Level 1-summary of Hg inputs'!E37="","",'Level 1-summary of Hg inputs'!E37)</f>
        <v>Present?</v>
      </c>
      <c r="G38" t="str">
        <f t="shared" si="1"/>
        <v/>
      </c>
    </row>
    <row r="39" spans="1:7" ht="25">
      <c r="A39" s="453" t="str">
        <f>'Step4-Industrial Hg use'!A12</f>
        <v xml:space="preserve">Light sources with mercury (fluorescent, compact, others: see guideline) </v>
      </c>
      <c r="B39">
        <v>2.4752475247524754E-7</v>
      </c>
      <c r="C39" s="316">
        <v>1000</v>
      </c>
      <c r="D39" s="574">
        <f t="shared" si="3"/>
        <v>2.4752475247524753E-4</v>
      </c>
      <c r="E39" s="578">
        <f>IF(ISNUMBER(D39),D39*'Step1-Country data'!$B$6,"SKIP")</f>
        <v>0</v>
      </c>
      <c r="F39" s="582" t="str">
        <f>IF('Level 1-summary of Hg inputs'!E38="","",'Level 1-summary of Hg inputs'!E38)</f>
        <v>Present?</v>
      </c>
      <c r="G39" t="str">
        <f t="shared" si="1"/>
        <v/>
      </c>
    </row>
    <row r="40" spans="1:7">
      <c r="A40" s="453" t="str">
        <f>'Step4-Industrial Hg use'!A13</f>
        <v xml:space="preserve">Batteries with mercury </v>
      </c>
      <c r="B40">
        <v>1.0046862845014277E-4</v>
      </c>
      <c r="C40">
        <f t="shared" si="2"/>
        <v>10</v>
      </c>
      <c r="D40" s="574">
        <f t="shared" si="3"/>
        <v>1.0046862845014277E-3</v>
      </c>
      <c r="E40" s="578">
        <f>IF(ISNUMBER(D40),D40*'Step1-Country data'!$B$6,"SKIP")</f>
        <v>0</v>
      </c>
      <c r="F40" s="582" t="str">
        <f>IF('Level 1-summary of Hg inputs'!E39="","",'Level 1-summary of Hg inputs'!E39)</f>
        <v>Present?</v>
      </c>
      <c r="G40" t="str">
        <f t="shared" si="1"/>
        <v/>
      </c>
    </row>
    <row r="41" spans="1:7" ht="14.5">
      <c r="A41" s="571" t="str">
        <f>'Step4-Industrial Hg use'!A14</f>
        <v xml:space="preserve">Manometers and gauges with mercury </v>
      </c>
      <c r="B41" s="580">
        <f>$B$40</f>
        <v>1.0046862845014277E-4</v>
      </c>
      <c r="C41">
        <f t="shared" si="2"/>
        <v>10</v>
      </c>
      <c r="D41" s="574">
        <f t="shared" si="3"/>
        <v>1.0046862845014277E-3</v>
      </c>
      <c r="E41" s="578">
        <f>IF(ISNUMBER(D41),D41*'Step1-Country data'!$B$6,"SKIP")</f>
        <v>0</v>
      </c>
      <c r="F41" s="582" t="str">
        <f>IF('Level 1-summary of Hg inputs'!E40="","",'Level 1-summary of Hg inputs'!E40)</f>
        <v>Present?</v>
      </c>
      <c r="G41" t="str">
        <f t="shared" si="1"/>
        <v/>
      </c>
    </row>
    <row r="42" spans="1:7" ht="14.5">
      <c r="A42" s="571" t="str">
        <f>'Step4-Industrial Hg use'!A15</f>
        <v xml:space="preserve">Biocides and pesticides with mercury </v>
      </c>
      <c r="B42" s="580">
        <f>$B$40</f>
        <v>1.0046862845014277E-4</v>
      </c>
      <c r="C42">
        <f t="shared" si="2"/>
        <v>10</v>
      </c>
      <c r="D42" s="574">
        <f t="shared" si="3"/>
        <v>1.0046862845014277E-3</v>
      </c>
      <c r="E42" s="578">
        <f>IF(ISNUMBER(D42),D42*'Step1-Country data'!$B$6,"SKIP")</f>
        <v>0</v>
      </c>
      <c r="F42" s="582" t="str">
        <f>IF('Level 1-summary of Hg inputs'!E41="","",'Level 1-summary of Hg inputs'!E41)</f>
        <v>Present?</v>
      </c>
      <c r="G42" t="str">
        <f t="shared" si="1"/>
        <v/>
      </c>
    </row>
    <row r="43" spans="1:7">
      <c r="A43" s="453" t="str">
        <f>'Step4-Industrial Hg use'!A16</f>
        <v xml:space="preserve">Paints with mercury </v>
      </c>
      <c r="B43">
        <v>2.4752475247524754E-5</v>
      </c>
      <c r="C43">
        <f t="shared" si="2"/>
        <v>10</v>
      </c>
      <c r="D43" s="574">
        <f t="shared" si="3"/>
        <v>2.4752475247524753E-4</v>
      </c>
      <c r="E43" s="578">
        <f>IF(ISNUMBER(D43),D43*'Step1-Country data'!$B$6,"SKIP")</f>
        <v>0</v>
      </c>
      <c r="F43" s="582" t="str">
        <f>IF('Level 1-summary of Hg inputs'!E42="","",'Level 1-summary of Hg inputs'!E42)</f>
        <v>Present?</v>
      </c>
      <c r="G43" t="str">
        <f t="shared" si="1"/>
        <v/>
      </c>
    </row>
    <row r="44" spans="1:7">
      <c r="A44" s="453" t="str">
        <f>'Step4-Industrial Hg use'!A17</f>
        <v xml:space="preserve">Skin lightening creams and soaps with mercury chemicals </v>
      </c>
      <c r="B44">
        <v>2.4752475247524754E-5</v>
      </c>
      <c r="C44">
        <v>10</v>
      </c>
      <c r="D44" s="574">
        <f t="shared" si="3"/>
        <v>2.4752475247524753E-4</v>
      </c>
      <c r="E44" s="578">
        <f>IF(ISNUMBER(D44),D44*'Step1-Country data'!$B$6,"SKIP")</f>
        <v>0</v>
      </c>
      <c r="F44" s="582" t="str">
        <f>IF('Level 1-summary of Hg inputs'!E43="","",'Level 1-summary of Hg inputs'!E43)</f>
        <v>Present?</v>
      </c>
      <c r="G44" t="str">
        <f t="shared" si="1"/>
        <v/>
      </c>
    </row>
    <row r="45" spans="1:7" ht="13">
      <c r="A45" s="393" t="str">
        <f>'Step6-Hg products-substances'!A6</f>
        <v>Use and disposal of products with mercury content</v>
      </c>
      <c r="B45">
        <v>0</v>
      </c>
      <c r="C45">
        <f t="shared" si="2"/>
        <v>10</v>
      </c>
      <c r="D45" s="574">
        <f t="shared" si="3"/>
        <v>0</v>
      </c>
      <c r="E45" s="578">
        <f>IF(ISNUMBER(D45),D45*'Step1-Country data'!$B$6,"SKIP")</f>
        <v>0</v>
      </c>
      <c r="F45" s="582" t="str">
        <f>IF('Level 1-summary of Hg inputs'!E44="","",'Level 1-summary of Hg inputs'!E44)</f>
        <v/>
      </c>
      <c r="G45" t="str">
        <f t="shared" si="1"/>
        <v/>
      </c>
    </row>
    <row r="46" spans="1:7" ht="13">
      <c r="A46" s="572" t="str">
        <f>'Step6-Hg products-substances'!A7</f>
        <v>Dental amalgam fillings ("silver" fillings)</v>
      </c>
      <c r="B46" s="573" t="s">
        <v>914</v>
      </c>
      <c r="C46">
        <f t="shared" si="2"/>
        <v>10</v>
      </c>
      <c r="D46" s="574" t="str">
        <f t="shared" si="3"/>
        <v>SKIP</v>
      </c>
      <c r="E46" s="578" t="str">
        <f>IF(ISNUMBER(D46),D46*'Step1-Country data'!$B$6,"SKIP")</f>
        <v>SKIP</v>
      </c>
      <c r="F46" s="582" t="str">
        <f>IF('Level 1-summary of Hg inputs'!E45="","",'Level 1-summary of Hg inputs'!E45)</f>
        <v>Present?</v>
      </c>
      <c r="G46" t="str">
        <f t="shared" si="1"/>
        <v/>
      </c>
    </row>
    <row r="47" spans="1:7">
      <c r="A47" s="453" t="str">
        <f>'Step6-Hg products-substances'!A15</f>
        <v>Thermometers</v>
      </c>
      <c r="B47">
        <v>1.322254652117067E-4</v>
      </c>
      <c r="C47">
        <f t="shared" si="2"/>
        <v>10</v>
      </c>
      <c r="D47" s="574">
        <f t="shared" si="3"/>
        <v>1.3222546521170671E-3</v>
      </c>
      <c r="E47" s="578">
        <f>IF(ISNUMBER(D47),D47*'Step1-Country data'!$B$6,"SKIP")</f>
        <v>0</v>
      </c>
      <c r="F47" s="582" t="str">
        <f>IF('Level 1-summary of Hg inputs'!E46="","",'Level 1-summary of Hg inputs'!E46)</f>
        <v>Present?</v>
      </c>
      <c r="G47" t="str">
        <f t="shared" si="1"/>
        <v/>
      </c>
    </row>
    <row r="48" spans="1:7" ht="13">
      <c r="A48" s="572" t="str">
        <f>'Step6-Hg products-substances'!A20</f>
        <v>Electrical switches and relays with mercury</v>
      </c>
      <c r="B48" s="573" t="s">
        <v>914</v>
      </c>
      <c r="C48">
        <f t="shared" si="2"/>
        <v>10</v>
      </c>
      <c r="D48" s="574" t="str">
        <f t="shared" si="3"/>
        <v>SKIP</v>
      </c>
      <c r="E48" s="578" t="str">
        <f>IF(ISNUMBER(D48),D48*'Step1-Country data'!$B$6,"SKIP")</f>
        <v>SKIP</v>
      </c>
      <c r="F48" s="582" t="str">
        <f>IF('Level 1-summary of Hg inputs'!E47="","",'Level 1-summary of Hg inputs'!E47)</f>
        <v>Present?</v>
      </c>
      <c r="G48" t="str">
        <f t="shared" si="1"/>
        <v/>
      </c>
    </row>
    <row r="49" spans="1:7">
      <c r="A49" s="453" t="str">
        <f>'Step6-Hg products-substances'!A23</f>
        <v>Light sources with mercury</v>
      </c>
      <c r="B49">
        <v>1.8975883969257531E-5</v>
      </c>
      <c r="C49">
        <f t="shared" si="2"/>
        <v>10</v>
      </c>
      <c r="D49" s="574">
        <f t="shared" si="3"/>
        <v>1.8975883969257531E-4</v>
      </c>
      <c r="E49" s="578">
        <f>IF(ISNUMBER(D49),D49*'Step1-Country data'!$B$6,"SKIP")</f>
        <v>0</v>
      </c>
      <c r="F49" s="582" t="str">
        <f>IF('Level 1-summary of Hg inputs'!E48="","",'Level 1-summary of Hg inputs'!E48)</f>
        <v>Present?</v>
      </c>
      <c r="G49" t="str">
        <f t="shared" si="1"/>
        <v/>
      </c>
    </row>
    <row r="50" spans="1:7">
      <c r="A50" s="281" t="str">
        <f>'Step6-Hg products-substances'!A28</f>
        <v>Batteries with mercury</v>
      </c>
      <c r="B50">
        <v>1.2791241581064613E-2</v>
      </c>
      <c r="C50">
        <f t="shared" si="2"/>
        <v>10</v>
      </c>
      <c r="D50" s="574">
        <f t="shared" si="3"/>
        <v>0.12791241581064614</v>
      </c>
      <c r="E50" s="578">
        <f>IF(ISNUMBER(D50),D50*'Step1-Country data'!$B$6,"SKIP")</f>
        <v>0</v>
      </c>
      <c r="F50" s="582" t="str">
        <f>IF('Level 1-summary of Hg inputs'!E49="","",'Level 1-summary of Hg inputs'!E49)</f>
        <v>Present?</v>
      </c>
      <c r="G50" t="str">
        <f t="shared" si="1"/>
        <v/>
      </c>
    </row>
    <row r="51" spans="1:7" ht="13">
      <c r="A51" s="572" t="str">
        <f>'Step6-Hg products-substances'!A33</f>
        <v>Polyurethane (PU, PUR) produced with mercury catalyst</v>
      </c>
      <c r="B51" s="573" t="s">
        <v>914</v>
      </c>
      <c r="C51">
        <f t="shared" si="2"/>
        <v>10</v>
      </c>
      <c r="D51" s="574" t="str">
        <f t="shared" si="3"/>
        <v>SKIP</v>
      </c>
      <c r="E51" s="578" t="str">
        <f>IF(ISNUMBER(D51),D51*'Step1-Country data'!$B$6,"SKIP")</f>
        <v>SKIP</v>
      </c>
      <c r="F51" s="582" t="str">
        <f>IF('Level 1-summary of Hg inputs'!E50="","",'Level 1-summary of Hg inputs'!E50)</f>
        <v>Present?</v>
      </c>
      <c r="G51" t="str">
        <f t="shared" si="1"/>
        <v/>
      </c>
    </row>
    <row r="52" spans="1:7" ht="14.5">
      <c r="A52" s="581" t="str">
        <f>'Step6-Hg products-substances'!A36</f>
        <v>Paints with mercury preservatives</v>
      </c>
      <c r="B52">
        <v>3.2178217821782178E-6</v>
      </c>
      <c r="C52" s="316">
        <v>30</v>
      </c>
      <c r="D52" s="574">
        <f t="shared" si="3"/>
        <v>9.6534653465346539E-5</v>
      </c>
      <c r="E52" s="578">
        <f>IF(ISNUMBER(D52),D52*'Step1-Country data'!$B$6,"SKIP")</f>
        <v>0</v>
      </c>
      <c r="F52" s="582" t="str">
        <f>IF('Level 1-summary of Hg inputs'!E51="","",'Level 1-summary of Hg inputs'!E51)</f>
        <v>Present?</v>
      </c>
      <c r="G52" t="str">
        <f t="shared" si="1"/>
        <v/>
      </c>
    </row>
    <row r="53" spans="1:7" ht="14.5">
      <c r="A53" s="581" t="str">
        <f>'Step6-Hg products-substances'!A38</f>
        <v>Skin lightening creams and soaps with mercury chemicals</v>
      </c>
      <c r="B53">
        <v>1.0332588101156864E-5</v>
      </c>
      <c r="C53">
        <v>10</v>
      </c>
      <c r="D53" s="574">
        <f t="shared" si="3"/>
        <v>1.0332588101156865E-4</v>
      </c>
      <c r="E53" s="578">
        <f>IF(ISNUMBER(D53),D53*'Step1-Country data'!$B$6,"SKIP")</f>
        <v>0</v>
      </c>
      <c r="F53" s="582" t="str">
        <f>IF('Level 1-summary of Hg inputs'!E52="","",'Level 1-summary of Hg inputs'!E52)</f>
        <v>Present?</v>
      </c>
      <c r="G53" t="str">
        <f t="shared" si="1"/>
        <v/>
      </c>
    </row>
    <row r="54" spans="1:7" ht="29">
      <c r="A54" s="581" t="str">
        <f>'Step6-Hg products-substances'!A40</f>
        <v>Medical blood pressure gauges (mercury sphygmomanometers)</v>
      </c>
      <c r="B54">
        <v>6.5182568191907641E-5</v>
      </c>
      <c r="C54">
        <f t="shared" si="2"/>
        <v>10</v>
      </c>
      <c r="D54" s="574">
        <f t="shared" si="3"/>
        <v>6.5182568191907641E-4</v>
      </c>
      <c r="E54" s="578">
        <f>IF(ISNUMBER(D54),D54*'Step1-Country data'!$B$6,"SKIP")</f>
        <v>0</v>
      </c>
      <c r="F54" s="582" t="str">
        <f>IF('Level 1-summary of Hg inputs'!E53="","",'Level 1-summary of Hg inputs'!E53)</f>
        <v>Present?</v>
      </c>
      <c r="G54" t="str">
        <f t="shared" si="1"/>
        <v/>
      </c>
    </row>
    <row r="55" spans="1:7" ht="13">
      <c r="A55" s="572" t="str">
        <f>'Step6-Hg products-substances'!A42</f>
        <v>Other manometers and gauges with mercury</v>
      </c>
      <c r="B55" s="573" t="s">
        <v>914</v>
      </c>
      <c r="C55">
        <f t="shared" si="2"/>
        <v>10</v>
      </c>
      <c r="D55" s="574" t="str">
        <f t="shared" si="3"/>
        <v>SKIP</v>
      </c>
      <c r="E55" s="578" t="str">
        <f>IF(ISNUMBER(D55),D55*'Step1-Country data'!$B$6,"SKIP")</f>
        <v>SKIP</v>
      </c>
      <c r="F55" s="582" t="str">
        <f>IF('Level 1-summary of Hg inputs'!E54="","",'Level 1-summary of Hg inputs'!E54)</f>
        <v>Present?</v>
      </c>
      <c r="G55" t="str">
        <f t="shared" si="1"/>
        <v/>
      </c>
    </row>
    <row r="56" spans="1:7" ht="13">
      <c r="A56" s="572" t="str">
        <f>'Step6-Hg products-substances'!A45</f>
        <v>Laboratory chemicals</v>
      </c>
      <c r="B56" s="573" t="s">
        <v>914</v>
      </c>
      <c r="C56">
        <f t="shared" si="2"/>
        <v>10</v>
      </c>
      <c r="D56" s="574" t="str">
        <f t="shared" si="3"/>
        <v>SKIP</v>
      </c>
      <c r="E56" s="578" t="str">
        <f>IF(ISNUMBER(D56),D56*'Step1-Country data'!$B$6,"SKIP")</f>
        <v>SKIP</v>
      </c>
      <c r="F56" s="582" t="str">
        <f>IF('Level 1-summary of Hg inputs'!E55="","",'Level 1-summary of Hg inputs'!E55)</f>
        <v>Present?</v>
      </c>
      <c r="G56" t="str">
        <f t="shared" si="1"/>
        <v/>
      </c>
    </row>
    <row r="57" spans="1:7" ht="13">
      <c r="A57" s="572" t="str">
        <f>'Step6-Hg products-substances'!A48</f>
        <v xml:space="preserve">Other laboratory and medical equipment with mercury </v>
      </c>
      <c r="B57" s="573" t="s">
        <v>914</v>
      </c>
      <c r="C57">
        <f t="shared" si="2"/>
        <v>10</v>
      </c>
      <c r="D57" s="574" t="str">
        <f t="shared" si="3"/>
        <v>SKIP</v>
      </c>
      <c r="E57" s="578" t="str">
        <f>IF(ISNUMBER(D57),D57*'Step1-Country data'!$B$6,"SKIP")</f>
        <v>SKIP</v>
      </c>
      <c r="F57" s="582" t="str">
        <f>IF('Level 1-summary of Hg inputs'!E56="","",'Level 1-summary of Hg inputs'!E56)</f>
        <v>Present?</v>
      </c>
      <c r="G57" t="str">
        <f t="shared" si="1"/>
        <v/>
      </c>
    </row>
    <row r="58" spans="1:7" ht="13">
      <c r="A58" s="393" t="str">
        <f>'Step5-Waste treatment+recycling'!A8</f>
        <v>Production of recycled of metals</v>
      </c>
      <c r="B58">
        <v>0</v>
      </c>
      <c r="C58">
        <f t="shared" si="2"/>
        <v>10</v>
      </c>
      <c r="D58" s="574">
        <f t="shared" si="3"/>
        <v>0</v>
      </c>
      <c r="E58" s="578">
        <f>IF(ISNUMBER(D58),D58*'Step1-Country data'!$B$6,"SKIP")</f>
        <v>0</v>
      </c>
      <c r="F58" s="582" t="str">
        <f>IF('Level 1-summary of Hg inputs'!E57="","",'Level 1-summary of Hg inputs'!E57)</f>
        <v/>
      </c>
      <c r="G58" t="str">
        <f t="shared" si="1"/>
        <v/>
      </c>
    </row>
    <row r="59" spans="1:7" ht="14.5">
      <c r="A59" s="581" t="str">
        <f>'Step5-Waste treatment+recycling'!A9</f>
        <v>Production of recycled mercury ("secondary production”)</v>
      </c>
      <c r="B59" s="580">
        <v>0.01</v>
      </c>
      <c r="C59">
        <f t="shared" si="2"/>
        <v>10</v>
      </c>
      <c r="D59" s="574">
        <f t="shared" si="3"/>
        <v>0.1</v>
      </c>
      <c r="E59" s="578">
        <f>IF(ISNUMBER(D59),D59*'Step1-Country data'!$B$6,"SKIP")</f>
        <v>0</v>
      </c>
      <c r="F59" s="582" t="str">
        <f>IF('Level 1-summary of Hg inputs'!E58="","",'Level 1-summary of Hg inputs'!E58)</f>
        <v>Present?</v>
      </c>
      <c r="G59" t="str">
        <f t="shared" si="1"/>
        <v/>
      </c>
    </row>
    <row r="60" spans="1:7">
      <c r="A60" s="453" t="str">
        <f>'Step5-Waste treatment+recycling'!A10</f>
        <v>Production of recycled ferrous metals (iron and steel)</v>
      </c>
      <c r="B60">
        <v>8.9600574132633599E-6</v>
      </c>
      <c r="C60">
        <f t="shared" si="2"/>
        <v>10</v>
      </c>
      <c r="D60" s="574">
        <f t="shared" si="3"/>
        <v>8.9600574132633602E-5</v>
      </c>
      <c r="E60" s="578">
        <f>IF(ISNUMBER(D60),D60*'Step1-Country data'!$B$6,"SKIP")</f>
        <v>0</v>
      </c>
      <c r="F60" s="582" t="str">
        <f>IF('Level 1-summary of Hg inputs'!E59="","",'Level 1-summary of Hg inputs'!E59)</f>
        <v>Present?</v>
      </c>
      <c r="G60" t="str">
        <f t="shared" si="1"/>
        <v/>
      </c>
    </row>
    <row r="61" spans="1:7" ht="13">
      <c r="A61" s="393" t="str">
        <f>'Step5-Waste treatment+recycling'!A12</f>
        <v>Waste incineration</v>
      </c>
      <c r="B61">
        <v>0</v>
      </c>
      <c r="C61">
        <f t="shared" si="2"/>
        <v>10</v>
      </c>
      <c r="D61" s="574">
        <f t="shared" si="3"/>
        <v>0</v>
      </c>
      <c r="E61" s="578">
        <f>IF(ISNUMBER(D61),D61*'Step1-Country data'!$B$6,"SKIP")</f>
        <v>0</v>
      </c>
      <c r="F61" s="582" t="str">
        <f>IF('Level 1-summary of Hg inputs'!E60="","",'Level 1-summary of Hg inputs'!E60)</f>
        <v/>
      </c>
      <c r="G61" t="str">
        <f t="shared" si="1"/>
        <v/>
      </c>
    </row>
    <row r="62" spans="1:7">
      <c r="A62" s="281" t="str">
        <f>'Step5-Waste treatment+recycling'!A13</f>
        <v>Incineration of municipal/general waste</v>
      </c>
      <c r="B62">
        <v>5.9929523809523809E-4</v>
      </c>
      <c r="C62">
        <f t="shared" si="2"/>
        <v>10</v>
      </c>
      <c r="D62" s="574">
        <f t="shared" si="3"/>
        <v>5.9929523809523809E-3</v>
      </c>
      <c r="E62" s="578">
        <f>IF(ISNUMBER(D62),D62*'Step1-Country data'!$B$6,"SKIP")</f>
        <v>0</v>
      </c>
      <c r="F62" s="582" t="str">
        <f>IF('Level 1-summary of Hg inputs'!E61="","",'Level 1-summary of Hg inputs'!E61)</f>
        <v>Present?</v>
      </c>
      <c r="G62" t="str">
        <f t="shared" si="1"/>
        <v/>
      </c>
    </row>
    <row r="63" spans="1:7">
      <c r="A63" s="281" t="str">
        <f>'Step5-Waste treatment+recycling'!A16</f>
        <v>Incineration of hazardous waste</v>
      </c>
      <c r="B63">
        <v>2.6063225443658077E-6</v>
      </c>
      <c r="C63">
        <f t="shared" si="2"/>
        <v>10</v>
      </c>
      <c r="D63" s="574">
        <f t="shared" si="3"/>
        <v>2.6063225443658077E-5</v>
      </c>
      <c r="E63" s="578">
        <f>IF(ISNUMBER(D63),D63*'Step1-Country data'!$B$6,"SKIP")</f>
        <v>0</v>
      </c>
      <c r="F63" s="582" t="str">
        <f>IF('Level 1-summary of Hg inputs'!E62="","",'Level 1-summary of Hg inputs'!E62)</f>
        <v>Present?</v>
      </c>
      <c r="G63" t="str">
        <f t="shared" si="1"/>
        <v/>
      </c>
    </row>
    <row r="64" spans="1:7">
      <c r="A64" s="281" t="str">
        <f>'Step5-Waste treatment+recycling'!A19</f>
        <v>Incineration / burning of medical waste</v>
      </c>
      <c r="B64">
        <v>2.8364153670187712E-4</v>
      </c>
      <c r="C64">
        <f t="shared" si="2"/>
        <v>10</v>
      </c>
      <c r="D64" s="574">
        <f t="shared" si="3"/>
        <v>2.8364153670187714E-3</v>
      </c>
      <c r="E64" s="578">
        <f>IF(ISNUMBER(D64),D64*'Step1-Country data'!$B$6,"SKIP")</f>
        <v>0</v>
      </c>
      <c r="F64" s="582" t="str">
        <f>IF('Level 1-summary of Hg inputs'!E63="","",'Level 1-summary of Hg inputs'!E63)</f>
        <v>Present?</v>
      </c>
      <c r="G64" t="str">
        <f t="shared" si="1"/>
        <v/>
      </c>
    </row>
    <row r="65" spans="1:7">
      <c r="A65" s="281" t="str">
        <f>'Step5-Waste treatment+recycling'!A22</f>
        <v>Sewage sludge incineration</v>
      </c>
      <c r="B65">
        <v>9.3304259726002709E-7</v>
      </c>
      <c r="C65" s="316">
        <v>500</v>
      </c>
      <c r="D65" s="574">
        <f t="shared" si="3"/>
        <v>4.6652129863001353E-4</v>
      </c>
      <c r="E65" s="578">
        <f>IF(ISNUMBER(D65),D65*'Step1-Country data'!$B$6,"SKIP")</f>
        <v>0</v>
      </c>
      <c r="F65" s="582" t="str">
        <f>IF('Level 1-summary of Hg inputs'!E64="","",'Level 1-summary of Hg inputs'!E64)</f>
        <v>Present?</v>
      </c>
      <c r="G65" t="str">
        <f t="shared" si="1"/>
        <v/>
      </c>
    </row>
    <row r="66" spans="1:7">
      <c r="A66" s="281" t="str">
        <f>'Step5-Waste treatment+recycling'!A23</f>
        <v>Open fire waste burning (on landfills and informally)</v>
      </c>
      <c r="B66">
        <v>9.3446066668161803E-4</v>
      </c>
      <c r="C66">
        <f t="shared" si="2"/>
        <v>10</v>
      </c>
      <c r="D66" s="574">
        <f t="shared" si="3"/>
        <v>9.3446066668161805E-3</v>
      </c>
      <c r="E66" s="578">
        <f>IF(ISNUMBER(D66),D66*'Step1-Country data'!$B$6,"SKIP")</f>
        <v>0</v>
      </c>
      <c r="F66" s="582" t="str">
        <f>IF('Level 1-summary of Hg inputs'!E65="","",'Level 1-summary of Hg inputs'!E65)</f>
        <v>Present?</v>
      </c>
      <c r="G66" t="str">
        <f t="shared" si="1"/>
        <v/>
      </c>
    </row>
    <row r="67" spans="1:7" ht="13">
      <c r="A67" s="393" t="str">
        <f>'Step5-Waste treatment+recycling'!A25</f>
        <v>Waste deposition/landfilling and waste water treatment</v>
      </c>
      <c r="B67">
        <v>0</v>
      </c>
      <c r="C67">
        <f t="shared" si="2"/>
        <v>10</v>
      </c>
      <c r="D67" s="574">
        <f t="shared" si="3"/>
        <v>0</v>
      </c>
      <c r="E67" s="578">
        <f>IF(ISNUMBER(D67),D67*'Step1-Country data'!$B$6,"SKIP")</f>
        <v>0</v>
      </c>
      <c r="F67" s="582" t="str">
        <f>IF('Level 1-summary of Hg inputs'!E66="","",'Level 1-summary of Hg inputs'!E66)</f>
        <v/>
      </c>
      <c r="G67" t="str">
        <f t="shared" si="1"/>
        <v/>
      </c>
    </row>
    <row r="68" spans="1:7">
      <c r="A68" s="281" t="str">
        <f>'Step5-Waste treatment+recycling'!A26</f>
        <v>Controlled landfills/deposits</v>
      </c>
      <c r="B68">
        <v>1.9986314970413459E-3</v>
      </c>
      <c r="C68">
        <f t="shared" si="2"/>
        <v>10</v>
      </c>
      <c r="D68" s="574">
        <f t="shared" si="3"/>
        <v>1.9986314970413459E-2</v>
      </c>
      <c r="E68" s="578">
        <f>IF(ISNUMBER(D68),D68*'Step1-Country data'!$B$6,"SKIP")</f>
        <v>0</v>
      </c>
      <c r="F68" s="582" t="str">
        <f>IF('Level 1-summary of Hg inputs'!E67="","",'Level 1-summary of Hg inputs'!E67)</f>
        <v>Present?</v>
      </c>
      <c r="G68" t="str">
        <f t="shared" si="1"/>
        <v/>
      </c>
    </row>
    <row r="69" spans="1:7">
      <c r="A69" s="281" t="str">
        <f>'Step5-Waste treatment+recycling'!A27</f>
        <v>Informal dumping of general waste *1</v>
      </c>
      <c r="B69">
        <v>9.9247027755450983E-4</v>
      </c>
      <c r="C69">
        <f t="shared" si="2"/>
        <v>10</v>
      </c>
      <c r="D69" s="574">
        <f t="shared" si="3"/>
        <v>9.9247027755450974E-3</v>
      </c>
      <c r="E69" s="578">
        <f>IF(ISNUMBER(D69),D69*'Step1-Country data'!$B$6,"SKIP")</f>
        <v>0</v>
      </c>
      <c r="F69" s="582" t="str">
        <f>IF('Level 1-summary of Hg inputs'!E68="","",'Level 1-summary of Hg inputs'!E68)</f>
        <v>Present?</v>
      </c>
      <c r="G69" t="str">
        <f t="shared" si="1"/>
        <v/>
      </c>
    </row>
    <row r="70" spans="1:7">
      <c r="A70" s="281" t="str">
        <f>'Step5-Waste treatment+recycling'!A29</f>
        <v>Waste water system/treatment</v>
      </c>
      <c r="B70">
        <v>5.0556280289187523E-3</v>
      </c>
      <c r="C70">
        <f t="shared" si="2"/>
        <v>10</v>
      </c>
      <c r="D70" s="574">
        <f t="shared" si="3"/>
        <v>5.0556280289187523E-2</v>
      </c>
      <c r="E70" s="578">
        <f>IF(ISNUMBER(D70),D70*'Step1-Country data'!$B$6,"SKIP")</f>
        <v>0</v>
      </c>
      <c r="F70" s="582" t="str">
        <f>IF('Level 1-summary of Hg inputs'!E69="","",'Level 1-summary of Hg inputs'!E69)</f>
        <v>Present?</v>
      </c>
      <c r="G70" t="str">
        <f t="shared" si="1"/>
        <v/>
      </c>
    </row>
    <row r="71" spans="1:7" ht="13">
      <c r="A71" s="393" t="str">
        <f>'Step7-Crematoria-cemetaries'!A4</f>
        <v>Crematoria and cemeteries</v>
      </c>
      <c r="B71">
        <v>0</v>
      </c>
      <c r="C71">
        <f t="shared" si="2"/>
        <v>10</v>
      </c>
      <c r="D71" s="574">
        <f t="shared" si="3"/>
        <v>0</v>
      </c>
      <c r="E71" s="578">
        <f>IF(ISNUMBER(D71),D71*'Step1-Country data'!$B$6,"SKIP")</f>
        <v>0</v>
      </c>
      <c r="F71" s="582" t="str">
        <f>IF('Level 1-summary of Hg inputs'!E70="","",'Level 1-summary of Hg inputs'!E70)</f>
        <v/>
      </c>
      <c r="G71" t="str">
        <f t="shared" si="1"/>
        <v/>
      </c>
    </row>
    <row r="72" spans="1:7">
      <c r="A72" s="453" t="str">
        <f>'Step7-Crematoria-cemetaries'!A5</f>
        <v>Crematoria</v>
      </c>
      <c r="B72">
        <v>8.347890611714873E-6</v>
      </c>
      <c r="C72" s="316">
        <v>100</v>
      </c>
      <c r="D72" s="574">
        <f t="shared" si="3"/>
        <v>8.3478906117148732E-4</v>
      </c>
      <c r="E72" s="578">
        <f>IF(ISNUMBER(D72),D72*'Step1-Country data'!$B$6,"SKIP")</f>
        <v>0</v>
      </c>
      <c r="F72" s="582" t="str">
        <f>IF('Level 1-summary of Hg inputs'!E71="","",'Level 1-summary of Hg inputs'!E71)</f>
        <v>Present?</v>
      </c>
      <c r="G72" t="str">
        <f>IF(ISNUMBER(F72),IF(F72&lt;E72,"y","n"),"")</f>
        <v/>
      </c>
    </row>
    <row r="73" spans="1:7">
      <c r="A73" s="453" t="str">
        <f>'Step7-Crematoria-cemetaries'!A6</f>
        <v>Cemeteries</v>
      </c>
      <c r="B73">
        <v>2.3823640052987485E-4</v>
      </c>
      <c r="C73">
        <f>$C$3</f>
        <v>10</v>
      </c>
      <c r="D73" s="574">
        <f t="shared" si="3"/>
        <v>2.3823640052987485E-3</v>
      </c>
      <c r="E73" s="578">
        <f>IF(ISNUMBER(D73),D73*'Step1-Country data'!$B$6,"SKIP")</f>
        <v>0</v>
      </c>
      <c r="F73" s="582" t="str">
        <f>IF('Level 1-summary of Hg inputs'!E72="","",'Level 1-summary of Hg inputs'!E72)</f>
        <v>Present?</v>
      </c>
      <c r="G73" t="str">
        <f>IF(ISNUMBER(F73),IF(F73&lt;E73,"y","n"),"")</f>
        <v/>
      </c>
    </row>
  </sheetData>
  <sheetProtection algorithmName="SHA-512" hashValue="d4ABdso8krw7ax5jwT92PoTlPjh8HLlif9WOVt+f30r3JLbEJk0b1l7dEPeKgxIxX661mGXrd5u3u/7i2YaBVQ==" saltValue="flb+9k8DG+0IVHUOwiqNRQ==" spinCount="100000" sheet="1" objects="1" scenarios="1"/>
  <customSheetViews>
    <customSheetView guid="{EB7FE26D-7077-48F2-8515-D783BE87A220}" scale="70" state="hidden">
      <selection activeCell="M31" sqref="M31:M3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E8003-EE4B-4EC1-B89E-09C860563074}">
  <dimension ref="A1:H92"/>
  <sheetViews>
    <sheetView topLeftCell="A34" zoomScale="90" zoomScaleNormal="90" workbookViewId="0">
      <selection activeCell="A2" sqref="A2"/>
    </sheetView>
  </sheetViews>
  <sheetFormatPr defaultColWidth="9.1796875" defaultRowHeight="14.5"/>
  <cols>
    <col min="1" max="1" width="45.36328125" style="777" customWidth="1"/>
    <col min="2" max="2" width="15.6328125" style="777" customWidth="1"/>
    <col min="3" max="3" width="28.6328125" style="777" customWidth="1"/>
    <col min="4" max="4" width="21.453125" style="777" customWidth="1"/>
    <col min="5" max="5" width="20.453125" style="777" customWidth="1"/>
    <col min="6" max="6" width="12.1796875" style="777" customWidth="1"/>
    <col min="7" max="7" width="18.453125" style="777" customWidth="1"/>
    <col min="8" max="8" width="74.6328125" style="777" customWidth="1"/>
    <col min="9" max="16384" width="9.1796875" style="777"/>
  </cols>
  <sheetData>
    <row r="1" spans="1:8" ht="18">
      <c r="A1" s="775" t="s">
        <v>1137</v>
      </c>
      <c r="B1" s="776"/>
      <c r="C1" s="776"/>
      <c r="D1" s="776"/>
      <c r="E1" s="776"/>
      <c r="F1" s="776"/>
      <c r="G1" s="776"/>
      <c r="H1" s="776"/>
    </row>
    <row r="2" spans="1:8">
      <c r="A2" s="776"/>
      <c r="B2" s="776"/>
      <c r="C2" s="776"/>
      <c r="D2" s="776"/>
      <c r="E2" s="776"/>
      <c r="F2" s="776"/>
      <c r="G2" s="776"/>
      <c r="H2" s="776"/>
    </row>
    <row r="3" spans="1:8">
      <c r="A3" s="778" t="s">
        <v>843</v>
      </c>
      <c r="B3" s="776"/>
      <c r="C3" s="776"/>
      <c r="D3" s="776"/>
      <c r="E3" s="776"/>
      <c r="F3" s="776"/>
      <c r="G3" s="776"/>
      <c r="H3" s="776"/>
    </row>
    <row r="4" spans="1:8">
      <c r="A4" s="779" t="s">
        <v>1251</v>
      </c>
      <c r="B4" s="776"/>
      <c r="C4" s="776"/>
      <c r="D4" s="776"/>
      <c r="E4" s="776"/>
      <c r="F4" s="776"/>
      <c r="G4" s="776"/>
      <c r="H4" s="776"/>
    </row>
    <row r="5" spans="1:8">
      <c r="A5" s="776" t="s">
        <v>844</v>
      </c>
      <c r="B5" s="776"/>
      <c r="C5" s="776"/>
      <c r="D5" s="776"/>
      <c r="E5" s="776"/>
      <c r="F5" s="776"/>
      <c r="G5" s="776"/>
      <c r="H5" s="776"/>
    </row>
    <row r="6" spans="1:8">
      <c r="A6" s="776" t="s">
        <v>902</v>
      </c>
      <c r="B6" s="776"/>
      <c r="C6" s="776"/>
      <c r="D6" s="776"/>
      <c r="E6" s="776"/>
      <c r="F6" s="776"/>
      <c r="G6" s="776"/>
      <c r="H6" s="776"/>
    </row>
    <row r="7" spans="1:8">
      <c r="A7" s="776" t="s">
        <v>1138</v>
      </c>
      <c r="B7" s="776"/>
      <c r="C7" s="776"/>
      <c r="D7" s="776"/>
      <c r="E7" s="776"/>
      <c r="F7" s="776"/>
      <c r="G7" s="776"/>
      <c r="H7" s="776"/>
    </row>
    <row r="8" spans="1:8">
      <c r="A8" s="776"/>
      <c r="B8" s="776"/>
      <c r="C8" s="776"/>
      <c r="D8" s="776"/>
      <c r="E8" s="776"/>
      <c r="F8" s="776"/>
      <c r="G8" s="776"/>
      <c r="H8" s="776"/>
    </row>
    <row r="9" spans="1:8" ht="41" customHeight="1" thickBot="1">
      <c r="A9" s="780" t="s">
        <v>845</v>
      </c>
      <c r="B9" s="781" t="s">
        <v>850</v>
      </c>
      <c r="C9" s="782" t="s">
        <v>847</v>
      </c>
      <c r="D9" s="783" t="s">
        <v>861</v>
      </c>
      <c r="E9" s="782" t="s">
        <v>848</v>
      </c>
      <c r="F9" s="782" t="s">
        <v>849</v>
      </c>
      <c r="G9" s="782" t="s">
        <v>863</v>
      </c>
      <c r="H9" s="784" t="s">
        <v>862</v>
      </c>
    </row>
    <row r="10" spans="1:8">
      <c r="A10" s="822" t="s">
        <v>1239</v>
      </c>
      <c r="B10" s="786"/>
      <c r="C10" s="787"/>
      <c r="D10" s="788"/>
      <c r="E10" s="782"/>
      <c r="F10" s="782"/>
      <c r="G10" s="782"/>
      <c r="H10" s="784"/>
    </row>
    <row r="11" spans="1:8">
      <c r="A11" s="789" t="s">
        <v>1139</v>
      </c>
      <c r="B11" s="790"/>
      <c r="C11" s="787" t="s">
        <v>1140</v>
      </c>
      <c r="D11" s="791">
        <f>B11/F11*1000</f>
        <v>0</v>
      </c>
      <c r="E11" s="792" t="s">
        <v>1141</v>
      </c>
      <c r="F11" s="787">
        <v>26.7</v>
      </c>
      <c r="G11" s="782" t="s">
        <v>1142</v>
      </c>
      <c r="H11" s="784" t="s">
        <v>1143</v>
      </c>
    </row>
    <row r="12" spans="1:8">
      <c r="A12" s="789" t="s">
        <v>1144</v>
      </c>
      <c r="B12" s="790"/>
      <c r="C12" s="787" t="s">
        <v>1140</v>
      </c>
      <c r="D12" s="791">
        <f t="shared" ref="D12:D52" si="0">B12/F12*1000</f>
        <v>0</v>
      </c>
      <c r="E12" s="792" t="s">
        <v>1141</v>
      </c>
      <c r="F12" s="787">
        <v>25.8</v>
      </c>
      <c r="G12" s="782" t="s">
        <v>1142</v>
      </c>
      <c r="H12" s="784" t="s">
        <v>1143</v>
      </c>
    </row>
    <row r="13" spans="1:8">
      <c r="A13" s="789" t="s">
        <v>1145</v>
      </c>
      <c r="B13" s="790"/>
      <c r="C13" s="787" t="s">
        <v>1140</v>
      </c>
      <c r="D13" s="791">
        <f t="shared" si="0"/>
        <v>0</v>
      </c>
      <c r="E13" s="792" t="s">
        <v>1141</v>
      </c>
      <c r="F13" s="787">
        <v>18.899999999999999</v>
      </c>
      <c r="G13" s="782" t="s">
        <v>1142</v>
      </c>
      <c r="H13" s="784" t="s">
        <v>1143</v>
      </c>
    </row>
    <row r="14" spans="1:8">
      <c r="A14" s="789" t="s">
        <v>1146</v>
      </c>
      <c r="B14" s="790"/>
      <c r="C14" s="787" t="s">
        <v>1140</v>
      </c>
      <c r="D14" s="791">
        <f t="shared" si="0"/>
        <v>0</v>
      </c>
      <c r="E14" s="792" t="s">
        <v>1141</v>
      </c>
      <c r="F14" s="787">
        <v>11.9</v>
      </c>
      <c r="G14" s="782" t="s">
        <v>1142</v>
      </c>
      <c r="H14" s="784" t="s">
        <v>1143</v>
      </c>
    </row>
    <row r="15" spans="1:8">
      <c r="A15" s="789" t="s">
        <v>1147</v>
      </c>
      <c r="B15" s="790"/>
      <c r="C15" s="787" t="s">
        <v>1140</v>
      </c>
      <c r="D15" s="791">
        <f t="shared" si="0"/>
        <v>0</v>
      </c>
      <c r="E15" s="792" t="s">
        <v>1141</v>
      </c>
      <c r="F15" s="787">
        <v>28.2</v>
      </c>
      <c r="G15" s="782" t="s">
        <v>1142</v>
      </c>
      <c r="H15" s="784" t="s">
        <v>1143</v>
      </c>
    </row>
    <row r="16" spans="1:8">
      <c r="A16" s="789"/>
      <c r="B16" s="790"/>
      <c r="C16" s="787"/>
      <c r="D16" s="791"/>
      <c r="E16" s="792"/>
      <c r="F16" s="787"/>
      <c r="G16" s="782"/>
      <c r="H16" s="784"/>
    </row>
    <row r="17" spans="1:8">
      <c r="A17" s="793" t="s">
        <v>85</v>
      </c>
      <c r="B17" s="790"/>
      <c r="C17" s="787" t="s">
        <v>1185</v>
      </c>
      <c r="D17" s="800">
        <f>B17/F17*1000</f>
        <v>0</v>
      </c>
      <c r="E17" s="792" t="s">
        <v>1174</v>
      </c>
      <c r="F17" s="787">
        <v>9.76</v>
      </c>
      <c r="G17" s="782" t="s">
        <v>1142</v>
      </c>
      <c r="H17" s="784" t="s">
        <v>1167</v>
      </c>
    </row>
    <row r="18" spans="1:8">
      <c r="A18" s="789"/>
      <c r="B18" s="790"/>
      <c r="C18" s="787"/>
      <c r="D18" s="791"/>
      <c r="E18" s="792"/>
      <c r="F18" s="787"/>
      <c r="G18" s="782"/>
      <c r="H18" s="784"/>
    </row>
    <row r="19" spans="1:8">
      <c r="A19" s="820" t="s">
        <v>1240</v>
      </c>
      <c r="B19" s="790"/>
      <c r="C19" s="787"/>
      <c r="D19" s="791"/>
      <c r="E19" s="792"/>
      <c r="F19" s="787"/>
      <c r="G19" s="782"/>
      <c r="H19" s="784"/>
    </row>
    <row r="20" spans="1:8">
      <c r="A20" s="855" t="s">
        <v>1148</v>
      </c>
      <c r="B20" s="790"/>
      <c r="C20" s="787" t="s">
        <v>1149</v>
      </c>
      <c r="D20" s="791">
        <f t="shared" si="0"/>
        <v>0</v>
      </c>
      <c r="E20" s="792" t="s">
        <v>1150</v>
      </c>
      <c r="F20" s="787">
        <v>44.3</v>
      </c>
      <c r="G20" s="782" t="s">
        <v>1142</v>
      </c>
      <c r="H20" s="784" t="s">
        <v>1143</v>
      </c>
    </row>
    <row r="21" spans="1:8">
      <c r="A21" s="856"/>
      <c r="B21" s="790"/>
      <c r="C21" s="787" t="s">
        <v>1151</v>
      </c>
      <c r="D21" s="794">
        <f>B21/F21</f>
        <v>0</v>
      </c>
      <c r="E21" s="792" t="s">
        <v>1150</v>
      </c>
      <c r="F21" s="787">
        <v>8.49</v>
      </c>
      <c r="G21" s="782" t="s">
        <v>1152</v>
      </c>
      <c r="H21" s="784" t="s">
        <v>1153</v>
      </c>
    </row>
    <row r="22" spans="1:8">
      <c r="A22" s="857"/>
      <c r="B22" s="790"/>
      <c r="C22" s="787" t="s">
        <v>1154</v>
      </c>
      <c r="D22" s="795">
        <f>B22/F22</f>
        <v>0</v>
      </c>
      <c r="E22" s="792" t="s">
        <v>1150</v>
      </c>
      <c r="F22" s="787">
        <v>1350</v>
      </c>
      <c r="G22" s="782" t="s">
        <v>1155</v>
      </c>
      <c r="H22" s="784" t="s">
        <v>1153</v>
      </c>
    </row>
    <row r="23" spans="1:8">
      <c r="A23" s="855" t="s">
        <v>1156</v>
      </c>
      <c r="B23" s="790"/>
      <c r="C23" s="787" t="s">
        <v>1149</v>
      </c>
      <c r="D23" s="791">
        <f t="shared" si="0"/>
        <v>0</v>
      </c>
      <c r="E23" s="792" t="s">
        <v>1150</v>
      </c>
      <c r="F23" s="787">
        <v>44.3</v>
      </c>
      <c r="G23" s="782" t="s">
        <v>1142</v>
      </c>
      <c r="H23" s="784" t="s">
        <v>1143</v>
      </c>
    </row>
    <row r="24" spans="1:8">
      <c r="A24" s="856"/>
      <c r="B24" s="790"/>
      <c r="C24" s="787" t="s">
        <v>1151</v>
      </c>
      <c r="D24" s="794">
        <f>B24/F24</f>
        <v>0</v>
      </c>
      <c r="E24" s="792" t="s">
        <v>1150</v>
      </c>
      <c r="F24" s="796">
        <v>8.9</v>
      </c>
      <c r="G24" s="782" t="s">
        <v>1152</v>
      </c>
      <c r="H24" s="784" t="s">
        <v>1153</v>
      </c>
    </row>
    <row r="25" spans="1:8">
      <c r="A25" s="857"/>
      <c r="B25" s="790"/>
      <c r="C25" s="787" t="s">
        <v>1154</v>
      </c>
      <c r="D25" s="795">
        <f>B25/F25</f>
        <v>0</v>
      </c>
      <c r="E25" s="792" t="s">
        <v>1150</v>
      </c>
      <c r="F25" s="787">
        <v>1414</v>
      </c>
      <c r="G25" s="782" t="s">
        <v>1155</v>
      </c>
      <c r="H25" s="784" t="s">
        <v>1153</v>
      </c>
    </row>
    <row r="26" spans="1:8">
      <c r="A26" s="789" t="s">
        <v>1157</v>
      </c>
      <c r="B26" s="790"/>
      <c r="C26" s="787" t="s">
        <v>1149</v>
      </c>
      <c r="D26" s="791">
        <f t="shared" si="0"/>
        <v>0</v>
      </c>
      <c r="E26" s="792" t="s">
        <v>1150</v>
      </c>
      <c r="F26" s="787">
        <v>44.3</v>
      </c>
      <c r="G26" s="782" t="s">
        <v>1142</v>
      </c>
      <c r="H26" s="784" t="s">
        <v>1143</v>
      </c>
    </row>
    <row r="27" spans="1:8">
      <c r="A27" s="789"/>
      <c r="B27" s="790"/>
      <c r="C27" s="787"/>
      <c r="D27" s="791"/>
      <c r="E27" s="792"/>
      <c r="F27" s="787"/>
      <c r="G27" s="782"/>
      <c r="H27" s="784"/>
    </row>
    <row r="28" spans="1:8">
      <c r="A28" s="820" t="s">
        <v>1238</v>
      </c>
      <c r="B28" s="790"/>
      <c r="C28" s="787"/>
      <c r="D28" s="791"/>
      <c r="E28" s="792"/>
      <c r="F28" s="787"/>
      <c r="G28" s="782"/>
      <c r="H28" s="784"/>
    </row>
    <row r="29" spans="1:8">
      <c r="A29" s="855" t="s">
        <v>1158</v>
      </c>
      <c r="B29" s="790"/>
      <c r="C29" s="787" t="s">
        <v>1159</v>
      </c>
      <c r="D29" s="791">
        <f t="shared" si="0"/>
        <v>0</v>
      </c>
      <c r="E29" s="792" t="s">
        <v>1160</v>
      </c>
      <c r="F29" s="787">
        <v>42.3</v>
      </c>
      <c r="G29" s="782" t="s">
        <v>1142</v>
      </c>
      <c r="H29" s="784" t="s">
        <v>1143</v>
      </c>
    </row>
    <row r="30" spans="1:8">
      <c r="A30" s="856"/>
      <c r="B30" s="790"/>
      <c r="C30" s="787" t="s">
        <v>1161</v>
      </c>
      <c r="D30" s="794">
        <f>B30/F30</f>
        <v>0</v>
      </c>
      <c r="E30" s="792" t="s">
        <v>1160</v>
      </c>
      <c r="F30" s="796">
        <v>7.37</v>
      </c>
      <c r="G30" s="782" t="s">
        <v>1162</v>
      </c>
      <c r="H30" s="784" t="s">
        <v>1153</v>
      </c>
    </row>
    <row r="31" spans="1:8">
      <c r="A31" s="857"/>
      <c r="B31" s="790"/>
      <c r="C31" s="787" t="s">
        <v>1163</v>
      </c>
      <c r="D31" s="795">
        <f>B31/F31</f>
        <v>0</v>
      </c>
      <c r="E31" s="792" t="s">
        <v>1160</v>
      </c>
      <c r="F31" s="797">
        <v>1172</v>
      </c>
      <c r="G31" s="782" t="s">
        <v>1155</v>
      </c>
      <c r="H31" s="784" t="s">
        <v>1153</v>
      </c>
    </row>
    <row r="32" spans="1:8" ht="14.25" customHeight="1">
      <c r="A32" s="855" t="s">
        <v>1164</v>
      </c>
      <c r="B32" s="790"/>
      <c r="C32" s="787" t="s">
        <v>1165</v>
      </c>
      <c r="D32" s="791">
        <f t="shared" si="0"/>
        <v>0</v>
      </c>
      <c r="E32" s="792" t="s">
        <v>1166</v>
      </c>
      <c r="F32" s="798">
        <v>44.1</v>
      </c>
      <c r="G32" s="782" t="s">
        <v>1142</v>
      </c>
      <c r="H32" s="784" t="s">
        <v>1167</v>
      </c>
    </row>
    <row r="33" spans="1:8" ht="13.5" customHeight="1">
      <c r="A33" s="856"/>
      <c r="B33" s="790"/>
      <c r="C33" s="787" t="s">
        <v>1168</v>
      </c>
      <c r="D33" s="794">
        <f>B33/F33</f>
        <v>0</v>
      </c>
      <c r="E33" s="792" t="s">
        <v>1166</v>
      </c>
      <c r="F33" s="798">
        <v>7.84</v>
      </c>
      <c r="G33" s="782" t="s">
        <v>1169</v>
      </c>
      <c r="H33" s="784" t="s">
        <v>1153</v>
      </c>
    </row>
    <row r="34" spans="1:8" ht="13.5" customHeight="1">
      <c r="A34" s="857"/>
      <c r="B34" s="790"/>
      <c r="C34" s="787" t="s">
        <v>1170</v>
      </c>
      <c r="D34" s="795">
        <f>B34/F34</f>
        <v>0</v>
      </c>
      <c r="E34" s="792" t="s">
        <v>1166</v>
      </c>
      <c r="F34" s="798">
        <v>1246</v>
      </c>
      <c r="G34" s="782" t="s">
        <v>1155</v>
      </c>
      <c r="H34" s="784" t="s">
        <v>1153</v>
      </c>
    </row>
    <row r="35" spans="1:8">
      <c r="A35" s="855" t="s">
        <v>1171</v>
      </c>
      <c r="B35" s="790"/>
      <c r="C35" s="787" t="s">
        <v>1165</v>
      </c>
      <c r="D35" s="791">
        <f t="shared" si="0"/>
        <v>0</v>
      </c>
      <c r="E35" s="792" t="s">
        <v>1166</v>
      </c>
      <c r="F35" s="798">
        <v>43.8</v>
      </c>
      <c r="G35" s="782" t="s">
        <v>1142</v>
      </c>
      <c r="H35" s="784" t="s">
        <v>1143</v>
      </c>
    </row>
    <row r="36" spans="1:8">
      <c r="A36" s="856"/>
      <c r="B36" s="790"/>
      <c r="C36" s="787" t="s">
        <v>1168</v>
      </c>
      <c r="D36" s="794">
        <f>B36/F36</f>
        <v>0</v>
      </c>
      <c r="E36" s="792" t="s">
        <v>1166</v>
      </c>
      <c r="F36" s="798">
        <v>7.76</v>
      </c>
      <c r="G36" s="782" t="s">
        <v>1169</v>
      </c>
      <c r="H36" s="784" t="s">
        <v>1153</v>
      </c>
    </row>
    <row r="37" spans="1:8">
      <c r="A37" s="857"/>
      <c r="B37" s="790"/>
      <c r="C37" s="787" t="s">
        <v>1170</v>
      </c>
      <c r="D37" s="795">
        <f>B37/F37</f>
        <v>0</v>
      </c>
      <c r="E37" s="792" t="s">
        <v>1166</v>
      </c>
      <c r="F37" s="798">
        <v>1235</v>
      </c>
      <c r="G37" s="782" t="s">
        <v>1155</v>
      </c>
      <c r="H37" s="784" t="s">
        <v>1153</v>
      </c>
    </row>
    <row r="38" spans="1:8">
      <c r="A38" s="855" t="s">
        <v>1172</v>
      </c>
      <c r="B38" s="790"/>
      <c r="C38" s="787" t="s">
        <v>1173</v>
      </c>
      <c r="D38" s="791">
        <f t="shared" si="0"/>
        <v>0</v>
      </c>
      <c r="E38" s="792" t="s">
        <v>1174</v>
      </c>
      <c r="F38" s="798">
        <v>43</v>
      </c>
      <c r="G38" s="782" t="s">
        <v>1142</v>
      </c>
      <c r="H38" s="784" t="s">
        <v>1143</v>
      </c>
    </row>
    <row r="39" spans="1:8">
      <c r="A39" s="856"/>
      <c r="B39" s="790"/>
      <c r="C39" s="787" t="s">
        <v>1175</v>
      </c>
      <c r="D39" s="794">
        <f>B39/F39</f>
        <v>0</v>
      </c>
      <c r="E39" s="792" t="s">
        <v>1174</v>
      </c>
      <c r="F39" s="798">
        <v>7.46</v>
      </c>
      <c r="G39" s="782" t="s">
        <v>1169</v>
      </c>
      <c r="H39" s="784" t="s">
        <v>1153</v>
      </c>
    </row>
    <row r="40" spans="1:8">
      <c r="A40" s="857"/>
      <c r="B40" s="790"/>
      <c r="C40" s="787" t="s">
        <v>1176</v>
      </c>
      <c r="D40" s="795">
        <f>B40/F40</f>
        <v>0</v>
      </c>
      <c r="E40" s="792" t="s">
        <v>1174</v>
      </c>
      <c r="F40" s="798">
        <v>1186</v>
      </c>
      <c r="G40" s="782" t="s">
        <v>1155</v>
      </c>
      <c r="H40" s="784" t="s">
        <v>1153</v>
      </c>
    </row>
    <row r="41" spans="1:8">
      <c r="A41" s="799" t="s">
        <v>1177</v>
      </c>
      <c r="B41" s="790"/>
      <c r="C41" s="787" t="s">
        <v>1173</v>
      </c>
      <c r="D41" s="800">
        <f t="shared" si="0"/>
        <v>0</v>
      </c>
      <c r="E41" s="792" t="s">
        <v>1174</v>
      </c>
      <c r="F41" s="798">
        <v>40.4</v>
      </c>
      <c r="G41" s="782" t="s">
        <v>1142</v>
      </c>
      <c r="H41" s="784" t="s">
        <v>1143</v>
      </c>
    </row>
    <row r="42" spans="1:8">
      <c r="A42" s="855" t="s">
        <v>1178</v>
      </c>
      <c r="B42" s="790"/>
      <c r="C42" s="787" t="s">
        <v>1179</v>
      </c>
      <c r="D42" s="800">
        <f t="shared" si="0"/>
        <v>0</v>
      </c>
      <c r="E42" s="792" t="s">
        <v>1180</v>
      </c>
      <c r="F42" s="787">
        <v>47.3</v>
      </c>
      <c r="G42" s="782" t="s">
        <v>1142</v>
      </c>
      <c r="H42" s="784" t="s">
        <v>1143</v>
      </c>
    </row>
    <row r="43" spans="1:8">
      <c r="A43" s="856"/>
      <c r="B43" s="790"/>
      <c r="C43" s="787" t="s">
        <v>1181</v>
      </c>
      <c r="D43" s="794">
        <f>B43/F43</f>
        <v>0</v>
      </c>
      <c r="E43" s="792" t="s">
        <v>1180</v>
      </c>
      <c r="F43" s="796">
        <v>11.67</v>
      </c>
      <c r="G43" s="782" t="s">
        <v>1162</v>
      </c>
      <c r="H43" s="784" t="s">
        <v>1153</v>
      </c>
    </row>
    <row r="44" spans="1:8">
      <c r="A44" s="857"/>
      <c r="B44" s="790"/>
      <c r="C44" s="787" t="s">
        <v>1182</v>
      </c>
      <c r="D44" s="795">
        <f>B44/F44</f>
        <v>0</v>
      </c>
      <c r="E44" s="792" t="s">
        <v>1180</v>
      </c>
      <c r="F44" s="797">
        <v>1856</v>
      </c>
      <c r="G44" s="782" t="s">
        <v>1155</v>
      </c>
      <c r="H44" s="784" t="s">
        <v>1153</v>
      </c>
    </row>
    <row r="45" spans="1:8">
      <c r="A45" s="799" t="s">
        <v>1183</v>
      </c>
      <c r="B45" s="790"/>
      <c r="C45" s="787" t="s">
        <v>1173</v>
      </c>
      <c r="D45" s="800">
        <f t="shared" si="0"/>
        <v>0</v>
      </c>
      <c r="E45" s="792" t="s">
        <v>1174</v>
      </c>
      <c r="F45" s="787">
        <v>38.1</v>
      </c>
      <c r="G45" s="782" t="s">
        <v>1142</v>
      </c>
      <c r="H45" s="784" t="s">
        <v>1143</v>
      </c>
    </row>
    <row r="46" spans="1:8">
      <c r="A46" s="799" t="s">
        <v>1184</v>
      </c>
      <c r="B46" s="790"/>
      <c r="C46" s="787" t="s">
        <v>1173</v>
      </c>
      <c r="D46" s="800">
        <f t="shared" si="0"/>
        <v>0</v>
      </c>
      <c r="E46" s="792" t="s">
        <v>1174</v>
      </c>
      <c r="F46" s="787">
        <v>40.200000000000003</v>
      </c>
      <c r="G46" s="782" t="s">
        <v>1142</v>
      </c>
      <c r="H46" s="784" t="s">
        <v>1143</v>
      </c>
    </row>
    <row r="47" spans="1:8">
      <c r="A47" s="799"/>
      <c r="B47" s="790"/>
      <c r="C47" s="787"/>
      <c r="D47" s="800"/>
      <c r="E47" s="792"/>
      <c r="F47" s="787"/>
      <c r="G47" s="782"/>
      <c r="H47" s="784"/>
    </row>
    <row r="48" spans="1:8">
      <c r="A48" s="799"/>
      <c r="B48" s="790"/>
      <c r="C48" s="787"/>
      <c r="D48" s="800"/>
      <c r="E48" s="792"/>
      <c r="F48" s="787"/>
      <c r="G48" s="782"/>
      <c r="H48" s="784"/>
    </row>
    <row r="49" spans="1:8">
      <c r="A49" s="821" t="s">
        <v>1237</v>
      </c>
      <c r="B49" s="790"/>
      <c r="C49" s="787"/>
      <c r="D49" s="800"/>
      <c r="E49" s="792"/>
      <c r="F49" s="787"/>
      <c r="G49" s="782"/>
      <c r="H49" s="784"/>
    </row>
    <row r="50" spans="1:8">
      <c r="A50" s="799" t="s">
        <v>1186</v>
      </c>
      <c r="B50" s="790"/>
      <c r="C50" s="787" t="s">
        <v>1187</v>
      </c>
      <c r="D50" s="800">
        <f t="shared" si="0"/>
        <v>0</v>
      </c>
      <c r="E50" s="792" t="s">
        <v>1188</v>
      </c>
      <c r="F50" s="796">
        <v>15.6</v>
      </c>
      <c r="G50" s="782" t="s">
        <v>1142</v>
      </c>
      <c r="H50" s="784" t="s">
        <v>1143</v>
      </c>
    </row>
    <row r="51" spans="1:8">
      <c r="A51" s="799" t="s">
        <v>1189</v>
      </c>
      <c r="B51" s="790"/>
      <c r="C51" s="787" t="s">
        <v>1190</v>
      </c>
      <c r="D51" s="800">
        <f t="shared" si="0"/>
        <v>0</v>
      </c>
      <c r="E51" s="792" t="s">
        <v>1191</v>
      </c>
      <c r="F51" s="796">
        <v>11.6</v>
      </c>
      <c r="G51" s="782" t="s">
        <v>1142</v>
      </c>
      <c r="H51" s="784" t="s">
        <v>1143</v>
      </c>
    </row>
    <row r="52" spans="1:8">
      <c r="A52" s="799" t="s">
        <v>1192</v>
      </c>
      <c r="B52" s="790"/>
      <c r="C52" s="787" t="s">
        <v>1193</v>
      </c>
      <c r="D52" s="800">
        <f t="shared" si="0"/>
        <v>0</v>
      </c>
      <c r="E52" s="792" t="s">
        <v>1194</v>
      </c>
      <c r="F52" s="796">
        <v>29.5</v>
      </c>
      <c r="G52" s="782" t="s">
        <v>1142</v>
      </c>
      <c r="H52" s="784" t="s">
        <v>1143</v>
      </c>
    </row>
    <row r="53" spans="1:8">
      <c r="A53" s="793"/>
      <c r="B53" s="790"/>
      <c r="C53" s="787"/>
      <c r="D53" s="791"/>
      <c r="E53" s="792"/>
      <c r="F53" s="787"/>
      <c r="G53" s="782"/>
      <c r="H53" s="784"/>
    </row>
    <row r="54" spans="1:8">
      <c r="A54" s="793" t="s">
        <v>1195</v>
      </c>
      <c r="B54" s="790"/>
      <c r="C54" s="787" t="s">
        <v>1196</v>
      </c>
      <c r="D54" s="791">
        <f>B54*F54</f>
        <v>0</v>
      </c>
      <c r="E54" s="787" t="s">
        <v>858</v>
      </c>
      <c r="F54" s="787">
        <v>0.94799999999999995</v>
      </c>
      <c r="G54" s="782" t="s">
        <v>1197</v>
      </c>
      <c r="H54" s="784"/>
    </row>
    <row r="55" spans="1:8">
      <c r="A55" s="785" t="s">
        <v>532</v>
      </c>
      <c r="B55" s="790"/>
      <c r="C55" s="787" t="s">
        <v>855</v>
      </c>
      <c r="D55" s="801">
        <f>B55*F55</f>
        <v>0</v>
      </c>
      <c r="E55" s="787" t="s">
        <v>858</v>
      </c>
      <c r="F55" s="787">
        <v>25600</v>
      </c>
      <c r="G55" s="782" t="s">
        <v>857</v>
      </c>
      <c r="H55" s="784" t="s">
        <v>1198</v>
      </c>
    </row>
    <row r="56" spans="1:8">
      <c r="A56" s="785" t="s">
        <v>531</v>
      </c>
      <c r="B56" s="790"/>
      <c r="C56" s="787" t="s">
        <v>855</v>
      </c>
      <c r="D56" s="801">
        <f>B56*F56</f>
        <v>0</v>
      </c>
      <c r="E56" s="787" t="s">
        <v>858</v>
      </c>
      <c r="F56" s="787">
        <v>25600</v>
      </c>
      <c r="G56" s="782" t="s">
        <v>857</v>
      </c>
      <c r="H56" s="784" t="s">
        <v>1198</v>
      </c>
    </row>
    <row r="57" spans="1:8">
      <c r="A57" s="785" t="s">
        <v>360</v>
      </c>
      <c r="B57" s="790"/>
      <c r="C57" s="787" t="s">
        <v>856</v>
      </c>
      <c r="D57" s="801">
        <f>B57*F57</f>
        <v>0</v>
      </c>
      <c r="E57" s="787" t="s">
        <v>859</v>
      </c>
      <c r="F57" s="787">
        <v>25600</v>
      </c>
      <c r="G57" s="782" t="s">
        <v>857</v>
      </c>
      <c r="H57" s="784" t="s">
        <v>1198</v>
      </c>
    </row>
    <row r="58" spans="1:8">
      <c r="A58" s="785"/>
      <c r="B58" s="790"/>
      <c r="C58" s="787"/>
      <c r="D58" s="802"/>
      <c r="E58" s="787"/>
      <c r="F58" s="787"/>
      <c r="G58" s="784"/>
      <c r="H58" s="784"/>
    </row>
    <row r="59" spans="1:8" ht="26">
      <c r="A59" s="785" t="s">
        <v>369</v>
      </c>
      <c r="B59" s="803"/>
      <c r="C59" s="784" t="s">
        <v>846</v>
      </c>
      <c r="D59" s="804">
        <f>B59*F59</f>
        <v>0</v>
      </c>
      <c r="E59" s="784" t="s">
        <v>380</v>
      </c>
      <c r="F59" s="805">
        <v>1.9</v>
      </c>
      <c r="G59" s="782" t="s">
        <v>896</v>
      </c>
      <c r="H59" s="784" t="s">
        <v>899</v>
      </c>
    </row>
    <row r="60" spans="1:8" ht="26">
      <c r="A60" s="785" t="s">
        <v>371</v>
      </c>
      <c r="B60" s="803"/>
      <c r="C60" s="784" t="s">
        <v>851</v>
      </c>
      <c r="D60" s="804">
        <f>B60*F60</f>
        <v>0</v>
      </c>
      <c r="E60" s="784" t="s">
        <v>380</v>
      </c>
      <c r="F60" s="784">
        <v>3.58</v>
      </c>
      <c r="G60" s="782" t="s">
        <v>897</v>
      </c>
      <c r="H60" s="784" t="s">
        <v>899</v>
      </c>
    </row>
    <row r="61" spans="1:8" ht="26">
      <c r="A61" s="785" t="s">
        <v>372</v>
      </c>
      <c r="B61" s="803"/>
      <c r="C61" s="784" t="s">
        <v>852</v>
      </c>
      <c r="D61" s="804">
        <f>B61*F61</f>
        <v>0</v>
      </c>
      <c r="E61" s="784" t="s">
        <v>380</v>
      </c>
      <c r="F61" s="784">
        <v>2.5</v>
      </c>
      <c r="G61" s="782" t="s">
        <v>898</v>
      </c>
      <c r="H61" s="784" t="s">
        <v>899</v>
      </c>
    </row>
    <row r="62" spans="1:8" ht="38.5">
      <c r="A62" s="785" t="s">
        <v>370</v>
      </c>
      <c r="B62" s="803"/>
      <c r="C62" s="784" t="s">
        <v>853</v>
      </c>
      <c r="D62" s="806">
        <f>1000000*B62/F62</f>
        <v>0</v>
      </c>
      <c r="E62" s="784" t="s">
        <v>526</v>
      </c>
      <c r="F62" s="807">
        <v>1.18</v>
      </c>
      <c r="G62" s="782" t="s">
        <v>1199</v>
      </c>
      <c r="H62" s="784" t="s">
        <v>1200</v>
      </c>
    </row>
    <row r="63" spans="1:8" ht="38.5">
      <c r="A63" s="785" t="s">
        <v>433</v>
      </c>
      <c r="B63" s="803"/>
      <c r="C63" s="784" t="s">
        <v>854</v>
      </c>
      <c r="D63" s="804">
        <f>B63*F63</f>
        <v>0</v>
      </c>
      <c r="E63" s="784" t="s">
        <v>439</v>
      </c>
      <c r="F63" s="784">
        <f>(3.8+4.7)/2</f>
        <v>4.25</v>
      </c>
      <c r="G63" s="782" t="s">
        <v>860</v>
      </c>
      <c r="H63" s="784" t="s">
        <v>899</v>
      </c>
    </row>
    <row r="64" spans="1:8">
      <c r="A64" s="808"/>
      <c r="B64" s="803"/>
      <c r="C64" s="809"/>
      <c r="D64" s="802"/>
      <c r="E64" s="809"/>
      <c r="F64" s="809"/>
      <c r="G64" s="810"/>
      <c r="H64" s="811"/>
    </row>
    <row r="65" spans="1:8" ht="22.5" customHeight="1">
      <c r="A65" s="785" t="s">
        <v>382</v>
      </c>
      <c r="B65" s="803"/>
      <c r="C65" s="809" t="s">
        <v>1070</v>
      </c>
      <c r="D65" s="812">
        <f>B65*F65</f>
        <v>0</v>
      </c>
      <c r="E65" s="813" t="s">
        <v>941</v>
      </c>
      <c r="F65" s="809">
        <v>0.88600000000000001</v>
      </c>
      <c r="G65" s="810" t="s">
        <v>1071</v>
      </c>
      <c r="H65" s="811" t="s">
        <v>1072</v>
      </c>
    </row>
    <row r="66" spans="1:8" ht="22.5" customHeight="1">
      <c r="A66" s="785"/>
      <c r="B66" s="803"/>
      <c r="C66" s="809"/>
      <c r="D66" s="802"/>
      <c r="E66" s="813"/>
      <c r="F66" s="809"/>
      <c r="G66" s="810"/>
      <c r="H66" s="811"/>
    </row>
    <row r="67" spans="1:8" ht="22.5" customHeight="1">
      <c r="A67" s="808" t="s">
        <v>390</v>
      </c>
      <c r="B67" s="803"/>
      <c r="C67" s="809" t="s">
        <v>901</v>
      </c>
      <c r="D67" s="801">
        <f>B67/F67</f>
        <v>0</v>
      </c>
      <c r="E67" s="809" t="s">
        <v>468</v>
      </c>
      <c r="F67" s="787">
        <v>1.4999999999999999E-2</v>
      </c>
      <c r="G67" s="810" t="s">
        <v>900</v>
      </c>
      <c r="H67" s="811" t="s">
        <v>1201</v>
      </c>
    </row>
    <row r="68" spans="1:8" ht="18" customHeight="1">
      <c r="A68" s="808"/>
      <c r="B68" s="803"/>
      <c r="C68" s="809"/>
      <c r="D68" s="802"/>
      <c r="E68" s="809"/>
      <c r="F68" s="813"/>
      <c r="G68" s="811"/>
      <c r="H68" s="811"/>
    </row>
    <row r="69" spans="1:8" ht="26">
      <c r="A69" s="785" t="s">
        <v>1202</v>
      </c>
      <c r="B69" s="803"/>
      <c r="C69" s="809" t="s">
        <v>901</v>
      </c>
      <c r="D69" s="801">
        <f>B69/F69</f>
        <v>0</v>
      </c>
      <c r="E69" s="787" t="s">
        <v>468</v>
      </c>
      <c r="F69" s="787">
        <v>0.2</v>
      </c>
      <c r="G69" s="810" t="s">
        <v>1203</v>
      </c>
      <c r="H69" s="811" t="s">
        <v>1204</v>
      </c>
    </row>
    <row r="70" spans="1:8">
      <c r="A70" s="814" t="s">
        <v>1205</v>
      </c>
      <c r="B70" s="803"/>
      <c r="C70" s="787" t="s">
        <v>901</v>
      </c>
      <c r="D70" s="801">
        <f>B70/F70</f>
        <v>0</v>
      </c>
      <c r="E70" s="787" t="s">
        <v>468</v>
      </c>
      <c r="F70" s="787">
        <v>0.05</v>
      </c>
      <c r="G70" s="782" t="s">
        <v>900</v>
      </c>
      <c r="H70" s="815" t="s">
        <v>1206</v>
      </c>
    </row>
    <row r="71" spans="1:8">
      <c r="A71" s="785"/>
      <c r="B71" s="803"/>
      <c r="C71" s="787"/>
      <c r="D71" s="802"/>
      <c r="E71" s="787"/>
      <c r="F71" s="787"/>
      <c r="G71" s="782"/>
      <c r="H71" s="784"/>
    </row>
    <row r="72" spans="1:8">
      <c r="A72" s="822" t="s">
        <v>1241</v>
      </c>
      <c r="B72" s="803"/>
      <c r="C72" s="787"/>
      <c r="D72" s="802"/>
      <c r="E72" s="787"/>
      <c r="F72" s="787"/>
      <c r="G72" s="782"/>
      <c r="H72" s="784"/>
    </row>
    <row r="73" spans="1:8">
      <c r="A73" s="816" t="s">
        <v>1242</v>
      </c>
      <c r="B73" s="817"/>
      <c r="C73" s="787" t="s">
        <v>468</v>
      </c>
      <c r="D73" s="818">
        <f>B73*F73/1000</f>
        <v>0</v>
      </c>
      <c r="E73" s="787" t="s">
        <v>1207</v>
      </c>
      <c r="F73" s="787">
        <v>2.3E-2</v>
      </c>
      <c r="G73" s="782" t="s">
        <v>900</v>
      </c>
      <c r="H73" s="784" t="s">
        <v>1208</v>
      </c>
    </row>
    <row r="74" spans="1:8">
      <c r="A74" s="816" t="s">
        <v>1243</v>
      </c>
      <c r="B74" s="817"/>
      <c r="C74" s="787" t="s">
        <v>468</v>
      </c>
      <c r="D74" s="818">
        <f t="shared" ref="D74:D77" si="1">B74*F74/1000</f>
        <v>0</v>
      </c>
      <c r="E74" s="787" t="s">
        <v>1207</v>
      </c>
      <c r="F74" s="787">
        <v>1.0999999999999999E-2</v>
      </c>
      <c r="G74" s="782" t="s">
        <v>900</v>
      </c>
      <c r="H74" s="784" t="s">
        <v>1208</v>
      </c>
    </row>
    <row r="75" spans="1:8">
      <c r="A75" s="816" t="s">
        <v>1244</v>
      </c>
      <c r="B75" s="817"/>
      <c r="C75" s="787" t="s">
        <v>468</v>
      </c>
      <c r="D75" s="818">
        <f t="shared" si="1"/>
        <v>0</v>
      </c>
      <c r="E75" s="787" t="s">
        <v>1207</v>
      </c>
      <c r="F75" s="787">
        <v>6.6000000000000003E-2</v>
      </c>
      <c r="G75" s="782" t="s">
        <v>900</v>
      </c>
      <c r="H75" s="784" t="s">
        <v>1208</v>
      </c>
    </row>
    <row r="76" spans="1:8">
      <c r="A76" s="816" t="s">
        <v>1245</v>
      </c>
      <c r="B76" s="817"/>
      <c r="C76" s="787" t="s">
        <v>468</v>
      </c>
      <c r="D76" s="818">
        <f t="shared" si="1"/>
        <v>0</v>
      </c>
      <c r="E76" s="787" t="s">
        <v>1207</v>
      </c>
      <c r="F76" s="787">
        <v>0.13900000000000001</v>
      </c>
      <c r="G76" s="782" t="s">
        <v>900</v>
      </c>
      <c r="H76" s="784" t="s">
        <v>1208</v>
      </c>
    </row>
    <row r="77" spans="1:8" ht="26">
      <c r="A77" s="816" t="s">
        <v>1247</v>
      </c>
      <c r="B77" s="817"/>
      <c r="C77" s="787" t="s">
        <v>468</v>
      </c>
      <c r="D77" s="818">
        <f t="shared" si="1"/>
        <v>0</v>
      </c>
      <c r="E77" s="787" t="s">
        <v>1207</v>
      </c>
      <c r="F77" s="787">
        <v>1.1999999999999999E-3</v>
      </c>
      <c r="G77" s="782" t="s">
        <v>900</v>
      </c>
      <c r="H77" s="784" t="s">
        <v>1246</v>
      </c>
    </row>
    <row r="78" spans="1:8">
      <c r="A78" s="785"/>
      <c r="B78" s="817"/>
      <c r="C78" s="787"/>
      <c r="D78" s="801"/>
      <c r="E78" s="787"/>
      <c r="F78" s="787"/>
      <c r="G78" s="782"/>
      <c r="H78" s="784"/>
    </row>
    <row r="79" spans="1:8" ht="15" thickBot="1">
      <c r="A79" s="785"/>
      <c r="B79" s="819"/>
      <c r="C79" s="787"/>
      <c r="D79" s="801"/>
      <c r="E79" s="787"/>
      <c r="F79" s="787"/>
      <c r="G79" s="782"/>
      <c r="H79" s="784"/>
    </row>
    <row r="81" spans="1:8" ht="15.5">
      <c r="A81" s="830" t="s">
        <v>1209</v>
      </c>
    </row>
    <row r="83" spans="1:8">
      <c r="A83" s="823" t="s">
        <v>1210</v>
      </c>
      <c r="B83" s="823" t="s">
        <v>1211</v>
      </c>
      <c r="C83" s="823" t="s">
        <v>1212</v>
      </c>
      <c r="D83" s="824"/>
      <c r="E83" s="824"/>
      <c r="F83" s="824"/>
      <c r="G83" s="824"/>
      <c r="H83" s="825" t="s">
        <v>1213</v>
      </c>
    </row>
    <row r="84" spans="1:8">
      <c r="A84" s="826" t="s">
        <v>1214</v>
      </c>
      <c r="B84" s="827">
        <v>0.39369999999999999</v>
      </c>
      <c r="C84" s="826" t="s">
        <v>1215</v>
      </c>
      <c r="D84" s="824"/>
      <c r="E84" s="824"/>
      <c r="F84" s="824"/>
      <c r="G84" s="824"/>
      <c r="H84" s="825" t="s">
        <v>1216</v>
      </c>
    </row>
    <row r="85" spans="1:8">
      <c r="A85" s="826" t="s">
        <v>1217</v>
      </c>
      <c r="B85" s="827">
        <v>3.5270000000000003E-2</v>
      </c>
      <c r="C85" s="826" t="s">
        <v>1218</v>
      </c>
      <c r="D85" s="824"/>
      <c r="E85" s="824"/>
      <c r="F85" s="824"/>
      <c r="G85" s="824"/>
      <c r="H85" s="825" t="s">
        <v>1219</v>
      </c>
    </row>
    <row r="86" spans="1:8">
      <c r="A86" s="826" t="s">
        <v>1220</v>
      </c>
      <c r="B86" s="828">
        <v>2.2040000000000002</v>
      </c>
      <c r="C86" s="826" t="s">
        <v>1221</v>
      </c>
      <c r="D86" s="824"/>
      <c r="E86" s="824"/>
      <c r="F86" s="824"/>
      <c r="G86" s="824"/>
      <c r="H86" s="825" t="s">
        <v>1222</v>
      </c>
    </row>
    <row r="87" spans="1:8">
      <c r="A87" s="826" t="s">
        <v>1223</v>
      </c>
      <c r="B87" s="827">
        <v>0.62139999999999995</v>
      </c>
      <c r="C87" s="826" t="s">
        <v>1224</v>
      </c>
      <c r="D87" s="824"/>
      <c r="E87" s="824"/>
      <c r="F87" s="824"/>
      <c r="G87" s="824"/>
      <c r="H87" s="825" t="s">
        <v>1225</v>
      </c>
    </row>
    <row r="88" spans="1:8">
      <c r="A88" s="826" t="s">
        <v>1226</v>
      </c>
      <c r="B88" s="827">
        <v>33.82</v>
      </c>
      <c r="C88" s="826" t="s">
        <v>1227</v>
      </c>
      <c r="D88" s="824"/>
      <c r="E88" s="824"/>
      <c r="F88" s="824"/>
      <c r="G88" s="824"/>
      <c r="H88" s="825" t="s">
        <v>1228</v>
      </c>
    </row>
    <row r="89" spans="1:8">
      <c r="A89" s="826" t="s">
        <v>1226</v>
      </c>
      <c r="B89" s="828">
        <v>1E-3</v>
      </c>
      <c r="C89" s="826" t="s">
        <v>1229</v>
      </c>
      <c r="D89" s="824"/>
      <c r="E89" s="824"/>
      <c r="F89" s="824"/>
      <c r="G89" s="824"/>
      <c r="H89" s="825" t="s">
        <v>1230</v>
      </c>
    </row>
    <row r="90" spans="1:8">
      <c r="A90" s="826" t="s">
        <v>1231</v>
      </c>
      <c r="B90" s="828">
        <v>3.2810000000000001</v>
      </c>
      <c r="C90" s="826" t="s">
        <v>1232</v>
      </c>
      <c r="D90" s="824"/>
      <c r="E90" s="824"/>
      <c r="F90" s="824"/>
      <c r="G90" s="824"/>
      <c r="H90" s="824"/>
    </row>
    <row r="91" spans="1:8">
      <c r="A91" s="826" t="s">
        <v>1233</v>
      </c>
      <c r="B91" s="827">
        <v>1.1023000000000001</v>
      </c>
      <c r="C91" s="826" t="s">
        <v>1234</v>
      </c>
      <c r="D91" s="824"/>
      <c r="E91" s="829"/>
      <c r="F91" s="824"/>
      <c r="G91" s="824"/>
      <c r="H91" s="824"/>
    </row>
    <row r="92" spans="1:8">
      <c r="A92" s="826" t="s">
        <v>1235</v>
      </c>
      <c r="B92" s="827">
        <v>247.1</v>
      </c>
      <c r="C92" s="826" t="s">
        <v>1236</v>
      </c>
      <c r="D92" s="824"/>
      <c r="E92" s="824"/>
      <c r="F92" s="824"/>
      <c r="G92" s="824"/>
      <c r="H92" s="824"/>
    </row>
  </sheetData>
  <sheetProtection algorithmName="SHA-512" hashValue="AoFUSNW/t9XoNjCwHLV9k9k2OHVxzhBS87AmoF3FZsNxjloSLM1FyZhRPEsGeyB/hWdWcbyBIoSH5Qf9j2Z/4g==" saltValue="ZtwjPEKT4KnQ/2AOp4U46A==" spinCount="100000" sheet="1" formatCells="0" formatColumns="0" formatRows="0"/>
  <mergeCells count="7">
    <mergeCell ref="A42:A44"/>
    <mergeCell ref="A20:A22"/>
    <mergeCell ref="A23:A25"/>
    <mergeCell ref="A29:A31"/>
    <mergeCell ref="A32:A34"/>
    <mergeCell ref="A35:A37"/>
    <mergeCell ref="A38:A40"/>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N34"/>
  <sheetViews>
    <sheetView workbookViewId="0">
      <selection activeCell="B5" sqref="B5"/>
    </sheetView>
  </sheetViews>
  <sheetFormatPr defaultColWidth="9.1796875" defaultRowHeight="12.5"/>
  <cols>
    <col min="1" max="1" width="48.36328125" style="339" customWidth="1"/>
    <col min="2" max="2" width="10.36328125" style="339" customWidth="1"/>
    <col min="3" max="3" width="10.6328125" style="339" customWidth="1"/>
    <col min="4" max="4" width="9.6328125" style="339" customWidth="1"/>
    <col min="5" max="5" width="9.81640625" style="339" customWidth="1"/>
    <col min="6" max="6" width="11.36328125" style="339" customWidth="1"/>
    <col min="7" max="7" width="10" style="339" customWidth="1"/>
    <col min="8" max="8" width="14.36328125" style="339" customWidth="1"/>
    <col min="9" max="9" width="9.81640625" style="339" customWidth="1"/>
    <col min="10" max="16384" width="9.1796875" style="339"/>
  </cols>
  <sheetData>
    <row r="1" spans="1:14" ht="13">
      <c r="A1" s="356" t="s">
        <v>501</v>
      </c>
      <c r="B1" s="356"/>
    </row>
    <row r="2" spans="1:14" s="361" customFormat="1">
      <c r="A2" s="263" t="s">
        <v>312</v>
      </c>
      <c r="B2" s="858" t="s">
        <v>1263</v>
      </c>
      <c r="C2" s="860" t="s">
        <v>363</v>
      </c>
      <c r="D2" s="861"/>
      <c r="E2" s="861"/>
      <c r="F2" s="861"/>
      <c r="G2" s="861"/>
      <c r="H2" s="861"/>
      <c r="I2" s="862"/>
      <c r="J2" s="863" t="s">
        <v>875</v>
      </c>
    </row>
    <row r="3" spans="1:14" ht="37.5">
      <c r="A3" s="417"/>
      <c r="B3" s="859"/>
      <c r="C3" s="269" t="s">
        <v>38</v>
      </c>
      <c r="D3" s="269" t="s">
        <v>39</v>
      </c>
      <c r="E3" s="269" t="s">
        <v>40</v>
      </c>
      <c r="F3" s="436" t="s">
        <v>499</v>
      </c>
      <c r="G3" s="264" t="s">
        <v>42</v>
      </c>
      <c r="H3" s="264" t="s">
        <v>364</v>
      </c>
      <c r="I3" s="561" t="s">
        <v>883</v>
      </c>
      <c r="J3" s="859"/>
    </row>
    <row r="4" spans="1:14">
      <c r="A4" s="373" t="s">
        <v>488</v>
      </c>
      <c r="B4" s="425" t="str">
        <f>IF(OR('Level 1- total summary'!E5=pres,'Level 1- total summary'!E6=pres,'Level 1- total summary'!E7=pres),pres,SUM('Level 1- total summary'!E5:E7))</f>
        <v>Present?</v>
      </c>
      <c r="C4" s="425" t="str">
        <f>IF(OR('Level 1- total summary'!F5=pres,'Level 1- total summary'!F6=pres,'Level 1- total summary'!F7=pres),pres,SUM('Level 1- total summary'!F5:F7))</f>
        <v>Present?</v>
      </c>
      <c r="D4" s="425" t="str">
        <f>IF(OR('Level 1- total summary'!G5=pres,'Level 1- total summary'!G6=pres,'Level 1- total summary'!G7=pres),pres,SUM('Level 1- total summary'!G5:G7))</f>
        <v>Present?</v>
      </c>
      <c r="E4" s="425" t="str">
        <f>IF(OR('Level 1- total summary'!H5=pres,'Level 1- total summary'!H6=pres,'Level 1- total summary'!H7=pres),pres,SUM('Level 1- total summary'!H5:H7))</f>
        <v>Present?</v>
      </c>
      <c r="F4" s="425" t="str">
        <f>IF(OR('Level 1- total summary'!I5=pres,'Level 1- total summary'!I6=pres,'Level 1- total summary'!I7=pres),pres,SUM('Level 1- total summary'!I5:I7))</f>
        <v>Present?</v>
      </c>
      <c r="G4" s="425" t="str">
        <f>IF(OR('Level 1- total summary'!J5=pres,'Level 1- total summary'!J6=pres,'Level 1- total summary'!J7=pres),pres,SUM('Level 1- total summary'!J5:J7))</f>
        <v>Present?</v>
      </c>
      <c r="H4" s="425" t="str">
        <f>IF(OR('Level 1- total summary'!K5=pres,'Level 1- total summary'!K6=pres,'Level 1- total summary'!K7=pres),pres,SUM('Level 1- total summary'!K5:K7))</f>
        <v>Present?</v>
      </c>
      <c r="I4" s="440">
        <f>SUM(C4:H4)</f>
        <v>0</v>
      </c>
      <c r="J4" s="470" t="e">
        <f>I4/$I$21</f>
        <v>#DIV/0!</v>
      </c>
      <c r="N4" s="455"/>
    </row>
    <row r="5" spans="1:14">
      <c r="A5" s="371" t="s">
        <v>489</v>
      </c>
      <c r="B5" s="425" t="str">
        <f>IF(OR('Level 1- total summary'!E8=pres,'Level 1- total summary'!E9=pres,'Level 1- total summary'!E10=pres,'Level 1- total summary'!E11=pres,'Level 1- total summary'!E12=pres,'Level 1- total summary'!E13=pres),pres,SUM('Level 1- total summary'!E8:E13))</f>
        <v>Present?</v>
      </c>
      <c r="C5" s="425" t="str">
        <f>IF(OR('Level 1- total summary'!F8=pres,'Level 1- total summary'!F9=pres,'Level 1- total summary'!F10=pres,'Level 1- total summary'!F11=pres,'Level 1- total summary'!F12=pres,'Level 1- total summary'!F13=pres),pres,SUM('Level 1- total summary'!F8:F13))</f>
        <v>Present?</v>
      </c>
      <c r="D5" s="425" t="str">
        <f>IF(OR('Level 1- total summary'!G8=pres,'Level 1- total summary'!G9=pres,'Level 1- total summary'!G10=pres,'Level 1- total summary'!G11=pres,'Level 1- total summary'!G12=pres,'Level 1- total summary'!G13=pres),pres,SUM('Level 1- total summary'!G8:G13))</f>
        <v>Present?</v>
      </c>
      <c r="E5" s="425" t="str">
        <f>IF(OR('Level 1- total summary'!H8=pres,'Level 1- total summary'!H9=pres,'Level 1- total summary'!H10=pres,'Level 1- total summary'!H11=pres,'Level 1- total summary'!H12=pres,'Level 1- total summary'!H13=pres),pres,SUM('Level 1- total summary'!H8:H13))</f>
        <v>Present?</v>
      </c>
      <c r="F5" s="425" t="str">
        <f>IF(OR('Level 1- total summary'!I8=pres,'Level 1- total summary'!I9=pres,'Level 1- total summary'!I10=pres,'Level 1- total summary'!I11=pres,'Level 1- total summary'!I12=pres,'Level 1- total summary'!I13=pres),pres,SUM('Level 1- total summary'!I8:I13))</f>
        <v>Present?</v>
      </c>
      <c r="G5" s="425" t="str">
        <f>IF(OR('Level 1- total summary'!J8=pres,'Level 1- total summary'!J9=pres,'Level 1- total summary'!J10=pres,'Level 1- total summary'!J11=pres,'Level 1- total summary'!J12=pres,'Level 1- total summary'!J13=pres),pres,SUM('Level 1- total summary'!J8:J13))</f>
        <v>Present?</v>
      </c>
      <c r="H5" s="425" t="str">
        <f>IF(OR('Level 1- total summary'!K8=pres,'Level 1- total summary'!K9=pres,'Level 1- total summary'!K10=pres,'Level 1- total summary'!K11=pres,'Level 1- total summary'!K12=pres,'Level 1- total summary'!K13=pres),pres,SUM('Level 1- total summary'!K8:K13))</f>
        <v>Present?</v>
      </c>
      <c r="I5" s="440">
        <f t="shared" ref="I5:I20" si="0">SUM(C5:H5)</f>
        <v>0</v>
      </c>
      <c r="J5" s="470" t="e">
        <f t="shared" ref="J5:J20" si="1">I5/$I$21</f>
        <v>#DIV/0!</v>
      </c>
    </row>
    <row r="6" spans="1:14">
      <c r="A6" s="373" t="s">
        <v>497</v>
      </c>
      <c r="B6" s="425" t="str">
        <f>IF(OR('Level 1- total summary'!E15=pres,'Level 1- total summary'!E16=pres,'Level 1- total summary'!E17=pres),pres,SUM('Level 1- total summary'!E15:E17))</f>
        <v>Present?</v>
      </c>
      <c r="C6" s="425" t="str">
        <f>IF(OR('Level 1- total summary'!F15=pres,'Level 1- total summary'!F16=pres,'Level 1- total summary'!F17=pres),pres,SUM('Level 1- total summary'!F15:F17))</f>
        <v>Present?</v>
      </c>
      <c r="D6" s="425" t="str">
        <f>IF(OR('Level 1- total summary'!G15=pres,'Level 1- total summary'!G16=pres,'Level 1- total summary'!G17=pres),pres,SUM('Level 1- total summary'!G15:G17))</f>
        <v>Present?</v>
      </c>
      <c r="E6" s="425" t="str">
        <f>IF(OR('Level 1- total summary'!H15=pres,'Level 1- total summary'!H16=pres,'Level 1- total summary'!H17=pres),pres,SUM('Level 1- total summary'!H15:H17))</f>
        <v>Present?</v>
      </c>
      <c r="F6" s="425" t="str">
        <f>IF(OR('Level 1- total summary'!I15=pres,'Level 1- total summary'!I16=pres,'Level 1- total summary'!I17=pres),pres,SUM('Level 1- total summary'!I15:I17))</f>
        <v>Present?</v>
      </c>
      <c r="G6" s="425" t="str">
        <f>IF(OR('Level 1- total summary'!J15=pres,'Level 1- total summary'!J16=pres,'Level 1- total summary'!J17=pres),pres,SUM('Level 1- total summary'!J15:J17))</f>
        <v>Present?</v>
      </c>
      <c r="H6" s="425" t="str">
        <f>IF(OR('Level 1- total summary'!K15=pres,'Level 1- total summary'!K16=pres,'Level 1- total summary'!K17=pres),pres,SUM('Level 1- total summary'!K15:K17))</f>
        <v>Present?</v>
      </c>
      <c r="I6" s="469">
        <f t="shared" si="0"/>
        <v>0</v>
      </c>
      <c r="J6" s="470" t="e">
        <f t="shared" si="1"/>
        <v>#DIV/0!</v>
      </c>
      <c r="L6" s="472"/>
    </row>
    <row r="7" spans="1:14" ht="25">
      <c r="A7" s="373" t="s">
        <v>498</v>
      </c>
      <c r="B7" s="425" t="str">
        <f>IF(OR('Level 1- total summary'!E19=pres,'Level 1- total summary'!E20=pres,'Level 1- total summary'!E21=pres,'Level 1- total summary'!E22=pres,'Level 1- total summary'!E23=pres,'Level 1- total summary'!E24=pres,'Level 1- total summary'!E25=pres),pres,SUM('Level 1- total summary'!E19:E25))</f>
        <v>Present?</v>
      </c>
      <c r="C7" s="425" t="str">
        <f>IF(OR('Level 1- total summary'!F19=pres,'Level 1- total summary'!F20=pres,'Level 1- total summary'!F21=pres,'Level 1- total summary'!F22=pres,'Level 1- total summary'!F23=pres,'Level 1- total summary'!F24=pres,'Level 1- total summary'!F25=pres),pres,SUM('Level 1- total summary'!F19:F25))</f>
        <v>Present?</v>
      </c>
      <c r="D7" s="425" t="str">
        <f>IF(OR('Level 1- total summary'!G19=pres,'Level 1- total summary'!G20=pres,'Level 1- total summary'!G21=pres,'Level 1- total summary'!G22=pres,'Level 1- total summary'!G23=pres,'Level 1- total summary'!G24=pres,'Level 1- total summary'!G25=pres),pres,SUM('Level 1- total summary'!G19:G25))</f>
        <v>Present?</v>
      </c>
      <c r="E7" s="425" t="str">
        <f>IF(OR('Level 1- total summary'!H19=pres,'Level 1- total summary'!H20=pres,'Level 1- total summary'!H21=pres,'Level 1- total summary'!H22=pres,'Level 1- total summary'!H23=pres,'Level 1- total summary'!H24=pres,'Level 1- total summary'!H25=pres),pres,SUM('Level 1- total summary'!H19:H25))</f>
        <v>Present?</v>
      </c>
      <c r="F7" s="425" t="str">
        <f>IF(OR('Level 1- total summary'!I19=pres,'Level 1- total summary'!I20=pres,'Level 1- total summary'!I21=pres,'Level 1- total summary'!I22=pres,'Level 1- total summary'!I23=pres,'Level 1- total summary'!I24=pres,'Level 1- total summary'!I25=pres),pres,SUM('Level 1- total summary'!I19:I25))</f>
        <v>Present?</v>
      </c>
      <c r="G7" s="425" t="str">
        <f>IF(OR('Level 1- total summary'!J19=pres,'Level 1- total summary'!J20=pres,'Level 1- total summary'!J21=pres,'Level 1- total summary'!J22=pres,'Level 1- total summary'!J23=pres,'Level 1- total summary'!J24=pres,'Level 1- total summary'!J25=pres),pres,SUM('Level 1- total summary'!J19:J25))</f>
        <v>Present?</v>
      </c>
      <c r="H7" s="425" t="str">
        <f>IF(OR('Level 1- total summary'!K19=pres,'Level 1- total summary'!K20=pres,'Level 1- total summary'!K21=pres,'Level 1- total summary'!K22=pres,'Level 1- total summary'!K23=pres,'Level 1- total summary'!K24=pres,'Level 1- total summary'!K25=pres),pres,SUM('Level 1- total summary'!K19:K25))</f>
        <v>Present?</v>
      </c>
      <c r="I7" s="469">
        <f t="shared" si="0"/>
        <v>0</v>
      </c>
      <c r="J7" s="470" t="e">
        <f t="shared" si="1"/>
        <v>#DIV/0!</v>
      </c>
      <c r="L7" s="472"/>
      <c r="N7" s="455"/>
    </row>
    <row r="8" spans="1:14">
      <c r="A8" s="373" t="s">
        <v>490</v>
      </c>
      <c r="B8" s="425" t="str">
        <f>IF(OR('Level 1- total summary'!E26=pres,'Level 1- total summary'!E27=pres),pres,SUM('Level 1- total summary'!E26:E27))</f>
        <v>Present?</v>
      </c>
      <c r="C8" s="425" t="str">
        <f>IF(OR('Level 1- total summary'!F26=pres,'Level 1- total summary'!F27=pres),pres,SUM('Level 1- total summary'!F26:F27))</f>
        <v>Present?</v>
      </c>
      <c r="D8" s="425" t="str">
        <f>IF(OR('Level 1- total summary'!G26=pres,'Level 1- total summary'!G27=pres),pres,SUM('Level 1- total summary'!G26:G27))</f>
        <v>Present?</v>
      </c>
      <c r="E8" s="425" t="str">
        <f>IF(OR('Level 1- total summary'!H26=pres,'Level 1- total summary'!H27=pres),pres,SUM('Level 1- total summary'!H26:H27))</f>
        <v>Present?</v>
      </c>
      <c r="F8" s="425" t="str">
        <f>IF(OR('Level 1- total summary'!I26=pres,'Level 1- total summary'!I27=pres),pres,SUM('Level 1- total summary'!I26:I27))</f>
        <v>Present?</v>
      </c>
      <c r="G8" s="425" t="str">
        <f>IF(OR('Level 1- total summary'!J26=pres,'Level 1- total summary'!J27=pres),pres,SUM('Level 1- total summary'!J26:J27))</f>
        <v>Present?</v>
      </c>
      <c r="H8" s="425" t="str">
        <f>IF(OR('Level 1- total summary'!K26=pres,'Level 1- total summary'!K27=pres),pres,SUM('Level 1- total summary'!K26:K27))</f>
        <v>Present?</v>
      </c>
      <c r="I8" s="469">
        <f t="shared" si="0"/>
        <v>0</v>
      </c>
      <c r="J8" s="470" t="e">
        <f t="shared" si="1"/>
        <v>#DIV/0!</v>
      </c>
      <c r="L8" s="472"/>
    </row>
    <row r="9" spans="1:14">
      <c r="A9" s="687" t="s">
        <v>1107</v>
      </c>
      <c r="B9" s="425" t="str">
        <f>IF(OR('Level 1- total summary'!E29=pres,'Level 1- total summary'!E30=pres),pres,SUM('Level 1- total summary'!E29:E30))</f>
        <v>Present?</v>
      </c>
      <c r="C9" s="425" t="str">
        <f>IF(OR('Level 1- total summary'!F29=pres,'Level 1- total summary'!F30=pres),pres,SUM('Level 1- total summary'!F29:F30))</f>
        <v>Present?</v>
      </c>
      <c r="D9" s="425" t="str">
        <f>IF(OR('Level 1- total summary'!G29=pres,'Level 1- total summary'!G30=pres),pres,SUM('Level 1- total summary'!G29:G30))</f>
        <v>Present?</v>
      </c>
      <c r="E9" s="425" t="str">
        <f>IF(OR('Level 1- total summary'!H29=pres,'Level 1- total summary'!H30=pres),pres,SUM('Level 1- total summary'!H29:H30))</f>
        <v>Present?</v>
      </c>
      <c r="F9" s="425" t="str">
        <f>IF(OR('Level 1- total summary'!I29=pres,'Level 1- total summary'!I30=pres),pres,SUM('Level 1- total summary'!I29:I30))</f>
        <v>Present?</v>
      </c>
      <c r="G9" s="425" t="str">
        <f>IF(OR('Level 1- total summary'!J29=pres,'Level 1- total summary'!J30=pres),pres,SUM('Level 1- total summary'!J29:J30))</f>
        <v>Present?</v>
      </c>
      <c r="H9" s="425" t="str">
        <f>IF(OR('Level 1- total summary'!K29=pres,'Level 1- total summary'!K30=pres),pres,SUM('Level 1- total summary'!K29:K30))</f>
        <v>Present?</v>
      </c>
      <c r="I9" s="469">
        <f t="shared" si="0"/>
        <v>0</v>
      </c>
      <c r="J9" s="470" t="e">
        <f t="shared" si="1"/>
        <v>#DIV/0!</v>
      </c>
      <c r="L9" s="472"/>
      <c r="N9" s="472"/>
    </row>
    <row r="10" spans="1:14">
      <c r="A10" s="373" t="s">
        <v>382</v>
      </c>
      <c r="B10" s="425" t="str">
        <f>'Level 1- total summary'!E32</f>
        <v>Present?</v>
      </c>
      <c r="C10" s="425" t="str">
        <f>'Level 1- total summary'!F32</f>
        <v>Present?</v>
      </c>
      <c r="D10" s="425" t="str">
        <f>'Level 1- total summary'!G32</f>
        <v>Present?</v>
      </c>
      <c r="E10" s="425" t="str">
        <f>'Level 1- total summary'!H32</f>
        <v>Present?</v>
      </c>
      <c r="F10" s="425" t="str">
        <f>'Level 1- total summary'!I32</f>
        <v>Present?</v>
      </c>
      <c r="G10" s="425" t="str">
        <f>'Level 1- total summary'!J32</f>
        <v>Present?</v>
      </c>
      <c r="H10" s="425" t="str">
        <f>'Level 1- total summary'!K32</f>
        <v>Present?</v>
      </c>
      <c r="I10" s="469">
        <f t="shared" si="0"/>
        <v>0</v>
      </c>
      <c r="J10" s="470" t="e">
        <f t="shared" si="1"/>
        <v>#DIV/0!</v>
      </c>
      <c r="L10" s="472"/>
    </row>
    <row r="11" spans="1:14">
      <c r="A11" s="373" t="s">
        <v>491</v>
      </c>
      <c r="B11" s="425" t="str">
        <f>IF(OR('Level 1- total summary'!E33=pres,'Level 1- total summary'!E34=pres),pres,SUM('Level 1- total summary'!E33:E34))</f>
        <v>Present?</v>
      </c>
      <c r="C11" s="425" t="str">
        <f>IF(OR('Level 1- total summary'!F33=pres,'Level 1- total summary'!F34=pres),pres,SUM('Level 1- total summary'!F33:F34))</f>
        <v>Present?</v>
      </c>
      <c r="D11" s="425" t="str">
        <f>IF(OR('Level 1- total summary'!G33=pres,'Level 1- total summary'!G34=pres),pres,SUM('Level 1- total summary'!G33:G34))</f>
        <v>Present?</v>
      </c>
      <c r="E11" s="425" t="str">
        <f>IF(OR('Level 1- total summary'!H33=pres,'Level 1- total summary'!H34=pres),pres,SUM('Level 1- total summary'!H33:H34))</f>
        <v>Present?</v>
      </c>
      <c r="F11" s="425" t="str">
        <f>IF(OR('Level 1- total summary'!I33=pres,'Level 1- total summary'!I34=pres),pres,SUM('Level 1- total summary'!I33:I34))</f>
        <v>Present?</v>
      </c>
      <c r="G11" s="425" t="str">
        <f>IF(OR('Level 1- total summary'!J33=pres,'Level 1- total summary'!J34=pres),pres,SUM('Level 1- total summary'!J33:J34))</f>
        <v>Present?</v>
      </c>
      <c r="H11" s="425" t="str">
        <f>IF(OR('Level 1- total summary'!K33=pres,'Level 1- total summary'!K34=pres),pres,SUM('Level 1- total summary'!K33:K34))</f>
        <v>Present?</v>
      </c>
      <c r="I11" s="469">
        <f t="shared" si="0"/>
        <v>0</v>
      </c>
      <c r="J11" s="470" t="e">
        <f t="shared" si="1"/>
        <v>#DIV/0!</v>
      </c>
      <c r="L11" s="472"/>
      <c r="N11" s="472"/>
    </row>
    <row r="12" spans="1:14">
      <c r="A12" s="373" t="s">
        <v>871</v>
      </c>
      <c r="B12" s="425" t="str">
        <f>IF(OR('Level 1- total summary'!E36=pres,'Level 1- total summary'!E37=pres,'Level 1- total summary'!E38=pres,'Level 1- total summary'!E39=pres,'Level 1- total summary'!E40=pres,'Level 1- total summary'!E41=pres,'Level 1- total summary'!E42=pres,'Level 1- total summary'!E43=pres),pres,SUM('Level 1- total summary'!E36:E43))</f>
        <v>Present?</v>
      </c>
      <c r="C12" s="425" t="str">
        <f>IF(OR('Level 1- total summary'!F36=pres,'Level 1- total summary'!F37=pres,'Level 1- total summary'!F38=pres,'Level 1- total summary'!F39=pres,'Level 1- total summary'!F40=pres,'Level 1- total summary'!F41=pres,'Level 1- total summary'!F42=pres,'Level 1- total summary'!F43=pres),pres,SUM('Level 1- total summary'!F36:F43))</f>
        <v>Present?</v>
      </c>
      <c r="D12" s="425" t="str">
        <f>IF(OR('Level 1- total summary'!G36=pres,'Level 1- total summary'!G37=pres,'Level 1- total summary'!G38=pres,'Level 1- total summary'!G39=pres,'Level 1- total summary'!G40=pres,'Level 1- total summary'!G41=pres,'Level 1- total summary'!G42=pres,'Level 1- total summary'!G43=pres),pres,SUM('Level 1- total summary'!G36:G43))</f>
        <v>Present?</v>
      </c>
      <c r="E12" s="425" t="str">
        <f>IF(OR('Level 1- total summary'!H36=pres,'Level 1- total summary'!H37=pres,'Level 1- total summary'!H38=pres,'Level 1- total summary'!H39=pres,'Level 1- total summary'!H40=pres,'Level 1- total summary'!H41=pres,'Level 1- total summary'!H42=pres,'Level 1- total summary'!H43=pres),pres,SUM('Level 1- total summary'!H36:H43))</f>
        <v>Present?</v>
      </c>
      <c r="F12" s="425" t="str">
        <f>IF(OR('Level 1- total summary'!I36=pres,'Level 1- total summary'!I37=pres,'Level 1- total summary'!I38=pres,'Level 1- total summary'!I39=pres,'Level 1- total summary'!I40=pres,'Level 1- total summary'!I41=pres,'Level 1- total summary'!I42=pres,'Level 1- total summary'!I43=pres),pres,SUM('Level 1- total summary'!I36:I43))</f>
        <v>Present?</v>
      </c>
      <c r="G12" s="425" t="str">
        <f>IF(OR('Level 1- total summary'!J36=pres,'Level 1- total summary'!J37=pres,'Level 1- total summary'!J38=pres,'Level 1- total summary'!J39=pres,'Level 1- total summary'!J40=pres,'Level 1- total summary'!J41=pres,'Level 1- total summary'!J42=pres,'Level 1- total summary'!J43=pres),pres,SUM('Level 1- total summary'!J36:J43))</f>
        <v>Present?</v>
      </c>
      <c r="H12" s="425" t="str">
        <f>IF(OR('Level 1- total summary'!K36=pres,'Level 1- total summary'!K37=pres,'Level 1- total summary'!K38=pres,'Level 1- total summary'!K39=pres,'Level 1- total summary'!K40=pres,'Level 1- total summary'!K41=pres,'Level 1- total summary'!K42=pres,'Level 1- total summary'!K43=pres),pres,SUM('Level 1- total summary'!K36:K43))</f>
        <v>Present?</v>
      </c>
      <c r="I12" s="469">
        <f t="shared" si="0"/>
        <v>0</v>
      </c>
      <c r="J12" s="470" t="e">
        <f t="shared" si="1"/>
        <v>#DIV/0!</v>
      </c>
      <c r="L12" s="472"/>
    </row>
    <row r="13" spans="1:14">
      <c r="A13" s="373" t="s">
        <v>866</v>
      </c>
      <c r="B13" s="425" t="str">
        <f>'Level 1- total summary'!E45</f>
        <v>Present?</v>
      </c>
      <c r="C13" s="437" t="str">
        <f>'Level 1- total summary'!F45</f>
        <v>Present?</v>
      </c>
      <c r="D13" s="437" t="str">
        <f>'Level 1- total summary'!G45</f>
        <v>Present?</v>
      </c>
      <c r="E13" s="437" t="str">
        <f>'Level 1- total summary'!H45</f>
        <v>Present?</v>
      </c>
      <c r="F13" s="437" t="str">
        <f>'Level 1- total summary'!I45</f>
        <v>Present?</v>
      </c>
      <c r="G13" s="437" t="str">
        <f>'Level 1- total summary'!J45</f>
        <v>Present?</v>
      </c>
      <c r="H13" s="437" t="str">
        <f>'Level 1- total summary'!K45</f>
        <v>Present?</v>
      </c>
      <c r="I13" s="469">
        <f t="shared" si="0"/>
        <v>0</v>
      </c>
      <c r="J13" s="470" t="e">
        <f t="shared" si="1"/>
        <v>#DIV/0!</v>
      </c>
      <c r="L13" s="472"/>
    </row>
    <row r="14" spans="1:14">
      <c r="A14" s="373" t="s">
        <v>492</v>
      </c>
      <c r="B14" s="425" t="str">
        <f>IF(OR('Level 1- total summary'!E46=pres,'Level 1- total summary'!E47=pres,'Level 1- total summary'!E48=pres,'Level 1- total summary'!E49=pres,'Level 1- total summary'!E50=pres,'Level 1- total summary'!E51=pres,'Level 1- total summary'!E52=pres,'Level 1- total summary'!E53=pres,'Level 1- total summary'!E54=pres,'Level 1- total summary'!E55=pres,'Level 1- total summary'!E56=pres),pres,SUM('Level 1- total summary'!E46:E56))</f>
        <v>Present?</v>
      </c>
      <c r="C14" s="425" t="str">
        <f>IF(OR('Level 1- total summary'!F46=pres,'Level 1- total summary'!F47=pres,'Level 1- total summary'!F48=pres,'Level 1- total summary'!F49=pres,'Level 1- total summary'!F50=pres,'Level 1- total summary'!F51=pres,'Level 1- total summary'!F52=pres,'Level 1- total summary'!F53=pres,'Level 1- total summary'!F54=pres,'Level 1- total summary'!F55=pres,'Level 1- total summary'!F56=pres),pres,SUM('Level 1- total summary'!F46:F56))</f>
        <v>Present?</v>
      </c>
      <c r="D14" s="425" t="str">
        <f>IF(OR('Level 1- total summary'!G46=pres,'Level 1- total summary'!G47=pres,'Level 1- total summary'!G48=pres,'Level 1- total summary'!G49=pres,'Level 1- total summary'!G50=pres,'Level 1- total summary'!G51=pres,'Level 1- total summary'!G52=pres,'Level 1- total summary'!G53=pres,'Level 1- total summary'!G54=pres,'Level 1- total summary'!G55=pres,'Level 1- total summary'!G56=pres),pres,SUM('Level 1- total summary'!G46:G56))</f>
        <v>Present?</v>
      </c>
      <c r="E14" s="425" t="str">
        <f>IF(OR('Level 1- total summary'!H46=pres,'Level 1- total summary'!H47=pres,'Level 1- total summary'!H48=pres,'Level 1- total summary'!H49=pres,'Level 1- total summary'!H50=pres,'Level 1- total summary'!H51=pres,'Level 1- total summary'!H52=pres,'Level 1- total summary'!H53=pres,'Level 1- total summary'!H54=pres,'Level 1- total summary'!H55=pres,'Level 1- total summary'!H56=pres),pres,SUM('Level 1- total summary'!H46:H56))</f>
        <v>Present?</v>
      </c>
      <c r="F14" s="425" t="str">
        <f>IF(OR('Level 1- total summary'!I46=pres,'Level 1- total summary'!I47=pres,'Level 1- total summary'!I48=pres,'Level 1- total summary'!I49=pres,'Level 1- total summary'!I50=pres,'Level 1- total summary'!I51=pres,'Level 1- total summary'!I52=pres,'Level 1- total summary'!I53=pres,'Level 1- total summary'!I54=pres,'Level 1- total summary'!I55=pres,'Level 1- total summary'!I56=pres),pres,SUM('Level 1- total summary'!I46:I56))</f>
        <v>Present?</v>
      </c>
      <c r="G14" s="425" t="str">
        <f>IF(OR('Level 1- total summary'!J46=pres,'Level 1- total summary'!J47=pres,'Level 1- total summary'!J48=pres,'Level 1- total summary'!J49=pres,'Level 1- total summary'!J50=pres,'Level 1- total summary'!J51=pres,'Level 1- total summary'!J52=pres,'Level 1- total summary'!J53=pres,'Level 1- total summary'!J54=pres,'Level 1- total summary'!J55=pres,'Level 1- total summary'!J56=pres),pres,SUM('Level 1- total summary'!J46:J56))</f>
        <v>Present?</v>
      </c>
      <c r="H14" s="425" t="str">
        <f>IF(OR('Level 1- total summary'!K46=pres,'Level 1- total summary'!K47=pres,'Level 1- total summary'!K48=pres,'Level 1- total summary'!K49=pres,'Level 1- total summary'!K50=pres,'Level 1- total summary'!K51=pres,'Level 1- total summary'!K52=pres,'Level 1- total summary'!K53=pres,'Level 1- total summary'!K54=pres,'Level 1- total summary'!K55=pres,'Level 1- total summary'!K56=pres),pres,SUM('Level 1- total summary'!K46:K56))</f>
        <v>Present?</v>
      </c>
      <c r="I14" s="469">
        <f t="shared" si="0"/>
        <v>0</v>
      </c>
      <c r="J14" s="470" t="e">
        <f t="shared" si="1"/>
        <v>#DIV/0!</v>
      </c>
      <c r="L14" s="472"/>
    </row>
    <row r="15" spans="1:14">
      <c r="A15" s="373" t="s">
        <v>493</v>
      </c>
      <c r="B15" s="425" t="str">
        <f>IF(OR('Level 1- total summary'!E58=pres,'Level 1- total summary'!E59=pres),pres,SUM('Level 1- total summary'!E58:E59))</f>
        <v>Present?</v>
      </c>
      <c r="C15" s="425" t="str">
        <f>IF(OR('Level 1- total summary'!F58=pres,'Level 1- total summary'!F59=pres),pres,SUM('Level 1- total summary'!F58:F59))</f>
        <v>Present?</v>
      </c>
      <c r="D15" s="425" t="str">
        <f>IF(OR('Level 1- total summary'!G58=pres,'Level 1- total summary'!G59=pres),pres,SUM('Level 1- total summary'!G58:G59))</f>
        <v>Present?</v>
      </c>
      <c r="E15" s="425" t="str">
        <f>IF(OR('Level 1- total summary'!H58=pres,'Level 1- total summary'!H59=pres),pres,SUM('Level 1- total summary'!H58:H59))</f>
        <v>Present?</v>
      </c>
      <c r="F15" s="425" t="str">
        <f>IF(OR('Level 1- total summary'!I58=pres,'Level 1- total summary'!I59=pres),pres,SUM('Level 1- total summary'!I58:I59))</f>
        <v>Present?</v>
      </c>
      <c r="G15" s="425" t="str">
        <f>IF(OR('Level 1- total summary'!J58=pres,'Level 1- total summary'!J59=pres),pres,SUM('Level 1- total summary'!J58:J59))</f>
        <v>Present?</v>
      </c>
      <c r="H15" s="425" t="str">
        <f>IF(OR('Level 1- total summary'!K58=pres,'Level 1- total summary'!K59=pres),pres,SUM('Level 1- total summary'!K58:K59))</f>
        <v>Present?</v>
      </c>
      <c r="I15" s="469">
        <f t="shared" si="0"/>
        <v>0</v>
      </c>
      <c r="J15" s="470" t="e">
        <f t="shared" si="1"/>
        <v>#DIV/0!</v>
      </c>
      <c r="L15" s="472"/>
    </row>
    <row r="16" spans="1:14">
      <c r="A16" s="373" t="s">
        <v>872</v>
      </c>
      <c r="B16" s="425" t="str">
        <f>IF(OR('Level 1- total summary'!E61=pres,'Level 1- total summary'!E62=pres,'Level 1- total summary'!E63=pres,'Level 1- total summary'!E64=pres,'Level 1- total summary'!E65=pres),pres,SUM('Level 1- total summary'!E61:E65))</f>
        <v>Present?</v>
      </c>
      <c r="C16" s="425" t="str">
        <f>IF(OR('Level 1- total summary'!F61=pres,'Level 1- total summary'!F62=pres,'Level 1- total summary'!F63=pres,'Level 1- total summary'!F64=pres,'Level 1- total summary'!F65=pres),pres,SUM('Level 1- total summary'!F61:F65))</f>
        <v>Present?</v>
      </c>
      <c r="D16" s="425" t="str">
        <f>IF(OR('Level 1- total summary'!G61=pres,'Level 1- total summary'!G62=pres,'Level 1- total summary'!G63=pres,'Level 1- total summary'!G64=pres,'Level 1- total summary'!G65=pres),pres,SUM('Level 1- total summary'!G61:G65))</f>
        <v>Present?</v>
      </c>
      <c r="E16" s="425" t="str">
        <f>IF(OR('Level 1- total summary'!H61=pres,'Level 1- total summary'!H62=pres,'Level 1- total summary'!H63=pres,'Level 1- total summary'!H64=pres,'Level 1- total summary'!H65=pres),pres,SUM('Level 1- total summary'!H61:H65))</f>
        <v>Present?</v>
      </c>
      <c r="F16" s="425" t="str">
        <f>IF(OR('Level 1- total summary'!I61=pres,'Level 1- total summary'!I62=pres,'Level 1- total summary'!I63=pres,'Level 1- total summary'!I64=pres,'Level 1- total summary'!I65=pres),pres,SUM('Level 1- total summary'!I61:I65))</f>
        <v>Present?</v>
      </c>
      <c r="G16" s="425" t="str">
        <f>IF(OR('Level 1- total summary'!J61=pres,'Level 1- total summary'!J62=pres,'Level 1- total summary'!J63=pres,'Level 1- total summary'!J64=pres,'Level 1- total summary'!J65=pres),pres,SUM('Level 1- total summary'!J61:J65))</f>
        <v>Present?</v>
      </c>
      <c r="H16" s="425" t="str">
        <f>IF(OR('Level 1- total summary'!K61=pres,'Level 1- total summary'!K62=pres,'Level 1- total summary'!K63=pres,'Level 1- total summary'!K64=pres,'Level 1- total summary'!K65=pres),pres,SUM('Level 1- total summary'!K61:K65))</f>
        <v>Present?</v>
      </c>
      <c r="I16" s="469">
        <f t="shared" si="0"/>
        <v>0</v>
      </c>
      <c r="J16" s="470" t="e">
        <f t="shared" si="1"/>
        <v>#DIV/0!</v>
      </c>
    </row>
    <row r="17" spans="1:12">
      <c r="A17" s="373" t="s">
        <v>882</v>
      </c>
      <c r="B17" s="425" t="str">
        <f>'Level 1- total summary'!E67</f>
        <v>Present?</v>
      </c>
      <c r="C17" s="452" t="str">
        <f>'Level 1- total summary'!F67</f>
        <v>Present?</v>
      </c>
      <c r="D17" s="452" t="str">
        <f>'Level 1- total summary'!G67</f>
        <v>Present?</v>
      </c>
      <c r="E17" s="452" t="str">
        <f>'Level 1- total summary'!H67</f>
        <v>Present?</v>
      </c>
      <c r="F17" s="452" t="str">
        <f>'Level 1- total summary'!I67</f>
        <v>Present?</v>
      </c>
      <c r="G17" s="452" t="str">
        <f>'Level 1- total summary'!J67</f>
        <v>Present?</v>
      </c>
      <c r="H17" s="452" t="str">
        <f>'Level 1- total summary'!K67</f>
        <v>Present?</v>
      </c>
      <c r="I17" s="469">
        <f t="shared" si="0"/>
        <v>0</v>
      </c>
      <c r="J17" s="470" t="e">
        <f t="shared" si="1"/>
        <v>#DIV/0!</v>
      </c>
      <c r="L17" s="472"/>
    </row>
    <row r="18" spans="1:12">
      <c r="A18" s="373" t="s">
        <v>873</v>
      </c>
      <c r="B18" s="425" t="str">
        <f>'Level 1- total summary'!E68</f>
        <v>Present?</v>
      </c>
      <c r="C18" s="563" t="str">
        <f>'Level 1- total summary'!F68</f>
        <v>Present?</v>
      </c>
      <c r="D18" s="563" t="str">
        <f>'Level 1- total summary'!G68</f>
        <v>Present?</v>
      </c>
      <c r="E18" s="563" t="str">
        <f>'Level 1- total summary'!H68</f>
        <v>Present?</v>
      </c>
      <c r="F18" s="563" t="str">
        <f>'Level 1- total summary'!I68</f>
        <v>Present?</v>
      </c>
      <c r="G18" s="563" t="str">
        <f>'Level 1- total summary'!J68</f>
        <v>Present?</v>
      </c>
      <c r="H18" s="563" t="str">
        <f>'Level 1- total summary'!K68</f>
        <v>Present?</v>
      </c>
      <c r="I18" s="440">
        <f>SUM(C18:H18)-IF(OR(E18="-", E18=que, E18=pres),0,E18)</f>
        <v>0</v>
      </c>
      <c r="J18" s="470" t="e">
        <f t="shared" si="1"/>
        <v>#DIV/0!</v>
      </c>
      <c r="L18" s="473"/>
    </row>
    <row r="19" spans="1:12">
      <c r="A19" s="373" t="s">
        <v>874</v>
      </c>
      <c r="B19" s="425" t="str">
        <f>'Level 1- total summary'!E69</f>
        <v>Present?</v>
      </c>
      <c r="C19" s="563" t="str">
        <f>'Level 1- total summary'!F69</f>
        <v>Present?</v>
      </c>
      <c r="D19" s="563" t="str">
        <f>'Level 1- total summary'!G69</f>
        <v>Present?</v>
      </c>
      <c r="E19" s="563" t="str">
        <f>'Level 1- total summary'!H69</f>
        <v>Present?</v>
      </c>
      <c r="F19" s="563" t="str">
        <f>'Level 1- total summary'!I69</f>
        <v>Present?</v>
      </c>
      <c r="G19" s="563" t="str">
        <f>'Level 1- total summary'!J69</f>
        <v>Present?</v>
      </c>
      <c r="H19" s="563" t="str">
        <f>'Level 1- total summary'!K69</f>
        <v>Present?</v>
      </c>
      <c r="I19" s="440">
        <f>SUM(C19:H19)-IF(OR(D19="-",D19=que, D19=pres),0,D19)</f>
        <v>0</v>
      </c>
      <c r="J19" s="470" t="e">
        <f t="shared" si="1"/>
        <v>#DIV/0!</v>
      </c>
    </row>
    <row r="20" spans="1:12">
      <c r="A20" s="373" t="s">
        <v>443</v>
      </c>
      <c r="B20" s="425" t="str">
        <f>IF(OR('Level 1- total summary'!E71=pres,'Level 1- total summary'!E72=pres),pres,SUM('Level 1- total summary'!E71:E72))</f>
        <v>Present?</v>
      </c>
      <c r="C20" s="425" t="str">
        <f>IF(OR('Level 1- total summary'!F71=pres,'Level 1- total summary'!F72=pres),pres,SUM('Level 1- total summary'!F71:F72))</f>
        <v>Present?</v>
      </c>
      <c r="D20" s="425" t="str">
        <f>IF(OR('Level 1- total summary'!G71=pres,'Level 1- total summary'!G72=pres),pres,SUM('Level 1- total summary'!G71:G72))</f>
        <v>Present?</v>
      </c>
      <c r="E20" s="425" t="str">
        <f>IF(OR('Level 1- total summary'!H71=pres,'Level 1- total summary'!H72=pres),pres,SUM('Level 1- total summary'!H71:H72))</f>
        <v>Present?</v>
      </c>
      <c r="F20" s="425" t="str">
        <f>IF(OR('Level 1- total summary'!I71=pres,'Level 1- total summary'!I72=pres),pres,SUM('Level 1- total summary'!I71:I72))</f>
        <v>Present?</v>
      </c>
      <c r="G20" s="425" t="str">
        <f>IF(OR('Level 1- total summary'!J71=pres,'Level 1- total summary'!J72=pres),pres,SUM('Level 1- total summary'!J71:J72))</f>
        <v>Present?</v>
      </c>
      <c r="H20" s="425" t="str">
        <f>IF(OR('Level 1- total summary'!K71=pres,'Level 1- total summary'!K72=pres),pres,SUM('Level 1- total summary'!K71:K72))</f>
        <v>Present?</v>
      </c>
      <c r="I20" s="440">
        <f t="shared" si="0"/>
        <v>0</v>
      </c>
      <c r="J20" s="470" t="e">
        <f t="shared" si="1"/>
        <v>#DIV/0!</v>
      </c>
    </row>
    <row r="21" spans="1:12" s="356" customFormat="1" ht="13">
      <c r="A21" s="265" t="s">
        <v>1106</v>
      </c>
      <c r="B21" s="430">
        <f>ROUND(SUM(B4:B20)-(0.9*IF(OR(B16="-",B16=que, B16=pres),0,B16))-(0.9*IF(OR(B17="-",B17=que, B17=pres),0,B17))-(0.9*IF(OR(B18="-",B18=que, B18=pres),0,B18))-IF(OR(B19="-", B19=que, B19=pres),0,B19)+(-IF(OR(B12="-",B12=que, B12=pres),0,B12)+SUM(C12:H12))+(-IF(OR(B6="-",B6=que, B6=pres),0,B6)+SUM(C6:H6)),-1)</f>
        <v>0</v>
      </c>
      <c r="C21" s="430">
        <f>ROUND(SUM(C4:C20),-1)</f>
        <v>0</v>
      </c>
      <c r="D21" s="430">
        <f>ROUND(SUM(D4:D20)-IF(OR(D19="-",D19=que, D19=pres),0,D19),-1)</f>
        <v>0</v>
      </c>
      <c r="E21" s="430">
        <f>ROUND(SUM(E4:E20)-IF(OR(E18="-", E18=que, E18=pres),0,E18),-1)</f>
        <v>0</v>
      </c>
      <c r="F21" s="430">
        <f>ROUND(SUM(F4:F20),-1)</f>
        <v>0</v>
      </c>
      <c r="G21" s="430">
        <f>ROUND(SUM(G4:G20),-1)</f>
        <v>0</v>
      </c>
      <c r="H21" s="430">
        <f>ROUND(SUM(H4:H20),-1)</f>
        <v>0</v>
      </c>
      <c r="I21" s="430">
        <f>ROUND(SUM(I4:I20),-1)</f>
        <v>0</v>
      </c>
      <c r="J21" s="471" t="e">
        <f>SUM(J4:J20)</f>
        <v>#DIV/0!</v>
      </c>
      <c r="L21" s="472"/>
    </row>
    <row r="22" spans="1:12">
      <c r="A22" s="323" t="s">
        <v>56</v>
      </c>
      <c r="C22" s="562"/>
      <c r="D22" s="562"/>
      <c r="E22" s="562"/>
      <c r="F22" s="562"/>
      <c r="G22" s="562"/>
      <c r="H22" s="562"/>
      <c r="I22" s="562"/>
    </row>
    <row r="23" spans="1:12" ht="13">
      <c r="A23" s="323" t="s">
        <v>881</v>
      </c>
      <c r="B23" s="323"/>
      <c r="C23" s="562"/>
      <c r="D23" s="562"/>
      <c r="E23" s="562"/>
      <c r="F23" s="562"/>
      <c r="G23" s="562"/>
      <c r="H23" s="562"/>
      <c r="I23" s="562"/>
    </row>
    <row r="24" spans="1:12">
      <c r="A24" s="323" t="s">
        <v>880</v>
      </c>
      <c r="B24" s="323"/>
      <c r="C24" s="562"/>
      <c r="D24" s="562"/>
      <c r="E24" s="562"/>
      <c r="F24" s="562"/>
      <c r="G24" s="562"/>
      <c r="H24" s="562"/>
      <c r="I24" s="562"/>
    </row>
    <row r="25" spans="1:12">
      <c r="A25" s="323" t="s">
        <v>876</v>
      </c>
    </row>
    <row r="26" spans="1:12">
      <c r="A26" s="323" t="s">
        <v>868</v>
      </c>
    </row>
    <row r="27" spans="1:12">
      <c r="A27" s="339" t="s">
        <v>869</v>
      </c>
    </row>
    <row r="28" spans="1:12">
      <c r="A28" s="323" t="s">
        <v>877</v>
      </c>
    </row>
    <row r="29" spans="1:12">
      <c r="A29" s="323" t="s">
        <v>555</v>
      </c>
    </row>
    <row r="30" spans="1:12">
      <c r="A30" s="323" t="s">
        <v>878</v>
      </c>
    </row>
    <row r="31" spans="1:12">
      <c r="A31" s="323" t="s">
        <v>556</v>
      </c>
    </row>
    <row r="32" spans="1:12">
      <c r="A32" s="323" t="s">
        <v>879</v>
      </c>
    </row>
    <row r="33" spans="1:1">
      <c r="A33" s="339" t="s">
        <v>867</v>
      </c>
    </row>
    <row r="34" spans="1:1">
      <c r="A34" s="587" t="s">
        <v>1105</v>
      </c>
    </row>
  </sheetData>
  <sheetProtection algorithmName="SHA-512" hashValue="dP6S+4R9BIId6rxdg2TAWsvJBowyEBUWlNJtSdwn+nuhZVKr0ocZpV0juu3E/fx7vff0TFNcyEL59OID5wIYWg==" saltValue="gIBrduc4KezbEadj1fF50Q==" spinCount="100000" sheet="1" objects="1" scenarios="1"/>
  <customSheetViews>
    <customSheetView guid="{EB7FE26D-7077-48F2-8515-D783BE87A220}">
      <selection activeCell="C3" sqref="C3:H3"/>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mergeCells count="3">
    <mergeCell ref="B2:B3"/>
    <mergeCell ref="C2:I2"/>
    <mergeCell ref="J2:J3"/>
  </mergeCells>
  <pageMargins left="0.39370078740157483" right="0.39370078740157483" top="0.74803149606299213" bottom="0.74803149606299213" header="0.31496062992125984" footer="0.31496062992125984"/>
  <pageSetup paperSize="9" orientation="landscape" r:id="rId2"/>
  <headerFooter>
    <oddFooter>&amp;L&amp;A
Printed &amp;D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R45"/>
  <sheetViews>
    <sheetView workbookViewId="0"/>
  </sheetViews>
  <sheetFormatPr defaultColWidth="9.1796875" defaultRowHeight="12.5"/>
  <cols>
    <col min="1" max="1" width="46.81640625" style="751" customWidth="1"/>
    <col min="2" max="2" width="19.453125" style="751" customWidth="1"/>
    <col min="3" max="3" width="12.81640625" style="751" customWidth="1"/>
    <col min="4" max="4" width="13.36328125" style="751" customWidth="1"/>
    <col min="5" max="5" width="11.6328125" style="751" customWidth="1"/>
    <col min="6" max="6" width="13.81640625" style="751" customWidth="1"/>
    <col min="7" max="7" width="14.453125" style="751" customWidth="1"/>
    <col min="8" max="8" width="14.36328125" style="751" customWidth="1"/>
    <col min="9" max="11" width="9.1796875" style="751"/>
    <col min="12" max="12" width="12.453125" style="751" customWidth="1"/>
    <col min="13" max="16384" width="9.1796875" style="751"/>
  </cols>
  <sheetData>
    <row r="1" spans="1:8" ht="13">
      <c r="A1" s="749" t="s">
        <v>975</v>
      </c>
      <c r="B1" s="750"/>
    </row>
    <row r="2" spans="1:8">
      <c r="A2" s="750"/>
    </row>
    <row r="3" spans="1:8" ht="13">
      <c r="A3" s="750" t="s">
        <v>586</v>
      </c>
      <c r="B3" s="749"/>
    </row>
    <row r="4" spans="1:8" ht="13">
      <c r="A4" s="752" t="s">
        <v>572</v>
      </c>
      <c r="B4" s="749"/>
    </row>
    <row r="5" spans="1:8" ht="13">
      <c r="A5" s="749"/>
      <c r="B5" s="749"/>
    </row>
    <row r="6" spans="1:8" s="754" customFormat="1" ht="18.75" customHeight="1">
      <c r="A6" s="753" t="s">
        <v>312</v>
      </c>
      <c r="B6" s="864" t="s">
        <v>358</v>
      </c>
      <c r="C6" s="866" t="s">
        <v>363</v>
      </c>
      <c r="D6" s="867"/>
      <c r="E6" s="867"/>
      <c r="F6" s="867"/>
      <c r="G6" s="867"/>
      <c r="H6" s="868"/>
    </row>
    <row r="7" spans="1:8" ht="38">
      <c r="A7" s="755" t="s">
        <v>588</v>
      </c>
      <c r="B7" s="865"/>
      <c r="C7" s="422" t="s">
        <v>38</v>
      </c>
      <c r="D7" s="422" t="s">
        <v>39</v>
      </c>
      <c r="E7" s="422" t="s">
        <v>40</v>
      </c>
      <c r="F7" s="756" t="s">
        <v>499</v>
      </c>
      <c r="G7" s="756" t="s">
        <v>42</v>
      </c>
      <c r="H7" s="756" t="s">
        <v>364</v>
      </c>
    </row>
    <row r="8" spans="1:8">
      <c r="A8" s="688" t="s">
        <v>488</v>
      </c>
      <c r="B8" s="757" t="str">
        <f>'Level 1-ExecSummary'!B4</f>
        <v>Present?</v>
      </c>
      <c r="C8" s="757" t="str">
        <f>'Level 1-ExecSummary'!C4</f>
        <v>Present?</v>
      </c>
      <c r="D8" s="757" t="str">
        <f>'Level 1-ExecSummary'!D4</f>
        <v>Present?</v>
      </c>
      <c r="E8" s="757" t="str">
        <f>'Level 1-ExecSummary'!E4</f>
        <v>Present?</v>
      </c>
      <c r="F8" s="757" t="str">
        <f>'Level 1-ExecSummary'!F4</f>
        <v>Present?</v>
      </c>
      <c r="G8" s="757" t="str">
        <f>'Level 1-ExecSummary'!G4</f>
        <v>Present?</v>
      </c>
      <c r="H8" s="757" t="str">
        <f>'Level 1-ExecSummary'!H4</f>
        <v>Present?</v>
      </c>
    </row>
    <row r="9" spans="1:8">
      <c r="A9" s="758" t="s">
        <v>566</v>
      </c>
      <c r="B9" s="757" t="str">
        <f>'Level 1-ExecSummary'!B5</f>
        <v>Present?</v>
      </c>
      <c r="C9" s="757" t="str">
        <f>'Level 1-ExecSummary'!C5</f>
        <v>Present?</v>
      </c>
      <c r="D9" s="757" t="str">
        <f>'Level 1-ExecSummary'!D5</f>
        <v>Present?</v>
      </c>
      <c r="E9" s="757" t="str">
        <f>'Level 1-ExecSummary'!E5</f>
        <v>Present?</v>
      </c>
      <c r="F9" s="757" t="str">
        <f>'Level 1-ExecSummary'!F5</f>
        <v>Present?</v>
      </c>
      <c r="G9" s="757" t="str">
        <f>'Level 1-ExecSummary'!G5</f>
        <v>Present?</v>
      </c>
      <c r="H9" s="757" t="str">
        <f>'Level 1-ExecSummary'!H5</f>
        <v>Present?</v>
      </c>
    </row>
    <row r="10" spans="1:8">
      <c r="A10" s="688" t="s">
        <v>497</v>
      </c>
      <c r="B10" s="757" t="str">
        <f>'Level 1-ExecSummary'!B6</f>
        <v>Present?</v>
      </c>
      <c r="C10" s="757" t="str">
        <f>'Level 1-ExecSummary'!C6</f>
        <v>Present?</v>
      </c>
      <c r="D10" s="757" t="str">
        <f>'Level 1-ExecSummary'!D6</f>
        <v>Present?</v>
      </c>
      <c r="E10" s="757" t="str">
        <f>'Level 1-ExecSummary'!E6</f>
        <v>Present?</v>
      </c>
      <c r="F10" s="757" t="str">
        <f>'Level 1-ExecSummary'!F6</f>
        <v>Present?</v>
      </c>
      <c r="G10" s="757" t="str">
        <f>'Level 1-ExecSummary'!G6</f>
        <v>Present?</v>
      </c>
      <c r="H10" s="757" t="str">
        <f>'Level 1-ExecSummary'!H6</f>
        <v>Present?</v>
      </c>
    </row>
    <row r="11" spans="1:8" ht="25">
      <c r="A11" s="688" t="s">
        <v>498</v>
      </c>
      <c r="B11" s="757" t="str">
        <f>'Level 1-ExecSummary'!B7</f>
        <v>Present?</v>
      </c>
      <c r="C11" s="757" t="str">
        <f>'Level 1-ExecSummary'!C7</f>
        <v>Present?</v>
      </c>
      <c r="D11" s="757" t="str">
        <f>'Level 1-ExecSummary'!D7</f>
        <v>Present?</v>
      </c>
      <c r="E11" s="757" t="str">
        <f>'Level 1-ExecSummary'!E7</f>
        <v>Present?</v>
      </c>
      <c r="F11" s="757" t="str">
        <f>'Level 1-ExecSummary'!F7</f>
        <v>Present?</v>
      </c>
      <c r="G11" s="757" t="str">
        <f>'Level 1-ExecSummary'!G7</f>
        <v>Present?</v>
      </c>
      <c r="H11" s="757" t="str">
        <f>'Level 1-ExecSummary'!H7</f>
        <v>Present?</v>
      </c>
    </row>
    <row r="12" spans="1:8">
      <c r="A12" s="688" t="s">
        <v>490</v>
      </c>
      <c r="B12" s="757" t="str">
        <f>'Level 1-ExecSummary'!B8</f>
        <v>Present?</v>
      </c>
      <c r="C12" s="757" t="str">
        <f>'Level 1-ExecSummary'!C8</f>
        <v>Present?</v>
      </c>
      <c r="D12" s="757" t="str">
        <f>'Level 1-ExecSummary'!D8</f>
        <v>Present?</v>
      </c>
      <c r="E12" s="757" t="str">
        <f>'Level 1-ExecSummary'!E8</f>
        <v>Present?</v>
      </c>
      <c r="F12" s="757" t="str">
        <f>'Level 1-ExecSummary'!F8</f>
        <v>Present?</v>
      </c>
      <c r="G12" s="757" t="str">
        <f>'Level 1-ExecSummary'!G8</f>
        <v>Present?</v>
      </c>
      <c r="H12" s="757" t="str">
        <f>'Level 1-ExecSummary'!H8</f>
        <v>Present?</v>
      </c>
    </row>
    <row r="13" spans="1:8">
      <c r="A13" s="724" t="s">
        <v>1104</v>
      </c>
      <c r="B13" s="757" t="str">
        <f>'Level 1-ExecSummary'!B9</f>
        <v>Present?</v>
      </c>
      <c r="C13" s="757" t="str">
        <f>'Level 1-ExecSummary'!C9</f>
        <v>Present?</v>
      </c>
      <c r="D13" s="757" t="str">
        <f>'Level 1-ExecSummary'!D9</f>
        <v>Present?</v>
      </c>
      <c r="E13" s="757" t="str">
        <f>'Level 1-ExecSummary'!E9</f>
        <v>Present?</v>
      </c>
      <c r="F13" s="757" t="str">
        <f>'Level 1-ExecSummary'!F9</f>
        <v>Present?</v>
      </c>
      <c r="G13" s="757" t="str">
        <f>'Level 1-ExecSummary'!G9</f>
        <v>Present?</v>
      </c>
      <c r="H13" s="757" t="str">
        <f>'Level 1-ExecSummary'!H9</f>
        <v>Present?</v>
      </c>
    </row>
    <row r="14" spans="1:8">
      <c r="A14" s="688" t="s">
        <v>382</v>
      </c>
      <c r="B14" s="757" t="str">
        <f>'Level 1-ExecSummary'!B10</f>
        <v>Present?</v>
      </c>
      <c r="C14" s="757" t="str">
        <f>'Level 1-ExecSummary'!C10</f>
        <v>Present?</v>
      </c>
      <c r="D14" s="757" t="str">
        <f>'Level 1-ExecSummary'!D10</f>
        <v>Present?</v>
      </c>
      <c r="E14" s="757" t="str">
        <f>'Level 1-ExecSummary'!E10</f>
        <v>Present?</v>
      </c>
      <c r="F14" s="757" t="str">
        <f>'Level 1-ExecSummary'!F10</f>
        <v>Present?</v>
      </c>
      <c r="G14" s="757" t="str">
        <f>'Level 1-ExecSummary'!G10</f>
        <v>Present?</v>
      </c>
      <c r="H14" s="757" t="str">
        <f>'Level 1-ExecSummary'!H10</f>
        <v>Present?</v>
      </c>
    </row>
    <row r="15" spans="1:8">
      <c r="A15" s="688" t="s">
        <v>567</v>
      </c>
      <c r="B15" s="757" t="str">
        <f>'Level 1-ExecSummary'!B11</f>
        <v>Present?</v>
      </c>
      <c r="C15" s="757" t="str">
        <f>'Level 1-ExecSummary'!C11</f>
        <v>Present?</v>
      </c>
      <c r="D15" s="757" t="str">
        <f>'Level 1-ExecSummary'!D11</f>
        <v>Present?</v>
      </c>
      <c r="E15" s="757" t="str">
        <f>'Level 1-ExecSummary'!E11</f>
        <v>Present?</v>
      </c>
      <c r="F15" s="757" t="str">
        <f>'Level 1-ExecSummary'!F11</f>
        <v>Present?</v>
      </c>
      <c r="G15" s="757" t="str">
        <f>'Level 1-ExecSummary'!G11</f>
        <v>Present?</v>
      </c>
      <c r="H15" s="757" t="str">
        <f>'Level 1-ExecSummary'!H11</f>
        <v>Present?</v>
      </c>
    </row>
    <row r="16" spans="1:8">
      <c r="A16" s="688" t="s">
        <v>385</v>
      </c>
      <c r="B16" s="757" t="str">
        <f>'Level 1-ExecSummary'!B12</f>
        <v>Present?</v>
      </c>
      <c r="C16" s="757" t="str">
        <f>'Level 1-ExecSummary'!C12</f>
        <v>Present?</v>
      </c>
      <c r="D16" s="757" t="str">
        <f>'Level 1-ExecSummary'!D12</f>
        <v>Present?</v>
      </c>
      <c r="E16" s="757" t="str">
        <f>'Level 1-ExecSummary'!E12</f>
        <v>Present?</v>
      </c>
      <c r="F16" s="757" t="str">
        <f>'Level 1-ExecSummary'!F12</f>
        <v>Present?</v>
      </c>
      <c r="G16" s="757" t="str">
        <f>'Level 1-ExecSummary'!G12</f>
        <v>Present?</v>
      </c>
      <c r="H16" s="757" t="str">
        <f>'Level 1-ExecSummary'!H12</f>
        <v>Present?</v>
      </c>
    </row>
    <row r="17" spans="1:18">
      <c r="A17" s="688" t="s">
        <v>508</v>
      </c>
      <c r="B17" s="757" t="str">
        <f>'Level 1-ExecSummary'!B13</f>
        <v>Present?</v>
      </c>
      <c r="C17" s="757" t="str">
        <f>'Level 1-ExecSummary'!C13</f>
        <v>Present?</v>
      </c>
      <c r="D17" s="757" t="str">
        <f>'Level 1-ExecSummary'!D13</f>
        <v>Present?</v>
      </c>
      <c r="E17" s="757" t="str">
        <f>'Level 1-ExecSummary'!E13</f>
        <v>Present?</v>
      </c>
      <c r="F17" s="757" t="str">
        <f>'Level 1-ExecSummary'!F13</f>
        <v>Present?</v>
      </c>
      <c r="G17" s="757" t="str">
        <f>'Level 1-ExecSummary'!G13</f>
        <v>Present?</v>
      </c>
      <c r="H17" s="757" t="str">
        <f>'Level 1-ExecSummary'!H13</f>
        <v>Present?</v>
      </c>
    </row>
    <row r="18" spans="1:18">
      <c r="A18" s="688" t="s">
        <v>568</v>
      </c>
      <c r="B18" s="757" t="str">
        <f>'Level 1-ExecSummary'!B14</f>
        <v>Present?</v>
      </c>
      <c r="C18" s="757" t="str">
        <f>'Level 1-ExecSummary'!C14</f>
        <v>Present?</v>
      </c>
      <c r="D18" s="757" t="str">
        <f>'Level 1-ExecSummary'!D14</f>
        <v>Present?</v>
      </c>
      <c r="E18" s="757" t="str">
        <f>'Level 1-ExecSummary'!E14</f>
        <v>Present?</v>
      </c>
      <c r="F18" s="757" t="str">
        <f>'Level 1-ExecSummary'!F14</f>
        <v>Present?</v>
      </c>
      <c r="G18" s="757" t="str">
        <f>'Level 1-ExecSummary'!G14</f>
        <v>Present?</v>
      </c>
      <c r="H18" s="757" t="str">
        <f>'Level 1-ExecSummary'!H14</f>
        <v>Present?</v>
      </c>
    </row>
    <row r="19" spans="1:18">
      <c r="A19" s="688" t="s">
        <v>493</v>
      </c>
      <c r="B19" s="757" t="str">
        <f>'Level 1-ExecSummary'!B15</f>
        <v>Present?</v>
      </c>
      <c r="C19" s="757" t="str">
        <f>'Level 1-ExecSummary'!C15</f>
        <v>Present?</v>
      </c>
      <c r="D19" s="757" t="str">
        <f>'Level 1-ExecSummary'!D15</f>
        <v>Present?</v>
      </c>
      <c r="E19" s="757" t="str">
        <f>'Level 1-ExecSummary'!E15</f>
        <v>Present?</v>
      </c>
      <c r="F19" s="757" t="str">
        <f>'Level 1-ExecSummary'!F15</f>
        <v>Present?</v>
      </c>
      <c r="G19" s="757" t="str">
        <f>'Level 1-ExecSummary'!G15</f>
        <v>Present?</v>
      </c>
      <c r="H19" s="757" t="str">
        <f>'Level 1-ExecSummary'!H15</f>
        <v>Present?</v>
      </c>
    </row>
    <row r="20" spans="1:18">
      <c r="A20" s="688" t="s">
        <v>559</v>
      </c>
      <c r="B20" s="757" t="str">
        <f>IF(OR('Level 1- total summary'!E61=pres,'Level 1- total summary'!E62=pres,'Level 1- total summary'!E63=pres,'Level 1- total summary'!E64=pres,'Level 1- total summary'!E65=pres),pres,0.1*SUM('Level 1- total summary'!E61:E65))</f>
        <v>Present?</v>
      </c>
      <c r="C20" s="757" t="str">
        <f>'Level 1-ExecSummary'!C16</f>
        <v>Present?</v>
      </c>
      <c r="D20" s="757" t="str">
        <f>'Level 1-ExecSummary'!D16</f>
        <v>Present?</v>
      </c>
      <c r="E20" s="757" t="str">
        <f>'Level 1-ExecSummary'!E16</f>
        <v>Present?</v>
      </c>
      <c r="F20" s="757" t="str">
        <f>'Level 1-ExecSummary'!F16</f>
        <v>Present?</v>
      </c>
      <c r="G20" s="757" t="str">
        <f>'Level 1-ExecSummary'!G16</f>
        <v>Present?</v>
      </c>
      <c r="H20" s="757" t="str">
        <f>'Level 1-ExecSummary'!H16</f>
        <v>Present?</v>
      </c>
    </row>
    <row r="21" spans="1:18">
      <c r="A21" s="688" t="s">
        <v>540</v>
      </c>
      <c r="B21" s="757">
        <f>0.1*IF(OR('Level 1- total summary'!E67="-",'Level 1- total summary'!E67=que, 'Level 1- total summary'!E67=pres),0,'Level 1- total summary'!E67)</f>
        <v>0</v>
      </c>
      <c r="C21" s="757" t="str">
        <f>'Level 1-ExecSummary'!C17</f>
        <v>Present?</v>
      </c>
      <c r="D21" s="757" t="str">
        <f>'Level 1-ExecSummary'!D17</f>
        <v>Present?</v>
      </c>
      <c r="E21" s="757" t="str">
        <f>'Level 1-ExecSummary'!E17</f>
        <v>Present?</v>
      </c>
      <c r="F21" s="757" t="str">
        <f>IF('Level 1- total summary'!I67="-",0,'Level 1- total summary'!I67)</f>
        <v>Present?</v>
      </c>
      <c r="G21" s="757" t="str">
        <f>IF('Level 1- total summary'!J67="-",0,'Level 1- total summary'!J67)</f>
        <v>Present?</v>
      </c>
      <c r="H21" s="757" t="str">
        <f>IF('Level 1- total summary'!K67="-",0,'Level 1- total summary'!K67)</f>
        <v>Present?</v>
      </c>
    </row>
    <row r="22" spans="1:18">
      <c r="A22" s="688" t="s">
        <v>557</v>
      </c>
      <c r="B22" s="759">
        <f>0.1*IF(OR('Step5-Waste treatment+recycling'!F27="-",'Step5-Waste treatment+recycling'!F27=que, 'Step5-Waste treatment+recycling'!F27=pres),0,'Step5-Waste treatment+recycling'!F27)</f>
        <v>0</v>
      </c>
      <c r="C22" s="757" t="str">
        <f>'Level 1-ExecSummary'!C18</f>
        <v>Present?</v>
      </c>
      <c r="D22" s="757" t="str">
        <f>'Level 1-ExecSummary'!D18</f>
        <v>Present?</v>
      </c>
      <c r="E22" s="757" t="str">
        <f>'Level 1-ExecSummary'!E18</f>
        <v>Present?</v>
      </c>
      <c r="F22" s="759" t="str">
        <f>IF('Step5-Waste treatment+recycling'!J27="-",0,'Step5-Waste treatment+recycling'!J27)</f>
        <v>Present?</v>
      </c>
      <c r="G22" s="759" t="str">
        <f>IF('Step5-Waste treatment+recycling'!K27="-",0,'Step5-Waste treatment+recycling'!K27)</f>
        <v>Present?</v>
      </c>
      <c r="H22" s="759" t="str">
        <f>IF('Step5-Waste treatment+recycling'!L27="-",0,'Step5-Waste treatment+recycling'!L27)</f>
        <v>Present?</v>
      </c>
    </row>
    <row r="23" spans="1:18">
      <c r="A23" s="688" t="s">
        <v>536</v>
      </c>
      <c r="B23" s="759">
        <f>0*IF(OR('Step5-Waste treatment+recycling'!F29="-",'Step5-Waste treatment+recycling'!F29=que, 'Step5-Waste treatment+recycling'!F29=pres),0,'Step5-Waste treatment+recycling'!F29)</f>
        <v>0</v>
      </c>
      <c r="C23" s="757" t="str">
        <f>'Level 1-ExecSummary'!C19</f>
        <v>Present?</v>
      </c>
      <c r="D23" s="757" t="str">
        <f>'Level 1-ExecSummary'!D19</f>
        <v>Present?</v>
      </c>
      <c r="E23" s="757" t="str">
        <f>'Level 1-ExecSummary'!E19</f>
        <v>Present?</v>
      </c>
      <c r="F23" s="757" t="str">
        <f>'Level 1-ExecSummary'!F19</f>
        <v>Present?</v>
      </c>
      <c r="G23" s="757" t="str">
        <f>'Level 1-ExecSummary'!G19</f>
        <v>Present?</v>
      </c>
      <c r="H23" s="757" t="str">
        <f>'Level 1-ExecSummary'!H19</f>
        <v>Present?</v>
      </c>
    </row>
    <row r="24" spans="1:18">
      <c r="A24" s="688" t="s">
        <v>443</v>
      </c>
      <c r="B24" s="757" t="str">
        <f>IF(OR('Level 1- total summary'!E71=pres,'Level 1- total summary'!E72=pres),pres,SUM('Level 1- total summary'!E71:E72))</f>
        <v>Present?</v>
      </c>
      <c r="C24" s="757" t="str">
        <f>'Level 1-ExecSummary'!C20</f>
        <v>Present?</v>
      </c>
      <c r="D24" s="757" t="str">
        <f>'Level 1-ExecSummary'!D20</f>
        <v>Present?</v>
      </c>
      <c r="E24" s="757" t="str">
        <f>'Level 1-ExecSummary'!E20</f>
        <v>Present?</v>
      </c>
      <c r="F24" s="757" t="str">
        <f>'Level 1-ExecSummary'!F20</f>
        <v>Present?</v>
      </c>
      <c r="G24" s="757" t="str">
        <f>'Level 1-ExecSummary'!G20</f>
        <v>Present?</v>
      </c>
      <c r="H24" s="757" t="str">
        <f>'Level 1-ExecSummary'!H20</f>
        <v>Present?</v>
      </c>
    </row>
    <row r="25" spans="1:18" s="749" customFormat="1" ht="13">
      <c r="A25" s="760" t="s">
        <v>573</v>
      </c>
      <c r="B25" s="761">
        <f>ROUND(SUM(B8:B24),-1)</f>
        <v>0</v>
      </c>
      <c r="C25" s="761">
        <f>ROUND(SUM(C8:C24),-1)</f>
        <v>0</v>
      </c>
      <c r="D25" s="761">
        <f>ROUND(SUM(D8:D24)-IF(OR(D23="-",D23=que,D23=pres),0,D23),-1)</f>
        <v>0</v>
      </c>
      <c r="E25" s="761">
        <f>ROUND(SUM(E8:E24)-IF(OR(E22="-", E22=que, E22=pres),0,E22),-1)</f>
        <v>0</v>
      </c>
      <c r="F25" s="761">
        <f>ROUND(SUM(F8:F24),-1)</f>
        <v>0</v>
      </c>
      <c r="G25" s="761">
        <f>ROUND(SUM(G8:G24),-1)</f>
        <v>0</v>
      </c>
      <c r="H25" s="761">
        <f>ROUND(SUM(H8:H24),-1)</f>
        <v>0</v>
      </c>
      <c r="J25" s="751"/>
      <c r="K25" s="751"/>
      <c r="L25" s="751"/>
      <c r="M25" s="751"/>
      <c r="N25" s="751"/>
      <c r="O25" s="751"/>
      <c r="P25" s="751"/>
      <c r="Q25" s="751"/>
      <c r="R25" s="751"/>
    </row>
    <row r="26" spans="1:18" s="749" customFormat="1" ht="13">
      <c r="A26" s="762"/>
      <c r="B26" s="763"/>
      <c r="C26" s="763"/>
      <c r="D26" s="763"/>
      <c r="E26" s="763"/>
      <c r="F26" s="763"/>
      <c r="G26" s="763"/>
      <c r="H26" s="763"/>
    </row>
    <row r="27" spans="1:18" ht="13">
      <c r="A27" s="752" t="s">
        <v>585</v>
      </c>
      <c r="B27" s="750"/>
    </row>
    <row r="28" spans="1:18">
      <c r="A28" s="750" t="s">
        <v>581</v>
      </c>
    </row>
    <row r="29" spans="1:18">
      <c r="A29" s="750" t="s">
        <v>582</v>
      </c>
    </row>
    <row r="30" spans="1:18">
      <c r="A30" s="750" t="s">
        <v>580</v>
      </c>
    </row>
    <row r="31" spans="1:18">
      <c r="A31" s="750" t="s">
        <v>575</v>
      </c>
    </row>
    <row r="32" spans="1:18">
      <c r="A32" s="750" t="s">
        <v>576</v>
      </c>
    </row>
    <row r="33" spans="1:6">
      <c r="A33" s="750" t="s">
        <v>583</v>
      </c>
    </row>
    <row r="34" spans="1:6">
      <c r="A34" s="750" t="s">
        <v>584</v>
      </c>
    </row>
    <row r="35" spans="1:6">
      <c r="A35" s="750" t="s">
        <v>577</v>
      </c>
    </row>
    <row r="36" spans="1:6">
      <c r="A36" s="751" t="s">
        <v>569</v>
      </c>
    </row>
    <row r="37" spans="1:6">
      <c r="A37" s="751" t="s">
        <v>570</v>
      </c>
    </row>
    <row r="38" spans="1:6">
      <c r="A38" s="750" t="s">
        <v>571</v>
      </c>
      <c r="F38" s="750"/>
    </row>
    <row r="39" spans="1:6">
      <c r="A39" s="750" t="s">
        <v>578</v>
      </c>
    </row>
    <row r="40" spans="1:6">
      <c r="A40" s="750" t="s">
        <v>579</v>
      </c>
    </row>
    <row r="41" spans="1:6">
      <c r="A41" s="764" t="s">
        <v>1103</v>
      </c>
    </row>
    <row r="42" spans="1:6" ht="13">
      <c r="A42" s="752" t="s">
        <v>587</v>
      </c>
    </row>
    <row r="43" spans="1:6" ht="13">
      <c r="A43" s="752" t="s">
        <v>574</v>
      </c>
    </row>
    <row r="45" spans="1:6">
      <c r="A45" s="750" t="s">
        <v>972</v>
      </c>
    </row>
  </sheetData>
  <sheetProtection algorithmName="SHA-512" hashValue="kUUAe78D7ZTV3sQlCi2fEfUawZDuIMfkrOWeZXDbkOvtZhMSgg70L830R0RYDIyt1zLj6iduQmWH82Uau9CmZQ==" saltValue="HOVilYCx7jpVAlJVphM7qA==" spinCount="100000" sheet="1"/>
  <customSheetViews>
    <customSheetView guid="{EB7FE26D-7077-48F2-8515-D783BE87A220}">
      <selection activeCell="D3" sqref="D3"/>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mergeCells count="2">
    <mergeCell ref="B6:B7"/>
    <mergeCell ref="C6:H6"/>
  </mergeCells>
  <pageMargins left="0.39370078740157483" right="0.39370078740157483" top="0.74803149606299213" bottom="0.74803149606299213" header="0.31496062992125984" footer="0.31496062992125984"/>
  <pageSetup paperSize="9" orientation="landscape" r:id="rId2"/>
  <headerFooter>
    <oddFooter>&amp;L&amp;A
Printed &amp;D</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B77"/>
  <sheetViews>
    <sheetView workbookViewId="0">
      <selection activeCell="A29" sqref="A29"/>
    </sheetView>
  </sheetViews>
  <sheetFormatPr defaultColWidth="9.1796875" defaultRowHeight="12.5"/>
  <cols>
    <col min="1" max="1" width="48.453125" style="339" customWidth="1"/>
    <col min="2" max="2" width="16.6328125" style="360" customWidth="1"/>
    <col min="3" max="16384" width="9.1796875" style="339"/>
  </cols>
  <sheetData>
    <row r="1" spans="1:2" ht="13">
      <c r="A1" s="356" t="s">
        <v>500</v>
      </c>
      <c r="B1" s="357"/>
    </row>
    <row r="2" spans="1:2" s="361" customFormat="1" ht="38.25" customHeight="1">
      <c r="A2" s="263" t="s">
        <v>312</v>
      </c>
      <c r="B2" s="433" t="s">
        <v>365</v>
      </c>
    </row>
    <row r="3" spans="1:2" ht="13">
      <c r="A3" s="417"/>
      <c r="B3" s="344" t="str">
        <f>quest</f>
        <v>Y/N/?</v>
      </c>
    </row>
    <row r="4" spans="1:2" ht="13">
      <c r="A4" s="393" t="str">
        <f>'Step2-Energy'!A4</f>
        <v>Energy consumption</v>
      </c>
      <c r="B4" s="372"/>
    </row>
    <row r="5" spans="1:2">
      <c r="A5" s="263" t="str">
        <f>'Step2-Energy'!A5</f>
        <v>Coal combustion in large power plants</v>
      </c>
      <c r="B5" s="268" t="str">
        <f>IF(OR('Step2-Energy'!B5=yes,'Step2-Energy'!B5=no,'Step2-Energy'!B5=que),'Step2-Energy'!B5,  pres)</f>
        <v>Present?</v>
      </c>
    </row>
    <row r="6" spans="1:2">
      <c r="A6" s="263" t="str">
        <f>'Step2-Energy'!A8</f>
        <v>Coal combustion in coal fired industrial boilers</v>
      </c>
      <c r="B6" s="268" t="str">
        <f>IF(OR('Step2-Energy'!B8=yes,'Step2-Energy'!B8=no,'Step2-Energy'!B8=que),'Step2-Energy'!B8,  pres)</f>
        <v>Present?</v>
      </c>
    </row>
    <row r="7" spans="1:2">
      <c r="A7" s="263" t="str">
        <f>'Step2-Energy'!A11</f>
        <v>Other coal uses</v>
      </c>
      <c r="B7" s="268" t="str">
        <f>IF(OR('Step2-Energy'!B11=yes,'Step2-Energy'!B11=no,'Step2-Energy'!B11=que),'Step2-Energy'!B11,  pres)</f>
        <v>Present?</v>
      </c>
    </row>
    <row r="8" spans="1:2">
      <c r="A8" s="263" t="str">
        <f>'Step2-Energy'!A12</f>
        <v>Combustion/use of petroleum coke and heavy oil</v>
      </c>
      <c r="B8" s="268" t="str">
        <f>IF(OR('Step2-Energy'!B12=yes,'Step2-Energy'!B12=no,'Step2-Energy'!B12=que),'Step2-Energy'!B12,  pres)</f>
        <v>Present?</v>
      </c>
    </row>
    <row r="9" spans="1:2" ht="25">
      <c r="A9" s="263" t="str">
        <f>'Step2-Energy'!A15</f>
        <v>Combustion/use of diesel, gasoil, petroleum, kerosene, LPG and other light to medium distillates</v>
      </c>
      <c r="B9" s="268" t="str">
        <f>IF(OR('Step2-Energy'!B15=yes,'Step2-Energy'!B15=no,'Step2-Energy'!B15=que),'Step2-Energy'!B15,  pres)</f>
        <v>Present?</v>
      </c>
    </row>
    <row r="10" spans="1:2" ht="15.75" customHeight="1">
      <c r="A10" s="263" t="str">
        <f>'Step2-Energy'!A18</f>
        <v>Use of raw or pre-cleaned natural gas</v>
      </c>
      <c r="B10" s="268" t="str">
        <f>IF(OR('Step2-Energy'!B18=yes,'Step2-Energy'!B18=no,'Step2-Energy'!B18=que),'Step2-Energy'!B18,  pres)</f>
        <v>Present?</v>
      </c>
    </row>
    <row r="11" spans="1:2" ht="15.75" customHeight="1">
      <c r="A11" s="263" t="str">
        <f>'Step2-Energy'!A19</f>
        <v>Use of pipeline gas (consumer quality)</v>
      </c>
      <c r="B11" s="268" t="str">
        <f>IF(OR('Step2-Energy'!B19=yes,'Step2-Energy'!B19=no,'Step2-Energy'!B19=que),'Step2-Energy'!B19,  pres)</f>
        <v>Present?</v>
      </c>
    </row>
    <row r="12" spans="1:2">
      <c r="A12" s="263" t="str">
        <f>'Step2-Energy'!A20</f>
        <v>Biomass fired power and heat production</v>
      </c>
      <c r="B12" s="268" t="str">
        <f>IF(OR('Step2-Energy'!B20=yes,'Step2-Energy'!B20=no,'Step2-Energy'!B20=que),'Step2-Energy'!B20,  pres)</f>
        <v>Present?</v>
      </c>
    </row>
    <row r="13" spans="1:2">
      <c r="A13" s="263" t="str">
        <f>'Step2-Energy'!A21</f>
        <v>Charcoal combustion</v>
      </c>
      <c r="B13" s="268" t="str">
        <f>IF(OR('Step2-Energy'!B21=yes,'Step2-Energy'!B21=no,'Step2-Energy'!B21=que),'Step2-Energy'!B21,  pres)</f>
        <v>Present?</v>
      </c>
    </row>
    <row r="14" spans="1:2" ht="13">
      <c r="A14" s="393" t="str">
        <f>'Step2-Energy'!A23</f>
        <v>Fuel production</v>
      </c>
      <c r="B14" s="304"/>
    </row>
    <row r="15" spans="1:2">
      <c r="A15" s="263" t="str">
        <f>'Step2-Energy'!A24</f>
        <v>Oil extraction</v>
      </c>
      <c r="B15" s="268" t="str">
        <f>IF(OR('Step2-Energy'!B24=yes,'Step2-Energy'!B24=no,'Step2-Energy'!B24=que),'Step2-Energy'!B24,  pres)</f>
        <v>Present?</v>
      </c>
    </row>
    <row r="16" spans="1:2">
      <c r="A16" s="263" t="str">
        <f>'Step2-Energy'!A25</f>
        <v>Oil refining</v>
      </c>
      <c r="B16" s="268" t="str">
        <f>IF(OR('Step2-Energy'!B25=yes,'Step2-Energy'!B25=no,'Step2-Energy'!B25=que),'Step2-Energy'!B25,  pres)</f>
        <v>Present?</v>
      </c>
    </row>
    <row r="17" spans="1:2">
      <c r="A17" s="263" t="str">
        <f>'Step2-Energy'!A26</f>
        <v>Extraction and processing of natural gas</v>
      </c>
      <c r="B17" s="268" t="str">
        <f>IF(OR('Step2-Energy'!B26=yes,'Step2-Energy'!B26=no,'Step2-Energy'!B26=que),'Step2-Energy'!B26,  pres)</f>
        <v>Present?</v>
      </c>
    </row>
    <row r="18" spans="1:2" ht="13">
      <c r="A18" s="393" t="str">
        <f>'Step3-Metals-RawMat'!A5</f>
        <v>Primary metal production</v>
      </c>
      <c r="B18" s="304"/>
    </row>
    <row r="19" spans="1:2">
      <c r="A19" s="263" t="str">
        <f>'Step3-Metals-RawMat'!A6</f>
        <v>Mercury (primary) extraction and initial processing</v>
      </c>
      <c r="B19" s="268" t="str">
        <f>IF(OR('Step3-Metals-RawMat'!B6=yes,'Step3-Metals-RawMat'!B6=no,'Step3-Metals-RawMat'!B6=que),'Step3-Metals-RawMat'!B6,  pres)</f>
        <v>Present?</v>
      </c>
    </row>
    <row r="20" spans="1:2">
      <c r="A20" s="263" t="str">
        <f>'Step3-Metals-RawMat'!A7</f>
        <v>Production of zinc from concentrates</v>
      </c>
      <c r="B20" s="268" t="str">
        <f>IF(OR('Step3-Metals-RawMat'!B7=yes,'Step3-Metals-RawMat'!B7=no,'Step3-Metals-RawMat'!B7=que),'Step3-Metals-RawMat'!B7,  pres)</f>
        <v>Present?</v>
      </c>
    </row>
    <row r="21" spans="1:2">
      <c r="A21" s="263" t="str">
        <f>'Step3-Metals-RawMat'!A10</f>
        <v>Production of copper from concentrates</v>
      </c>
      <c r="B21" s="268" t="str">
        <f>IF(OR('Step3-Metals-RawMat'!B10=yes,'Step3-Metals-RawMat'!B10=no,'Step3-Metals-RawMat'!B10=que),'Step3-Metals-RawMat'!B10,  pres)</f>
        <v>Present?</v>
      </c>
    </row>
    <row r="22" spans="1:2">
      <c r="A22" s="263" t="str">
        <f>'Step3-Metals-RawMat'!A13</f>
        <v>Production of lead from concentrates</v>
      </c>
      <c r="B22" s="268" t="str">
        <f>IF(OR('Step3-Metals-RawMat'!B13=yes,'Step3-Metals-RawMat'!B13=no,'Step3-Metals-RawMat'!B13=que),'Step3-Metals-RawMat'!B13,  pres)</f>
        <v>Present?</v>
      </c>
    </row>
    <row r="23" spans="1:2" ht="25">
      <c r="A23" s="263" t="str">
        <f>'Step3-Metals-RawMat'!A16</f>
        <v>Gold extraction by methods other than mercury amalgamation</v>
      </c>
      <c r="B23" s="268" t="str">
        <f>IF(OR('Step3-Metals-RawMat'!B16=yes,'Step3-Metals-RawMat'!B16=no,'Step3-Metals-RawMat'!B16=que),'Step3-Metals-RawMat'!B16,  pres)</f>
        <v>Present?</v>
      </c>
    </row>
    <row r="24" spans="1:2" ht="16.5" customHeight="1">
      <c r="A24" s="263" t="str">
        <f>'Step3-Metals-RawMat'!A17</f>
        <v>Alumina production from bauxite (aluminium production)</v>
      </c>
      <c r="B24" s="268" t="str">
        <f>IF(OR('Step3-Metals-RawMat'!B17=yes,'Step3-Metals-RawMat'!B17=no,'Step3-Metals-RawMat'!B17=que),'Step3-Metals-RawMat'!B17,  pres)</f>
        <v>Present?</v>
      </c>
    </row>
    <row r="25" spans="1:2" ht="21" customHeight="1">
      <c r="A25" s="263" t="str">
        <f>'Step3-Metals-RawMat'!A18</f>
        <v>Primary ferrous metal production (pig iron production)</v>
      </c>
      <c r="B25" s="268" t="str">
        <f>IF(OR('Step3-Metals-RawMat'!B18=yes,'Step3-Metals-RawMat'!B18=no,'Step3-Metals-RawMat'!B18=que),'Step3-Metals-RawMat'!B18,  pres)</f>
        <v>Present?</v>
      </c>
    </row>
    <row r="26" spans="1:2" ht="25">
      <c r="A26" s="263" t="str">
        <f>'Step3-Metals-RawMat'!A19</f>
        <v>Gold extraction with mercury amalgamation - from whole ore</v>
      </c>
      <c r="B26" s="268" t="str">
        <f>IF(OR('Step3-Metals-RawMat'!B19=yes,'Step3-Metals-RawMat'!B19=no,'Step3-Metals-RawMat'!B19=que),'Step3-Metals-RawMat'!B19,  pres)</f>
        <v>Present?</v>
      </c>
    </row>
    <row r="27" spans="1:2" ht="25">
      <c r="A27" s="263" t="str">
        <f>'Step3-Metals-RawMat'!A22</f>
        <v>Gold extraction with mercury amalgamation - from concentrate</v>
      </c>
      <c r="B27" s="268" t="str">
        <f>IF(OR('Step3-Metals-RawMat'!B22=yes,'Step3-Metals-RawMat'!B22=no,'Step3-Metals-RawMat'!B22=que),'Step3-Metals-RawMat'!B22,  pres)</f>
        <v>Present?</v>
      </c>
    </row>
    <row r="28" spans="1:2" ht="17.25" customHeight="1">
      <c r="A28" s="393" t="str">
        <f>'Step3-Metals-RawMat'!A25</f>
        <v>Other materials production</v>
      </c>
      <c r="B28" s="304"/>
    </row>
    <row r="29" spans="1:2">
      <c r="A29" s="263" t="str">
        <f>'Step3-Metals-RawMat'!A26</f>
        <v>Cement clinker production</v>
      </c>
      <c r="B29" s="268" t="str">
        <f>IF(OR('Step3-Metals-RawMat'!B26=yes,'Step3-Metals-RawMat'!B26=no,'Step3-Metals-RawMat'!B26=que),'Step3-Metals-RawMat'!B26,  pres)</f>
        <v>Present?</v>
      </c>
    </row>
    <row r="30" spans="1:2">
      <c r="A30" s="263" t="str">
        <f>'Step3-Metals-RawMat'!A31</f>
        <v>Pulp and paper production</v>
      </c>
      <c r="B30" s="268" t="str">
        <f>IF(OR('Step3-Metals-RawMat'!B31=yes,'Step3-Metals-RawMat'!B31=no,'Step3-Metals-RawMat'!B31=que),'Step3-Metals-RawMat'!B31,  pres)</f>
        <v>Present?</v>
      </c>
    </row>
    <row r="31" spans="1:2" ht="13">
      <c r="A31" s="393" t="str">
        <f>'Step4-Industrial Hg use'!A4</f>
        <v>Production of chemicals</v>
      </c>
      <c r="B31" s="304"/>
    </row>
    <row r="32" spans="1:2">
      <c r="A32" s="263" t="str">
        <f>'Step4-Industrial Hg use'!A5</f>
        <v>Chlor-alkali production with mercury-cells</v>
      </c>
      <c r="B32" s="268" t="str">
        <f>IF(OR('Step4-Industrial Hg use'!B5=yes,'Step4-Industrial Hg use'!B5=no,'Step4-Industrial Hg use'!B5=que),'Step4-Industrial Hg use'!B5,  pres)</f>
        <v>Present?</v>
      </c>
    </row>
    <row r="33" spans="1:2">
      <c r="A33" s="263" t="str">
        <f>'Step4-Industrial Hg use'!A6</f>
        <v>VCM production with mercury catalyst</v>
      </c>
      <c r="B33" s="268" t="str">
        <f>IF(OR('Step4-Industrial Hg use'!B6=yes,'Step4-Industrial Hg use'!B6=no,'Step4-Industrial Hg use'!B6=que),'Step4-Industrial Hg use'!B6,  pres)</f>
        <v>Present?</v>
      </c>
    </row>
    <row r="34" spans="1:2">
      <c r="A34" s="263" t="str">
        <f>'Step4-Industrial Hg use'!A7</f>
        <v>Acetaldehyde production with mercury catalyst</v>
      </c>
      <c r="B34" s="268" t="str">
        <f>IF(OR('Step4-Industrial Hg use'!B7=yes,'Step4-Industrial Hg use'!B7=no,'Step4-Industrial Hg use'!B7=que),'Step4-Industrial Hg use'!B7,  pres)</f>
        <v>Present?</v>
      </c>
    </row>
    <row r="35" spans="1:2" ht="13">
      <c r="A35" s="393" t="str">
        <f>'Step4-Industrial Hg use'!A9</f>
        <v>Production of products with mercury content</v>
      </c>
      <c r="B35" s="304"/>
    </row>
    <row r="36" spans="1:2">
      <c r="A36" s="263" t="str">
        <f>'Step4-Industrial Hg use'!A10</f>
        <v xml:space="preserve">Hg thermometers (medical, air, lab, industrial etc.) </v>
      </c>
      <c r="B36" s="268" t="str">
        <f>IF(OR('Step4-Industrial Hg use'!B10=yes,'Step4-Industrial Hg use'!B10=no,'Step4-Industrial Hg use'!B10=que),'Step4-Industrial Hg use'!B10,  pres)</f>
        <v>Present?</v>
      </c>
    </row>
    <row r="37" spans="1:2">
      <c r="A37" s="263" t="str">
        <f>'Step4-Industrial Hg use'!A11</f>
        <v xml:space="preserve">Electrical switches and relays with mercury </v>
      </c>
      <c r="B37" s="268" t="str">
        <f>IF(OR('Step4-Industrial Hg use'!B11=yes,'Step4-Industrial Hg use'!B11=no,'Step4-Industrial Hg use'!B11=que),'Step4-Industrial Hg use'!B11,  pres)</f>
        <v>Present?</v>
      </c>
    </row>
    <row r="38" spans="1:2" ht="25">
      <c r="A38" s="263" t="str">
        <f>'Step4-Industrial Hg use'!A12</f>
        <v xml:space="preserve">Light sources with mercury (fluorescent, compact, others: see guideline) </v>
      </c>
      <c r="B38" s="268" t="str">
        <f>IF(OR('Step4-Industrial Hg use'!B12=yes,'Step4-Industrial Hg use'!B12=no,'Step4-Industrial Hg use'!B12=que),'Step4-Industrial Hg use'!B12,  pres)</f>
        <v>Present?</v>
      </c>
    </row>
    <row r="39" spans="1:2">
      <c r="A39" s="263" t="str">
        <f>'Step4-Industrial Hg use'!A13</f>
        <v xml:space="preserve">Batteries with mercury </v>
      </c>
      <c r="B39" s="268" t="str">
        <f>IF(OR('Step4-Industrial Hg use'!B13=yes,'Step4-Industrial Hg use'!B13=no,'Step4-Industrial Hg use'!B13=que),'Step4-Industrial Hg use'!B13,  pres)</f>
        <v>Present?</v>
      </c>
    </row>
    <row r="40" spans="1:2">
      <c r="A40" s="263" t="str">
        <f>'Step4-Industrial Hg use'!A14</f>
        <v xml:space="preserve">Manometers and gauges with mercury </v>
      </c>
      <c r="B40" s="268" t="str">
        <f>IF(OR('Step4-Industrial Hg use'!B14=yes,'Step4-Industrial Hg use'!B14=no,'Step4-Industrial Hg use'!B14=que),'Step4-Industrial Hg use'!B14,  pres)</f>
        <v>Present?</v>
      </c>
    </row>
    <row r="41" spans="1:2">
      <c r="A41" s="263" t="str">
        <f>'Step4-Industrial Hg use'!A15</f>
        <v xml:space="preserve">Biocides and pesticides with mercury </v>
      </c>
      <c r="B41" s="268" t="str">
        <f>IF(OR('Step4-Industrial Hg use'!B15=yes,'Step4-Industrial Hg use'!B15=no,'Step4-Industrial Hg use'!B15=que),'Step4-Industrial Hg use'!B15,  pres)</f>
        <v>Present?</v>
      </c>
    </row>
    <row r="42" spans="1:2">
      <c r="A42" s="263" t="str">
        <f>'Step4-Industrial Hg use'!A16</f>
        <v xml:space="preserve">Paints with mercury </v>
      </c>
      <c r="B42" s="268" t="str">
        <f>IF(OR('Step4-Industrial Hg use'!B16=yes,'Step4-Industrial Hg use'!B16=no,'Step4-Industrial Hg use'!B16=que),'Step4-Industrial Hg use'!B16,  pres)</f>
        <v>Present?</v>
      </c>
    </row>
    <row r="43" spans="1:2">
      <c r="A43" s="263" t="str">
        <f>'Step4-Industrial Hg use'!A17</f>
        <v xml:space="preserve">Skin lightening creams and soaps with mercury chemicals </v>
      </c>
      <c r="B43" s="268" t="str">
        <f>IF(OR('Step4-Industrial Hg use'!B17=yes,'Step4-Industrial Hg use'!B17=no,'Step4-Industrial Hg use'!B17=que),'Step4-Industrial Hg use'!B17,  pres)</f>
        <v>Present?</v>
      </c>
    </row>
    <row r="44" spans="1:2" ht="16.5" customHeight="1">
      <c r="A44" s="393" t="str">
        <f>'Step6-Hg products-substances'!A6</f>
        <v>Use and disposal of products with mercury content</v>
      </c>
      <c r="B44" s="304"/>
    </row>
    <row r="45" spans="1:2">
      <c r="A45" s="263" t="str">
        <f>'Step6-Hg products-substances'!A7</f>
        <v>Dental amalgam fillings ("silver" fillings)</v>
      </c>
      <c r="B45" s="268" t="str">
        <f>IF(OR('Step6-Hg products-substances'!B7=yes,'Step6-Hg products-substances'!B7=no,'Step6-Hg products-substances'!B7=que),'Step6-Hg products-substances'!B7,  pres)</f>
        <v>Present?</v>
      </c>
    </row>
    <row r="46" spans="1:2">
      <c r="A46" s="263" t="str">
        <f>'Step6-Hg products-substances'!A15</f>
        <v>Thermometers</v>
      </c>
      <c r="B46" s="268" t="str">
        <f>IF(OR('Step6-Hg products-substances'!B15=yes,'Step6-Hg products-substances'!B15=no,'Step6-Hg products-substances'!B15=que),'Step6-Hg products-substances'!B15,  pres)</f>
        <v>Present?</v>
      </c>
    </row>
    <row r="47" spans="1:2">
      <c r="A47" s="263" t="str">
        <f>'Step6-Hg products-substances'!A20</f>
        <v>Electrical switches and relays with mercury</v>
      </c>
      <c r="B47" s="268" t="str">
        <f>IF(OR('Step6-Hg products-substances'!B20=yes,'Step6-Hg products-substances'!B20=no,'Step6-Hg products-substances'!B20=que),'Step6-Hg products-substances'!B20,  pres)</f>
        <v>Present?</v>
      </c>
    </row>
    <row r="48" spans="1:2">
      <c r="A48" s="263" t="str">
        <f>'Step6-Hg products-substances'!A23</f>
        <v>Light sources with mercury</v>
      </c>
      <c r="B48" s="268" t="str">
        <f>IF(OR('Step6-Hg products-substances'!B23=yes,'Step6-Hg products-substances'!B23=no,'Step6-Hg products-substances'!B23=que),'Step6-Hg products-substances'!B23,  pres)</f>
        <v>Present?</v>
      </c>
    </row>
    <row r="49" spans="1:2">
      <c r="A49" s="367" t="str">
        <f>'Step6-Hg products-substances'!A28</f>
        <v>Batteries with mercury</v>
      </c>
      <c r="B49" s="268" t="str">
        <f>IF(OR('Step6-Hg products-substances'!B28=yes,'Step6-Hg products-substances'!B28=no,'Step6-Hg products-substances'!B28=que),'Step6-Hg products-substances'!B28,  pres)</f>
        <v>Present?</v>
      </c>
    </row>
    <row r="50" spans="1:2">
      <c r="A50" s="263" t="str">
        <f>'Step6-Hg products-substances'!A33</f>
        <v>Polyurethane (PU, PUR) produced with mercury catalyst</v>
      </c>
      <c r="B50" s="268" t="str">
        <f>IF(OR('Step6-Hg products-substances'!B33=yes,'Step6-Hg products-substances'!B33=no,'Step6-Hg products-substances'!B33=que),'Step6-Hg products-substances'!B33,  pres)</f>
        <v>Present?</v>
      </c>
    </row>
    <row r="51" spans="1:2">
      <c r="A51" s="263" t="str">
        <f>'Step6-Hg products-substances'!A36</f>
        <v>Paints with mercury preservatives</v>
      </c>
      <c r="B51" s="268" t="str">
        <f>IF(OR('Step6-Hg products-substances'!B36=yes,'Step6-Hg products-substances'!B36=no,'Step6-Hg products-substances'!B36=que),'Step6-Hg products-substances'!B36,  pres)</f>
        <v>Present?</v>
      </c>
    </row>
    <row r="52" spans="1:2">
      <c r="A52" s="263" t="str">
        <f>'Step6-Hg products-substances'!A38</f>
        <v>Skin lightening creams and soaps with mercury chemicals</v>
      </c>
      <c r="B52" s="268" t="str">
        <f>IF(OR('Step6-Hg products-substances'!B38=yes,'Step6-Hg products-substances'!B38=no,'Step6-Hg products-substances'!B38=que),'Step6-Hg products-substances'!B38,  pres)</f>
        <v>Present?</v>
      </c>
    </row>
    <row r="53" spans="1:2" ht="29.25" customHeight="1">
      <c r="A53" s="263" t="str">
        <f>'Step6-Hg products-substances'!A40</f>
        <v>Medical blood pressure gauges (mercury sphygmomanometers)</v>
      </c>
      <c r="B53" s="268" t="str">
        <f>IF(OR('Step6-Hg products-substances'!B40=yes,'Step6-Hg products-substances'!B40=no,'Step6-Hg products-substances'!B40=que),'Step6-Hg products-substances'!B40,  pres)</f>
        <v>Present?</v>
      </c>
    </row>
    <row r="54" spans="1:2">
      <c r="A54" s="263" t="str">
        <f>'Step6-Hg products-substances'!A42</f>
        <v>Other manometers and gauges with mercury</v>
      </c>
      <c r="B54" s="268" t="str">
        <f>IF(OR('Step6-Hg products-substances'!B42=yes,'Step6-Hg products-substances'!B42=no,'Step6-Hg products-substances'!B42=que),'Step6-Hg products-substances'!B42,  pres)</f>
        <v>Present?</v>
      </c>
    </row>
    <row r="55" spans="1:2">
      <c r="A55" s="263" t="str">
        <f>'Step6-Hg products-substances'!A45</f>
        <v>Laboratory chemicals</v>
      </c>
      <c r="B55" s="268" t="str">
        <f>IF(OR('Step6-Hg products-substances'!B45=yes,'Step6-Hg products-substances'!B45=no,'Step6-Hg products-substances'!B45=que),'Step6-Hg products-substances'!B45,  pres)</f>
        <v>Present?</v>
      </c>
    </row>
    <row r="56" spans="1:2">
      <c r="A56" s="263" t="str">
        <f>'Step6-Hg products-substances'!A48</f>
        <v xml:space="preserve">Other laboratory and medical equipment with mercury </v>
      </c>
      <c r="B56" s="268" t="str">
        <f>IF(OR('Step6-Hg products-substances'!B48=yes,'Step6-Hg products-substances'!B48=no,'Step6-Hg products-substances'!B48=que),'Step6-Hg products-substances'!B48,  pres)</f>
        <v>Present?</v>
      </c>
    </row>
    <row r="57" spans="1:2" ht="13">
      <c r="A57" s="393" t="str">
        <f>'Step5-Waste treatment+recycling'!A8</f>
        <v>Production of recycled of metals</v>
      </c>
      <c r="B57" s="304"/>
    </row>
    <row r="58" spans="1:2">
      <c r="A58" s="263" t="str">
        <f>'Step5-Waste treatment+recycling'!A9</f>
        <v>Production of recycled mercury ("secondary production”)</v>
      </c>
      <c r="B58" s="268" t="str">
        <f>IF(OR('Step5-Waste treatment+recycling'!B9=yes,'Step5-Waste treatment+recycling'!B9=no,'Step5-Waste treatment+recycling'!B9=que),'Step5-Waste treatment+recycling'!B9,  pres)</f>
        <v>Present?</v>
      </c>
    </row>
    <row r="59" spans="1:2">
      <c r="A59" s="263" t="str">
        <f>'Step5-Waste treatment+recycling'!A10</f>
        <v>Production of recycled ferrous metals (iron and steel)</v>
      </c>
      <c r="B59" s="268" t="str">
        <f>IF(OR('Step5-Waste treatment+recycling'!B10=yes,'Step5-Waste treatment+recycling'!B10=no,'Step5-Waste treatment+recycling'!B10=que),'Step5-Waste treatment+recycling'!B10,  pres)</f>
        <v>Present?</v>
      </c>
    </row>
    <row r="60" spans="1:2" ht="13">
      <c r="A60" s="393" t="str">
        <f>'Step5-Waste treatment+recycling'!A12</f>
        <v>Waste incineration</v>
      </c>
      <c r="B60" s="304"/>
    </row>
    <row r="61" spans="1:2">
      <c r="A61" s="263" t="str">
        <f>'Step5-Waste treatment+recycling'!A13</f>
        <v>Incineration of municipal/general waste</v>
      </c>
      <c r="B61" s="268" t="str">
        <f>IF(OR('Step5-Waste treatment+recycling'!B13=yes,'Step5-Waste treatment+recycling'!B13=no,'Step5-Waste treatment+recycling'!B13=que),'Step5-Waste treatment+recycling'!B13,  pres)</f>
        <v>Present?</v>
      </c>
    </row>
    <row r="62" spans="1:2">
      <c r="A62" s="263" t="str">
        <f>'Step5-Waste treatment+recycling'!A16</f>
        <v>Incineration of hazardous waste</v>
      </c>
      <c r="B62" s="268" t="str">
        <f>IF(OR('Step5-Waste treatment+recycling'!B16=yes,'Step5-Waste treatment+recycling'!B16=no,'Step5-Waste treatment+recycling'!B16=que),'Step5-Waste treatment+recycling'!B16,  pres)</f>
        <v>Present?</v>
      </c>
    </row>
    <row r="63" spans="1:2">
      <c r="A63" s="263" t="str">
        <f>'Step5-Waste treatment+recycling'!A19</f>
        <v>Incineration / burning of medical waste</v>
      </c>
      <c r="B63" s="268" t="str">
        <f>IF(OR('Step5-Waste treatment+recycling'!B19=yes,'Step5-Waste treatment+recycling'!B19=no,'Step5-Waste treatment+recycling'!B19=que),'Step5-Waste treatment+recycling'!B19,  pres)</f>
        <v>Present?</v>
      </c>
    </row>
    <row r="64" spans="1:2">
      <c r="A64" s="263" t="str">
        <f>'Step5-Waste treatment+recycling'!A22</f>
        <v>Sewage sludge incineration</v>
      </c>
      <c r="B64" s="268" t="str">
        <f>IF(OR('Step5-Waste treatment+recycling'!B22=yes,'Step5-Waste treatment+recycling'!B22=no,'Step5-Waste treatment+recycling'!B22=que),'Step5-Waste treatment+recycling'!B22,  pres)</f>
        <v>Present?</v>
      </c>
    </row>
    <row r="65" spans="1:2">
      <c r="A65" s="263" t="str">
        <f>'Step5-Waste treatment+recycling'!A23</f>
        <v>Open fire waste burning (on landfills and informally)</v>
      </c>
      <c r="B65" s="268" t="str">
        <f>IF(OR('Step5-Waste treatment+recycling'!B23=yes,'Step5-Waste treatment+recycling'!B23=no,'Step5-Waste treatment+recycling'!B23=que),'Step5-Waste treatment+recycling'!B23,  pres)</f>
        <v>Present?</v>
      </c>
    </row>
    <row r="66" spans="1:2" ht="26">
      <c r="A66" s="393" t="str">
        <f>'Step5-Waste treatment+recycling'!A25</f>
        <v>Waste deposition/landfilling and waste water treatment</v>
      </c>
      <c r="B66" s="304"/>
    </row>
    <row r="67" spans="1:2">
      <c r="A67" s="263" t="str">
        <f>'Step5-Waste treatment+recycling'!A26</f>
        <v>Controlled landfills/deposits</v>
      </c>
      <c r="B67" s="268" t="str">
        <f>IF(OR('Step5-Waste treatment+recycling'!B26=yes,'Step5-Waste treatment+recycling'!B26=no,'Step5-Waste treatment+recycling'!B26=que),'Step5-Waste treatment+recycling'!B26,  pres)</f>
        <v>Present?</v>
      </c>
    </row>
    <row r="68" spans="1:2">
      <c r="A68" s="263" t="str">
        <f>'Step5-Waste treatment+recycling'!A27</f>
        <v>Informal dumping of general waste *1</v>
      </c>
      <c r="B68" s="268" t="str">
        <f>IF(OR('Step5-Waste treatment+recycling'!B27=yes,'Step5-Waste treatment+recycling'!B27=no,'Step5-Waste treatment+recycling'!B27=que),'Step5-Waste treatment+recycling'!B27,  pres)</f>
        <v>Present?</v>
      </c>
    </row>
    <row r="69" spans="1:2">
      <c r="A69" s="263" t="str">
        <f>'Step5-Waste treatment+recycling'!A29</f>
        <v>Waste water system/treatment</v>
      </c>
      <c r="B69" s="268" t="str">
        <f>IF(OR('Step5-Waste treatment+recycling'!B29=yes,'Step5-Waste treatment+recycling'!B29=no,'Step5-Waste treatment+recycling'!B29=que),'Step5-Waste treatment+recycling'!B29,  pres)</f>
        <v>Present?</v>
      </c>
    </row>
    <row r="70" spans="1:2" ht="13">
      <c r="A70" s="393" t="str">
        <f>'Step7-Crematoria-cemetaries'!A4</f>
        <v>Crematoria and cemeteries</v>
      </c>
      <c r="B70" s="304"/>
    </row>
    <row r="71" spans="1:2">
      <c r="A71" s="263" t="str">
        <f>'Step7-Crematoria-cemetaries'!A5</f>
        <v>Crematoria</v>
      </c>
      <c r="B71" s="268" t="str">
        <f>IF(OR('Step7-Crematoria-cemetaries'!B5=yes,'Step7-Crematoria-cemetaries'!B5=no,'Step7-Crematoria-cemetaries'!B5=que),'Step7-Crematoria-cemetaries'!B5,  pres)</f>
        <v>Present?</v>
      </c>
    </row>
    <row r="72" spans="1:2">
      <c r="A72" s="263" t="str">
        <f>'Step7-Crematoria-cemetaries'!A6</f>
        <v>Cemeteries</v>
      </c>
      <c r="B72" s="268" t="str">
        <f>IF(OR('Step7-Crematoria-cemetaries'!B6=yes,'Step7-Crematoria-cemetaries'!B6=no,'Step7-Crematoria-cemetaries'!B6=que),'Step7-Crematoria-cemetaries'!B6,  pres)</f>
        <v>Present?</v>
      </c>
    </row>
    <row r="73" spans="1:2">
      <c r="A73" s="358"/>
      <c r="B73" s="359"/>
    </row>
    <row r="77" spans="1:2">
      <c r="A77" s="373"/>
    </row>
  </sheetData>
  <sheetProtection algorithmName="SHA-512" hashValue="wWvZxrBAgyRLCnDny1a2M0+vomtkPk1blBXTerZ5L6mNNCBQoYZo3HHjDNFyd5YaAIZHvZTLHA+Rs0nxvwXLMA==" saltValue="uNh2Sfnwdcq90bsAhIFfOg==" spinCount="100000" sheet="1"/>
  <customSheetViews>
    <customSheetView guid="{EB7FE26D-7077-48F2-8515-D783BE87A220}" fitToPage="1">
      <selection activeCell="A6" sqref="A6"/>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customSheetView>
  </customSheetViews>
  <pageMargins left="0.39370078740157483" right="0.39370078740157483" top="0.74803149606299213" bottom="0.74803149606299213" header="0.31496062992125984" footer="0.31496062992125984"/>
  <pageSetup paperSize="9" scale="90" fitToHeight="2" orientation="landscape" r:id="rId2"/>
  <headerFooter>
    <oddFooter>&amp;L&amp;A
Printed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1"/>
  <dimension ref="A1:E82"/>
  <sheetViews>
    <sheetView topLeftCell="A40" workbookViewId="0">
      <selection activeCell="A30" sqref="A30"/>
    </sheetView>
  </sheetViews>
  <sheetFormatPr defaultColWidth="9.1796875" defaultRowHeight="12.5"/>
  <cols>
    <col min="1" max="1" width="46.81640625" style="339" customWidth="1"/>
    <col min="2" max="2" width="10.36328125" style="360" customWidth="1"/>
    <col min="3" max="3" width="13.453125" style="339" customWidth="1"/>
    <col min="4" max="4" width="33.453125" style="339" customWidth="1"/>
    <col min="5" max="5" width="12.453125" style="339" customWidth="1"/>
    <col min="6" max="16384" width="9.1796875" style="339"/>
  </cols>
  <sheetData>
    <row r="1" spans="1:5" ht="13">
      <c r="A1" s="356" t="s">
        <v>502</v>
      </c>
      <c r="B1" s="357"/>
    </row>
    <row r="2" spans="1:5" s="361" customFormat="1" ht="38.25" customHeight="1">
      <c r="A2" s="263" t="s">
        <v>312</v>
      </c>
      <c r="B2" s="701" t="s">
        <v>365</v>
      </c>
      <c r="C2" s="263"/>
      <c r="D2" s="263"/>
      <c r="E2" s="701" t="s">
        <v>358</v>
      </c>
    </row>
    <row r="3" spans="1:5" ht="25.5">
      <c r="A3" s="417"/>
      <c r="B3" s="344" t="str">
        <f>quest</f>
        <v>Y/N/?</v>
      </c>
      <c r="C3" s="268" t="s">
        <v>496</v>
      </c>
      <c r="D3" s="268" t="s">
        <v>35</v>
      </c>
      <c r="E3" s="701" t="s">
        <v>362</v>
      </c>
    </row>
    <row r="4" spans="1:5" ht="12.75" customHeight="1">
      <c r="A4" s="393" t="str">
        <f>'Range-thresholds'!A5</f>
        <v>Energy consumption</v>
      </c>
      <c r="B4" s="372"/>
      <c r="C4" s="423"/>
      <c r="D4" s="304"/>
      <c r="E4" s="423"/>
    </row>
    <row r="5" spans="1:5">
      <c r="A5" s="263" t="str">
        <f>'Range-thresholds'!A6</f>
        <v>Coal combustion in large power plants</v>
      </c>
      <c r="B5" s="268" t="str">
        <f>IF(OR('Step2-Energy'!B5=yes,'Step2-Energy'!B5=no,'Step2-Energy'!B5=que),'Step2-Energy'!B5,  pres)</f>
        <v>Present?</v>
      </c>
      <c r="C5" s="426">
        <f>'Level 1- total summary'!C5</f>
        <v>0</v>
      </c>
      <c r="D5" s="263" t="str">
        <f>'Step2-Energy'!D5</f>
        <v>Coal combusted, t/y </v>
      </c>
      <c r="E5" s="426" t="str">
        <f>'Level 1- total summary'!E5</f>
        <v>Present?</v>
      </c>
    </row>
    <row r="6" spans="1:5">
      <c r="A6" s="263" t="str">
        <f>'Range-thresholds'!A7</f>
        <v>Coal combustion in coal fired industrial boilers</v>
      </c>
      <c r="B6" s="268" t="str">
        <f>IF(OR('Step2-Energy'!B8=yes,'Step2-Energy'!B8=no,'Step2-Energy'!B8=que),'Step2-Energy'!B8,  pres)</f>
        <v>Present?</v>
      </c>
      <c r="C6" s="426">
        <f>'Level 1- total summary'!C6</f>
        <v>0</v>
      </c>
      <c r="D6" s="263" t="str">
        <f>'Step2-Energy'!D8</f>
        <v>Coal combusted, t/y </v>
      </c>
      <c r="E6" s="426" t="str">
        <f>'Level 1- total summary'!E6</f>
        <v>Present?</v>
      </c>
    </row>
    <row r="7" spans="1:5">
      <c r="A7" s="263" t="str">
        <f>'Range-thresholds'!A8</f>
        <v>Other coal uses</v>
      </c>
      <c r="B7" s="268" t="str">
        <f>IF(OR('Step2-Energy'!B11=yes,'Step2-Energy'!B11=no,'Step2-Energy'!B11=que),'Step2-Energy'!B11,  pres)</f>
        <v>Present?</v>
      </c>
      <c r="C7" s="426">
        <f>'Level 1- total summary'!C7</f>
        <v>0</v>
      </c>
      <c r="D7" s="263" t="str">
        <f>'Step2-Energy'!D11</f>
        <v>Coal used, t/y</v>
      </c>
      <c r="E7" s="426" t="str">
        <f>'Level 1- total summary'!E7</f>
        <v>Present?</v>
      </c>
    </row>
    <row r="8" spans="1:5">
      <c r="A8" s="263" t="str">
        <f>'Range-thresholds'!A9</f>
        <v>Combustion/use of petroleum coke and heavy oil</v>
      </c>
      <c r="B8" s="268" t="str">
        <f>IF(OR('Step2-Energy'!B12=yes,'Step2-Energy'!B12=no,'Step2-Energy'!B12=que),'Step2-Energy'!B12,  pres)</f>
        <v>Present?</v>
      </c>
      <c r="C8" s="426">
        <f>'Level 1- total summary'!C8</f>
        <v>0</v>
      </c>
      <c r="D8" s="263" t="str">
        <f>'Step2-Energy'!D12</f>
        <v>Oil product combusted, t/y</v>
      </c>
      <c r="E8" s="426" t="str">
        <f>'Level 1- total summary'!E8</f>
        <v>Present?</v>
      </c>
    </row>
    <row r="9" spans="1:5" ht="25">
      <c r="A9" s="263" t="str">
        <f>'Range-thresholds'!A10</f>
        <v>Combustion/use of diesel, gasoil, petroleum, kerosene, LPG and other light to medium distillates</v>
      </c>
      <c r="B9" s="268" t="str">
        <f>IF(OR('Step2-Energy'!B15=yes,'Step2-Energy'!B15=no,'Step2-Energy'!B15=que),'Step2-Energy'!B15,  pres)</f>
        <v>Present?</v>
      </c>
      <c r="C9" s="426">
        <f>'Level 1- total summary'!C9</f>
        <v>0</v>
      </c>
      <c r="D9" s="263" t="str">
        <f>'Step2-Energy'!D15</f>
        <v>Oil product combusted, t/y</v>
      </c>
      <c r="E9" s="426" t="str">
        <f>'Level 1- total summary'!E9</f>
        <v>Present?</v>
      </c>
    </row>
    <row r="10" spans="1:5" ht="15.75" customHeight="1">
      <c r="A10" s="263" t="str">
        <f>'Range-thresholds'!A11</f>
        <v>Use of raw or pre-cleaned natural gas</v>
      </c>
      <c r="B10" s="268" t="str">
        <f>IF(OR('Step2-Energy'!B18=yes,'Step2-Energy'!B18=no,'Step2-Energy'!B18=que),'Step2-Energy'!B18,  pres)</f>
        <v>Present?</v>
      </c>
      <c r="C10" s="426">
        <f>'Level 1- total summary'!C10</f>
        <v>0</v>
      </c>
      <c r="D10" s="263" t="str">
        <f>'Step2-Energy'!D18</f>
        <v>Gas used, Nm³/y</v>
      </c>
      <c r="E10" s="426" t="str">
        <f>'Level 1- total summary'!E10</f>
        <v>Present?</v>
      </c>
    </row>
    <row r="11" spans="1:5" ht="15.75" customHeight="1">
      <c r="A11" s="263" t="str">
        <f>'Range-thresholds'!A12</f>
        <v>Use of pipeline gas (consumer quality)</v>
      </c>
      <c r="B11" s="268" t="str">
        <f>IF(OR('Step2-Energy'!B19=yes,'Step2-Energy'!B19=no,'Step2-Energy'!B19=que),'Step2-Energy'!B19,  pres)</f>
        <v>Present?</v>
      </c>
      <c r="C11" s="426">
        <f>'Level 1- total summary'!C11</f>
        <v>0</v>
      </c>
      <c r="D11" s="263" t="str">
        <f>'Step2-Energy'!D19</f>
        <v>Gas used, Nm³/y</v>
      </c>
      <c r="E11" s="426" t="str">
        <f>'Level 1- total summary'!E11</f>
        <v>Present?</v>
      </c>
    </row>
    <row r="12" spans="1:5">
      <c r="A12" s="263" t="str">
        <f>'Range-thresholds'!A13</f>
        <v>Biomass fired power and heat production</v>
      </c>
      <c r="B12" s="268" t="str">
        <f>IF(OR('Step2-Energy'!B20=yes,'Step2-Energy'!B20=no,'Step2-Energy'!B20=que),'Step2-Energy'!B20,  pres)</f>
        <v>Present?</v>
      </c>
      <c r="C12" s="426">
        <f>'Level 1- total summary'!C12</f>
        <v>0</v>
      </c>
      <c r="D12" s="263" t="str">
        <f>'Step2-Energy'!D20</f>
        <v>Biomass combusted, t/y</v>
      </c>
      <c r="E12" s="426" t="str">
        <f>'Level 1- total summary'!E12</f>
        <v>Present?</v>
      </c>
    </row>
    <row r="13" spans="1:5">
      <c r="A13" s="263" t="str">
        <f>'Range-thresholds'!A14</f>
        <v>Charcoal combustion</v>
      </c>
      <c r="B13" s="268" t="str">
        <f>IF(OR('Step2-Energy'!B21=yes,'Step2-Energy'!B21=no,'Step2-Energy'!B21=que),'Step2-Energy'!B21,  pres)</f>
        <v>Present?</v>
      </c>
      <c r="C13" s="426">
        <f>'Level 1- total summary'!C13</f>
        <v>0</v>
      </c>
      <c r="D13" s="263" t="str">
        <f>'Step2-Energy'!D21</f>
        <v>Charcoal combusted, t/y</v>
      </c>
      <c r="E13" s="426" t="str">
        <f>'Level 1- total summary'!E13</f>
        <v>Present?</v>
      </c>
    </row>
    <row r="14" spans="1:5" ht="13">
      <c r="A14" s="393" t="str">
        <f>'Range-thresholds'!A15</f>
        <v>Fuel production</v>
      </c>
      <c r="B14" s="304"/>
      <c r="C14" s="304"/>
      <c r="D14" s="371"/>
      <c r="E14" s="371"/>
    </row>
    <row r="15" spans="1:5">
      <c r="A15" s="263" t="str">
        <f>'Range-thresholds'!A16</f>
        <v>Oil extraction</v>
      </c>
      <c r="B15" s="268" t="str">
        <f>IF(OR('Step2-Energy'!B24=yes,'Step2-Energy'!B24=no,'Step2-Energy'!B24=que),'Step2-Energy'!B24,  pres)</f>
        <v>Present?</v>
      </c>
      <c r="C15" s="426">
        <f>'Level 1- total summary'!C15</f>
        <v>0</v>
      </c>
      <c r="D15" s="263" t="str">
        <f>'Step2-Energy'!D24</f>
        <v>Crude oil produced, t/y</v>
      </c>
      <c r="E15" s="426" t="str">
        <f>'Level 1- total summary'!E15</f>
        <v>Present?</v>
      </c>
    </row>
    <row r="16" spans="1:5">
      <c r="A16" s="263" t="str">
        <f>'Range-thresholds'!A17</f>
        <v>Oil refining</v>
      </c>
      <c r="B16" s="268" t="str">
        <f>IF(OR('Step2-Energy'!B25=yes,'Step2-Energy'!B25=no,'Step2-Energy'!B25=que),'Step2-Energy'!B25,  pres)</f>
        <v>Present?</v>
      </c>
      <c r="C16" s="426">
        <f>'Level 1- total summary'!C16</f>
        <v>0</v>
      </c>
      <c r="D16" s="263" t="str">
        <f>'Step2-Energy'!D25</f>
        <v>Crude oil refined, t/y</v>
      </c>
      <c r="E16" s="426" t="str">
        <f>'Level 1- total summary'!E16</f>
        <v>Present?</v>
      </c>
    </row>
    <row r="17" spans="1:5">
      <c r="A17" s="263" t="str">
        <f>'Range-thresholds'!A18</f>
        <v>Extraction and processing of natural gas</v>
      </c>
      <c r="B17" s="268" t="str">
        <f>IF(OR('Step2-Energy'!B26=yes,'Step2-Energy'!B26=no,'Step2-Energy'!B26=que),'Step2-Energy'!B26,  pres)</f>
        <v>Present?</v>
      </c>
      <c r="C17" s="426">
        <f>'Level 1- total summary'!C17</f>
        <v>0</v>
      </c>
      <c r="D17" s="263" t="str">
        <f>'Step2-Energy'!D26</f>
        <v>Gas produced, Nm³/y</v>
      </c>
      <c r="E17" s="426" t="str">
        <f>'Level 1- total summary'!E17</f>
        <v>Present?</v>
      </c>
    </row>
    <row r="18" spans="1:5" ht="13">
      <c r="A18" s="393" t="str">
        <f>'Range-thresholds'!A19</f>
        <v>Primary metal production</v>
      </c>
      <c r="B18" s="304"/>
      <c r="C18" s="304"/>
      <c r="D18" s="371"/>
      <c r="E18" s="371"/>
    </row>
    <row r="19" spans="1:5">
      <c r="A19" s="263" t="str">
        <f>'Range-thresholds'!A20</f>
        <v>Mercury (primary) extraction and initial processing</v>
      </c>
      <c r="B19" s="268" t="str">
        <f>IF(OR('Step3-Metals-RawMat'!B6=yes,'Step3-Metals-RawMat'!B6=no,'Step3-Metals-RawMat'!B6=que),'Step3-Metals-RawMat'!B6,  pres)</f>
        <v>Present?</v>
      </c>
      <c r="C19" s="426">
        <f>'Level 1- total summary'!C19</f>
        <v>0</v>
      </c>
      <c r="D19" s="263" t="str">
        <f>'Step3-Metals-RawMat'!D6</f>
        <v>Mercury produced, t/y</v>
      </c>
      <c r="E19" s="426" t="str">
        <f>'Level 1- total summary'!E19</f>
        <v>Present?</v>
      </c>
    </row>
    <row r="20" spans="1:5">
      <c r="A20" s="263" t="str">
        <f>'Range-thresholds'!A21</f>
        <v>Production of zinc from concentrates</v>
      </c>
      <c r="B20" s="268" t="str">
        <f>IF(OR('Step3-Metals-RawMat'!B7=yes,'Step3-Metals-RawMat'!B7=no,'Step3-Metals-RawMat'!B7=que),'Step3-Metals-RawMat'!B7,  pres)</f>
        <v>Present?</v>
      </c>
      <c r="C20" s="426">
        <f>'Level 1- total summary'!C20</f>
        <v>0</v>
      </c>
      <c r="D20" s="263" t="str">
        <f>'Step3-Metals-RawMat'!D7</f>
        <v>Concentrate used, t/y</v>
      </c>
      <c r="E20" s="426" t="str">
        <f>'Level 1- total summary'!E20</f>
        <v>Present?</v>
      </c>
    </row>
    <row r="21" spans="1:5">
      <c r="A21" s="263" t="str">
        <f>'Range-thresholds'!A22</f>
        <v>Production of copper from concentrates</v>
      </c>
      <c r="B21" s="268" t="str">
        <f>IF(OR('Step3-Metals-RawMat'!B10=yes,'Step3-Metals-RawMat'!B10=no,'Step3-Metals-RawMat'!B10=que),'Step3-Metals-RawMat'!B10,  pres)</f>
        <v>Present?</v>
      </c>
      <c r="C21" s="426">
        <f>'Level 1- total summary'!C21</f>
        <v>0</v>
      </c>
      <c r="D21" s="263" t="str">
        <f>'Step3-Metals-RawMat'!D10</f>
        <v>Concentrate used, t/y</v>
      </c>
      <c r="E21" s="426" t="str">
        <f>'Level 1- total summary'!E21</f>
        <v>Present?</v>
      </c>
    </row>
    <row r="22" spans="1:5">
      <c r="A22" s="263" t="str">
        <f>'Range-thresholds'!A23</f>
        <v>Production of lead from concentrates</v>
      </c>
      <c r="B22" s="268" t="str">
        <f>IF(OR('Step3-Metals-RawMat'!B13=yes,'Step3-Metals-RawMat'!B13=no,'Step3-Metals-RawMat'!B13=que),'Step3-Metals-RawMat'!B13,  pres)</f>
        <v>Present?</v>
      </c>
      <c r="C22" s="426">
        <f>'Level 1- total summary'!C22</f>
        <v>0</v>
      </c>
      <c r="D22" s="263" t="str">
        <f>'Step3-Metals-RawMat'!D13</f>
        <v>Concentrate used, t/y</v>
      </c>
      <c r="E22" s="426" t="str">
        <f>'Level 1- total summary'!E22</f>
        <v>Present?</v>
      </c>
    </row>
    <row r="23" spans="1:5" ht="25">
      <c r="A23" s="263" t="str">
        <f>'Range-thresholds'!A24</f>
        <v>Gold extraction by methods other than mercury amalgamation</v>
      </c>
      <c r="B23" s="268" t="str">
        <f>IF(OR('Step3-Metals-RawMat'!B16=yes,'Step3-Metals-RawMat'!B16=no,'Step3-Metals-RawMat'!B16=que),'Step3-Metals-RawMat'!B16,  pres)</f>
        <v>Present?</v>
      </c>
      <c r="C23" s="426">
        <f>'Level 1- total summary'!C23</f>
        <v>0</v>
      </c>
      <c r="D23" s="263" t="str">
        <f>'Step3-Metals-RawMat'!D16</f>
        <v>Gold ore used, t/y</v>
      </c>
      <c r="E23" s="426" t="str">
        <f>'Level 1- total summary'!E23</f>
        <v>Present?</v>
      </c>
    </row>
    <row r="24" spans="1:5" ht="16.5" customHeight="1">
      <c r="A24" s="263" t="str">
        <f>'Range-thresholds'!A25</f>
        <v>Alumina production from bauxite (aluminium production)</v>
      </c>
      <c r="B24" s="268" t="str">
        <f>IF(OR('Step3-Metals-RawMat'!B17=yes,'Step3-Metals-RawMat'!B17=no,'Step3-Metals-RawMat'!B17=que),'Step3-Metals-RawMat'!B17,  pres)</f>
        <v>Present?</v>
      </c>
      <c r="C24" s="426">
        <f>'Level 1- total summary'!C24</f>
        <v>0</v>
      </c>
      <c r="D24" s="263" t="str">
        <f>'Step3-Metals-RawMat'!D17</f>
        <v>Bauxit processed, t/y</v>
      </c>
      <c r="E24" s="426" t="str">
        <f>'Level 1- total summary'!E24</f>
        <v>Present?</v>
      </c>
    </row>
    <row r="25" spans="1:5" ht="21" customHeight="1">
      <c r="A25" s="263" t="str">
        <f>'Range-thresholds'!A26</f>
        <v>Primary ferrous metal production (pig iron production)</v>
      </c>
      <c r="B25" s="268" t="str">
        <f>IF(OR('Step3-Metals-RawMat'!B18=yes,'Step3-Metals-RawMat'!B18=no,'Step3-Metals-RawMat'!B18=que),'Step3-Metals-RawMat'!B18,  pres)</f>
        <v>Present?</v>
      </c>
      <c r="C25" s="426">
        <f>'Level 1- total summary'!C25</f>
        <v>0</v>
      </c>
      <c r="D25" s="263" t="str">
        <f>'Step3-Metals-RawMat'!D18</f>
        <v>Pig iron produced, t/y</v>
      </c>
      <c r="E25" s="426" t="str">
        <f>'Level 1- total summary'!E25</f>
        <v>Present?</v>
      </c>
    </row>
    <row r="26" spans="1:5" ht="25">
      <c r="A26" s="263" t="str">
        <f>'Range-thresholds'!A27</f>
        <v>Gold extraction with mercury amalgamation - from whole ore</v>
      </c>
      <c r="B26" s="268" t="str">
        <f>IF(OR('Step3-Metals-RawMat'!B19=yes,'Step3-Metals-RawMat'!B19=no,'Step3-Metals-RawMat'!B19=que),'Step3-Metals-RawMat'!B19,  pres)</f>
        <v>Present?</v>
      </c>
      <c r="C26" s="426">
        <f>'Level 1- total summary'!C26</f>
        <v>0</v>
      </c>
      <c r="D26" s="263" t="str">
        <f>'Step3-Metals-RawMat'!D19</f>
        <v>Gold produced, kg/y</v>
      </c>
      <c r="E26" s="426" t="str">
        <f>'Level 1- total summary'!E26</f>
        <v>Present?</v>
      </c>
    </row>
    <row r="27" spans="1:5" ht="25">
      <c r="A27" s="263" t="str">
        <f>'Range-thresholds'!A28</f>
        <v>Gold extraction with mercury amalgamation - from concentrate</v>
      </c>
      <c r="B27" s="268" t="str">
        <f>IF(OR('Step3-Metals-RawMat'!B22=yes,'Step3-Metals-RawMat'!B22=no,'Step3-Metals-RawMat'!B22=que),'Step3-Metals-RawMat'!B22,  pres)</f>
        <v>Present?</v>
      </c>
      <c r="C27" s="426">
        <f>'Level 1- total summary'!C27</f>
        <v>0</v>
      </c>
      <c r="D27" s="263" t="str">
        <f>'Step3-Metals-RawMat'!D22</f>
        <v>Gold produced, kg/y</v>
      </c>
      <c r="E27" s="426" t="str">
        <f>'Level 1- total summary'!E27</f>
        <v>Present?</v>
      </c>
    </row>
    <row r="28" spans="1:5" ht="17.25" customHeight="1">
      <c r="A28" s="393" t="str">
        <f>'Range-thresholds'!A29</f>
        <v>Other materials production</v>
      </c>
      <c r="B28" s="304"/>
      <c r="C28" s="304"/>
      <c r="D28" s="371"/>
      <c r="E28" s="371"/>
    </row>
    <row r="29" spans="1:5" ht="25">
      <c r="A29" s="662" t="s">
        <v>1261</v>
      </c>
      <c r="B29" s="268" t="str">
        <f>IF(OR('Step3-Metals-RawMat'!B26=yes,'Step3-Metals-RawMat'!B26=no,'Step3-Metals-RawMat'!B26=que),'Step3-Metals-RawMat'!B26,  pres)</f>
        <v>Present?</v>
      </c>
      <c r="C29" s="426">
        <f>'Level 1- total summary'!C29</f>
        <v>0</v>
      </c>
      <c r="D29" s="263" t="str">
        <f>'Step3-Metals-RawMat'!D26</f>
        <v>Cement produced from nationally produced clinker, t/y</v>
      </c>
      <c r="E29" s="426" t="str">
        <f>'Level 1- total summary'!E29</f>
        <v>Present?</v>
      </c>
    </row>
    <row r="30" spans="1:5">
      <c r="A30" s="263" t="str">
        <f>'Range-thresholds'!A31</f>
        <v>Pulp and paper production</v>
      </c>
      <c r="B30" s="268" t="str">
        <f>IF(OR('Step3-Metals-RawMat'!B31=yes,'Step3-Metals-RawMat'!B31=no,'Step3-Metals-RawMat'!B31=que),'Step3-Metals-RawMat'!B31,  pres)</f>
        <v>Present?</v>
      </c>
      <c r="C30" s="426">
        <f>'Level 1- total summary'!C30</f>
        <v>0</v>
      </c>
      <c r="D30" s="263" t="str">
        <f>'Step3-Metals-RawMat'!D31</f>
        <v>Biomass used for production, t/y</v>
      </c>
      <c r="E30" s="426" t="str">
        <f>'Level 1- total summary'!E30</f>
        <v>Present?</v>
      </c>
    </row>
    <row r="31" spans="1:5" ht="13">
      <c r="A31" s="393" t="str">
        <f>'Range-thresholds'!A32</f>
        <v>Production of chemicals</v>
      </c>
      <c r="B31" s="304"/>
      <c r="C31" s="304"/>
      <c r="D31" s="305"/>
      <c r="E31" s="305"/>
    </row>
    <row r="32" spans="1:5">
      <c r="A32" s="263" t="str">
        <f>'Range-thresholds'!A33</f>
        <v>Chlor-alkali production with mercury-cells</v>
      </c>
      <c r="B32" s="268" t="str">
        <f>IF(OR('Step4-Industrial Hg use'!B5=yes,'Step4-Industrial Hg use'!B5=no,'Step4-Industrial Hg use'!B5=que),'Step4-Industrial Hg use'!B5,  pres)</f>
        <v>Present?</v>
      </c>
      <c r="C32" s="426">
        <f>'Level 1- total summary'!C32</f>
        <v>0</v>
      </c>
      <c r="D32" s="273" t="str">
        <f>'Step4-Industrial Hg use'!D5</f>
        <v xml:space="preserve">Cl2 produced, t/y </v>
      </c>
      <c r="E32" s="426" t="str">
        <f>'Level 1- total summary'!E32</f>
        <v>Present?</v>
      </c>
    </row>
    <row r="33" spans="1:5">
      <c r="A33" s="263" t="str">
        <f>'Range-thresholds'!A34</f>
        <v>VCM production with mercury catalyst</v>
      </c>
      <c r="B33" s="268" t="str">
        <f>IF(OR('Step4-Industrial Hg use'!B6=yes,'Step4-Industrial Hg use'!B6=no,'Step4-Industrial Hg use'!B6=que),'Step4-Industrial Hg use'!B6,  pres)</f>
        <v>Present?</v>
      </c>
      <c r="C33" s="426">
        <f>'Level 1- total summary'!C33</f>
        <v>0</v>
      </c>
      <c r="D33" s="273" t="str">
        <f>'Step4-Industrial Hg use'!D6</f>
        <v xml:space="preserve">VCM produced, t/y </v>
      </c>
      <c r="E33" s="426" t="str">
        <f>'Level 1- total summary'!E33</f>
        <v>Present?</v>
      </c>
    </row>
    <row r="34" spans="1:5">
      <c r="A34" s="263" t="str">
        <f>'Range-thresholds'!A35</f>
        <v>Acetaldehyde production with mercury catalyst</v>
      </c>
      <c r="B34" s="268" t="str">
        <f>IF(OR('Step4-Industrial Hg use'!B7=yes,'Step4-Industrial Hg use'!B7=no,'Step4-Industrial Hg use'!B7=que),'Step4-Industrial Hg use'!B7,  pres)</f>
        <v>Present?</v>
      </c>
      <c r="C34" s="426">
        <f>'Level 1- total summary'!C34</f>
        <v>0</v>
      </c>
      <c r="D34" s="273" t="str">
        <f>'Step4-Industrial Hg use'!D7</f>
        <v>Acetaldehyde produced, t/y</v>
      </c>
      <c r="E34" s="426" t="str">
        <f>'Level 1- total summary'!E34</f>
        <v>Present?</v>
      </c>
    </row>
    <row r="35" spans="1:5" ht="13">
      <c r="A35" s="393" t="str">
        <f>'Range-thresholds'!A36</f>
        <v>Production of products with mercury content</v>
      </c>
      <c r="B35" s="304"/>
      <c r="C35" s="304"/>
      <c r="D35" s="305"/>
      <c r="E35" s="305"/>
    </row>
    <row r="36" spans="1:5">
      <c r="A36" s="263" t="str">
        <f>'Range-thresholds'!A37</f>
        <v xml:space="preserve">Hg thermometers (medical, air, lab, industrial etc.) </v>
      </c>
      <c r="B36" s="268" t="str">
        <f>IF(OR('Step4-Industrial Hg use'!B10=yes,'Step4-Industrial Hg use'!B10=no,'Step4-Industrial Hg use'!B10=que),'Step4-Industrial Hg use'!B10,  pres)</f>
        <v>Present?</v>
      </c>
      <c r="C36" s="426">
        <f>'Level 1- total summary'!C36</f>
        <v>0</v>
      </c>
      <c r="D36" s="273" t="str">
        <f>'Step4-Industrial Hg use'!D10</f>
        <v>Mercury used for production, kg/y</v>
      </c>
      <c r="E36" s="426" t="str">
        <f>'Level 1- total summary'!E36</f>
        <v>Present?</v>
      </c>
    </row>
    <row r="37" spans="1:5">
      <c r="A37" s="263" t="str">
        <f>'Range-thresholds'!A38</f>
        <v xml:space="preserve">Electrical switches and relays with mercury </v>
      </c>
      <c r="B37" s="268" t="str">
        <f>IF(OR('Step4-Industrial Hg use'!B11=yes,'Step4-Industrial Hg use'!B11=no,'Step4-Industrial Hg use'!B11=que),'Step4-Industrial Hg use'!B11,  pres)</f>
        <v>Present?</v>
      </c>
      <c r="C37" s="426">
        <f>'Level 1- total summary'!C37</f>
        <v>0</v>
      </c>
      <c r="D37" s="273" t="str">
        <f>'Step4-Industrial Hg use'!D11</f>
        <v>Mercury used for production, kg/y</v>
      </c>
      <c r="E37" s="426" t="str">
        <f>'Level 1- total summary'!E37</f>
        <v>Present?</v>
      </c>
    </row>
    <row r="38" spans="1:5" ht="25">
      <c r="A38" s="263" t="str">
        <f>'Range-thresholds'!A39</f>
        <v xml:space="preserve">Light sources with mercury (fluorescent, compact, others: see guideline) </v>
      </c>
      <c r="B38" s="268" t="str">
        <f>IF(OR('Step4-Industrial Hg use'!B12=yes,'Step4-Industrial Hg use'!B12=no,'Step4-Industrial Hg use'!B12=que),'Step4-Industrial Hg use'!B12,  pres)</f>
        <v>Present?</v>
      </c>
      <c r="C38" s="426">
        <f>'Level 1- total summary'!C38</f>
        <v>0</v>
      </c>
      <c r="D38" s="273" t="str">
        <f>'Step4-Industrial Hg use'!D12</f>
        <v>Mercury used for production, kg/y</v>
      </c>
      <c r="E38" s="426" t="str">
        <f>'Level 1- total summary'!E38</f>
        <v>Present?</v>
      </c>
    </row>
    <row r="39" spans="1:5">
      <c r="A39" s="263" t="str">
        <f>'Range-thresholds'!A40</f>
        <v xml:space="preserve">Batteries with mercury </v>
      </c>
      <c r="B39" s="268" t="str">
        <f>IF(OR('Step4-Industrial Hg use'!B13=yes,'Step4-Industrial Hg use'!B13=no,'Step4-Industrial Hg use'!B13=que),'Step4-Industrial Hg use'!B13,  pres)</f>
        <v>Present?</v>
      </c>
      <c r="C39" s="426">
        <f>'Level 1- total summary'!C39</f>
        <v>0</v>
      </c>
      <c r="D39" s="273" t="str">
        <f>'Step4-Industrial Hg use'!D13</f>
        <v>Mercury used for production, kg/y</v>
      </c>
      <c r="E39" s="426" t="str">
        <f>'Level 1- total summary'!E39</f>
        <v>Present?</v>
      </c>
    </row>
    <row r="40" spans="1:5">
      <c r="A40" s="263" t="str">
        <f>'Range-thresholds'!A41</f>
        <v xml:space="preserve">Manometers and gauges with mercury </v>
      </c>
      <c r="B40" s="268" t="str">
        <f>IF(OR('Step4-Industrial Hg use'!B14=yes,'Step4-Industrial Hg use'!B14=no,'Step4-Industrial Hg use'!B14=que),'Step4-Industrial Hg use'!B14,  pres)</f>
        <v>Present?</v>
      </c>
      <c r="C40" s="426">
        <f>'Level 1- total summary'!C40</f>
        <v>0</v>
      </c>
      <c r="D40" s="273" t="str">
        <f>'Step4-Industrial Hg use'!D14</f>
        <v>Mercury used for production, kg/y</v>
      </c>
      <c r="E40" s="426" t="str">
        <f>'Level 1- total summary'!E40</f>
        <v>Present?</v>
      </c>
    </row>
    <row r="41" spans="1:5">
      <c r="A41" s="263" t="str">
        <f>'Range-thresholds'!A42</f>
        <v xml:space="preserve">Biocides and pesticides with mercury </v>
      </c>
      <c r="B41" s="268" t="str">
        <f>IF(OR('Step4-Industrial Hg use'!B15=yes,'Step4-Industrial Hg use'!B15=no,'Step4-Industrial Hg use'!B15=que),'Step4-Industrial Hg use'!B15,  pres)</f>
        <v>Present?</v>
      </c>
      <c r="C41" s="426">
        <f>'Level 1- total summary'!C41</f>
        <v>0</v>
      </c>
      <c r="D41" s="273" t="str">
        <f>'Step4-Industrial Hg use'!D15</f>
        <v>Mercury used for production, kg/y</v>
      </c>
      <c r="E41" s="426" t="str">
        <f>'Level 1- total summary'!E41</f>
        <v>Present?</v>
      </c>
    </row>
    <row r="42" spans="1:5">
      <c r="A42" s="263" t="str">
        <f>'Range-thresholds'!A43</f>
        <v xml:space="preserve">Paints with mercury </v>
      </c>
      <c r="B42" s="268" t="str">
        <f>IF(OR('Step4-Industrial Hg use'!B16=yes,'Step4-Industrial Hg use'!B16=no,'Step4-Industrial Hg use'!B16=que),'Step4-Industrial Hg use'!B16,  pres)</f>
        <v>Present?</v>
      </c>
      <c r="C42" s="426">
        <f>'Level 1- total summary'!C42</f>
        <v>0</v>
      </c>
      <c r="D42" s="273" t="str">
        <f>'Step4-Industrial Hg use'!D16</f>
        <v>Mercury used for production, kg/y</v>
      </c>
      <c r="E42" s="426" t="str">
        <f>'Level 1- total summary'!E42</f>
        <v>Present?</v>
      </c>
    </row>
    <row r="43" spans="1:5" ht="25">
      <c r="A43" s="263" t="str">
        <f>'Range-thresholds'!A44</f>
        <v xml:space="preserve">Skin lightening creams and soaps with mercury chemicals </v>
      </c>
      <c r="B43" s="268" t="str">
        <f>IF(OR('Step4-Industrial Hg use'!B17=yes,'Step4-Industrial Hg use'!B17=no,'Step4-Industrial Hg use'!B17=que),'Step4-Industrial Hg use'!B17,  pres)</f>
        <v>Present?</v>
      </c>
      <c r="C43" s="426">
        <f>'Level 1- total summary'!C43</f>
        <v>0</v>
      </c>
      <c r="D43" s="273" t="str">
        <f>'Step4-Industrial Hg use'!D17</f>
        <v>Mercury used for production, kg/y</v>
      </c>
      <c r="E43" s="426" t="str">
        <f>'Level 1- total summary'!E43</f>
        <v>Present?</v>
      </c>
    </row>
    <row r="44" spans="1:5" ht="16.5" customHeight="1">
      <c r="A44" s="393" t="str">
        <f>'Range-thresholds'!A45</f>
        <v>Use and disposal of products with mercury content</v>
      </c>
      <c r="B44" s="304"/>
      <c r="C44" s="304"/>
      <c r="D44" s="371"/>
      <c r="E44" s="371"/>
    </row>
    <row r="45" spans="1:5">
      <c r="A45" s="263" t="str">
        <f>'Range-thresholds'!A46</f>
        <v>Dental amalgam fillings ("silver" fillings)</v>
      </c>
      <c r="B45" s="268" t="str">
        <f>IF(OR('Step6-Hg products-substances'!B7=yes,'Step6-Hg products-substances'!B7=no,'Step6-Hg products-substances'!B7=que),'Step6-Hg products-substances'!B7,  pres)</f>
        <v>Present?</v>
      </c>
      <c r="C45" s="426">
        <f>'Level 1- total summary'!C45</f>
        <v>0</v>
      </c>
      <c r="D45" s="421" t="str">
        <f>'Step6-Hg products-substances'!D8</f>
        <v>Number of inhabitants</v>
      </c>
      <c r="E45" s="426" t="str">
        <f>'Level 1- total summary'!E45</f>
        <v>Present?</v>
      </c>
    </row>
    <row r="46" spans="1:5">
      <c r="A46" s="263" t="str">
        <f>'Range-thresholds'!A47</f>
        <v>Thermometers</v>
      </c>
      <c r="B46" s="268" t="str">
        <f>IF(OR('Step6-Hg products-substances'!B15=yes,'Step6-Hg products-substances'!B15=no,'Step6-Hg products-substances'!B15=que),'Step6-Hg products-substances'!B15,  pres)</f>
        <v>Present?</v>
      </c>
      <c r="C46" s="426">
        <f>'Level 1- total summary'!C46</f>
        <v>0</v>
      </c>
      <c r="D46" s="421" t="str">
        <f>'Step6-Hg products-substances'!D16</f>
        <v>Items sold/y</v>
      </c>
      <c r="E46" s="426" t="str">
        <f>'Level 1- total summary'!E46</f>
        <v>Present?</v>
      </c>
    </row>
    <row r="47" spans="1:5">
      <c r="A47" s="263" t="str">
        <f>'Range-thresholds'!A48</f>
        <v>Electrical switches and relays with mercury</v>
      </c>
      <c r="B47" s="268" t="str">
        <f>IF(OR('Step6-Hg products-substances'!B20=yes,'Step6-Hg products-substances'!B20=no,'Step6-Hg products-substances'!B20=que),'Step6-Hg products-substances'!B20,  pres)</f>
        <v>Present?</v>
      </c>
      <c r="C47" s="426">
        <f>'Level 1- total summary'!C47</f>
        <v>0</v>
      </c>
      <c r="D47" s="273" t="str">
        <f>'Step6-Hg products-substances'!D20</f>
        <v>Number of inhabitants</v>
      </c>
      <c r="E47" s="426" t="str">
        <f>'Level 1- total summary'!E47</f>
        <v>Present?</v>
      </c>
    </row>
    <row r="48" spans="1:5">
      <c r="A48" s="263" t="str">
        <f>'Range-thresholds'!A49</f>
        <v>Light sources with mercury</v>
      </c>
      <c r="B48" s="268" t="str">
        <f>IF(OR('Step6-Hg products-substances'!B23=yes,'Step6-Hg products-substances'!B23=no,'Step6-Hg products-substances'!B23=que),'Step6-Hg products-substances'!B23,  pres)</f>
        <v>Present?</v>
      </c>
      <c r="C48" s="426">
        <f>'Level 1- total summary'!C48</f>
        <v>0</v>
      </c>
      <c r="D48" s="273" t="str">
        <f>'Step6-Hg products-substances'!D23</f>
        <v>Items sold/y</v>
      </c>
      <c r="E48" s="426" t="str">
        <f>'Level 1- total summary'!E48</f>
        <v>Present?</v>
      </c>
    </row>
    <row r="49" spans="1:5">
      <c r="A49" s="367" t="str">
        <f>'Range-thresholds'!A50</f>
        <v>Batteries with mercury</v>
      </c>
      <c r="B49" s="268" t="str">
        <f>IF(OR('Step6-Hg products-substances'!B28=yes,'Step6-Hg products-substances'!B28=no,'Step6-Hg products-substances'!B28=que),'Step6-Hg products-substances'!B28,  pres)</f>
        <v>Present?</v>
      </c>
      <c r="C49" s="426">
        <f>'Level 1- total summary'!C49</f>
        <v>1</v>
      </c>
      <c r="D49" s="273" t="str">
        <f>'Step6-Hg products-substances'!D28</f>
        <v>t batteries sold/y</v>
      </c>
      <c r="E49" s="426" t="str">
        <f>'Level 1- total summary'!E49</f>
        <v>Present?</v>
      </c>
    </row>
    <row r="50" spans="1:5">
      <c r="A50" s="263" t="str">
        <f>'Range-thresholds'!A51</f>
        <v>Polyurethane (PU, PUR) produced with mercury catalyst</v>
      </c>
      <c r="B50" s="268" t="str">
        <f>IF(OR('Step6-Hg products-substances'!B33=yes,'Step6-Hg products-substances'!B33=no,'Step6-Hg products-substances'!B33=que),'Step6-Hg products-substances'!B33,  pres)</f>
        <v>Present?</v>
      </c>
      <c r="C50" s="426">
        <f>'Level 1- total summary'!C50</f>
        <v>0</v>
      </c>
      <c r="D50" s="273" t="str">
        <f>'Step6-Hg products-substances'!D33</f>
        <v>Number of inhabitants</v>
      </c>
      <c r="E50" s="426" t="str">
        <f>'Level 1- total summary'!E50</f>
        <v>Present?</v>
      </c>
    </row>
    <row r="51" spans="1:5">
      <c r="A51" s="263" t="str">
        <f>'Range-thresholds'!A52</f>
        <v>Paints with mercury preservatives</v>
      </c>
      <c r="B51" s="268" t="str">
        <f>IF(OR('Step6-Hg products-substances'!B36=yes,'Step6-Hg products-substances'!B36=no,'Step6-Hg products-substances'!B36=que),'Step6-Hg products-substances'!B36,  pres)</f>
        <v>Present?</v>
      </c>
      <c r="C51" s="426">
        <f>'Level 1- total summary'!C51</f>
        <v>0</v>
      </c>
      <c r="D51" s="273" t="str">
        <f>'Step6-Hg products-substances'!D36</f>
        <v>Paint sold, t/y</v>
      </c>
      <c r="E51" s="426" t="str">
        <f>'Level 1- total summary'!E51</f>
        <v>Present?</v>
      </c>
    </row>
    <row r="52" spans="1:5" ht="25">
      <c r="A52" s="263" t="str">
        <f>'Range-thresholds'!A53</f>
        <v>Skin lightening creams and soaps with mercury chemicals</v>
      </c>
      <c r="B52" s="268" t="str">
        <f>IF(OR('Step6-Hg products-substances'!B38=yes,'Step6-Hg products-substances'!B38=no,'Step6-Hg products-substances'!B38=que),'Step6-Hg products-substances'!B38,  pres)</f>
        <v>Present?</v>
      </c>
      <c r="C52" s="426">
        <f>'Level 1- total summary'!C52</f>
        <v>0</v>
      </c>
      <c r="D52" s="273" t="str">
        <f>'Step6-Hg products-substances'!D38</f>
        <v>Cream or soap sold, t/y</v>
      </c>
      <c r="E52" s="426" t="str">
        <f>'Level 1- total summary'!E52</f>
        <v>Present?</v>
      </c>
    </row>
    <row r="53" spans="1:5" ht="29.25" customHeight="1">
      <c r="A53" s="263" t="str">
        <f>'Range-thresholds'!A54</f>
        <v>Medical blood pressure gauges (mercury sphygmomanometers)</v>
      </c>
      <c r="B53" s="268" t="str">
        <f>IF(OR('Step6-Hg products-substances'!B40=yes,'Step6-Hg products-substances'!B40=no,'Step6-Hg products-substances'!B40=que),'Step6-Hg products-substances'!B40,  pres)</f>
        <v>Present?</v>
      </c>
      <c r="C53" s="426">
        <f>'Level 1- total summary'!C53</f>
        <v>0</v>
      </c>
      <c r="D53" s="273" t="str">
        <f>'Step6-Hg products-substances'!D40</f>
        <v>Items sold/y</v>
      </c>
      <c r="E53" s="426" t="str">
        <f>'Level 1- total summary'!E53</f>
        <v>Present?</v>
      </c>
    </row>
    <row r="54" spans="1:5">
      <c r="A54" s="263" t="str">
        <f>'Range-thresholds'!A55</f>
        <v>Other manometers and gauges with mercury</v>
      </c>
      <c r="B54" s="268" t="str">
        <f>IF(OR('Step6-Hg products-substances'!B42=yes,'Step6-Hg products-substances'!B42=no,'Step6-Hg products-substances'!B42=que),'Step6-Hg products-substances'!B42,  pres)</f>
        <v>Present?</v>
      </c>
      <c r="C54" s="426">
        <f>'Level 1- total summary'!C54</f>
        <v>0</v>
      </c>
      <c r="D54" s="273" t="str">
        <f>'Step6-Hg products-substances'!D42</f>
        <v>Number of inhabitants</v>
      </c>
      <c r="E54" s="426" t="str">
        <f>'Level 1- total summary'!E54</f>
        <v>Present?</v>
      </c>
    </row>
    <row r="55" spans="1:5">
      <c r="A55" s="263" t="str">
        <f>'Range-thresholds'!A56</f>
        <v>Laboratory chemicals</v>
      </c>
      <c r="B55" s="268" t="str">
        <f>IF(OR('Step6-Hg products-substances'!B45=yes,'Step6-Hg products-substances'!B45=no,'Step6-Hg products-substances'!B45=que),'Step6-Hg products-substances'!B45,  pres)</f>
        <v>Present?</v>
      </c>
      <c r="C55" s="426">
        <f>'Level 1- total summary'!C55</f>
        <v>0</v>
      </c>
      <c r="D55" s="273" t="str">
        <f>'Step6-Hg products-substances'!D45</f>
        <v>Number of inhabitants</v>
      </c>
      <c r="E55" s="426" t="str">
        <f>'Level 1- total summary'!E55</f>
        <v>Present?</v>
      </c>
    </row>
    <row r="56" spans="1:5">
      <c r="A56" s="263" t="str">
        <f>'Range-thresholds'!A57</f>
        <v xml:space="preserve">Other laboratory and medical equipment with mercury </v>
      </c>
      <c r="B56" s="268" t="str">
        <f>IF(OR('Step6-Hg products-substances'!B48=yes,'Step6-Hg products-substances'!B48=no,'Step6-Hg products-substances'!B48=que),'Step6-Hg products-substances'!B48,  pres)</f>
        <v>Present?</v>
      </c>
      <c r="C56" s="426">
        <f>'Level 1- total summary'!C56</f>
        <v>0</v>
      </c>
      <c r="D56" s="273" t="str">
        <f>'Step6-Hg products-substances'!D48</f>
        <v>Number of inhabitants</v>
      </c>
      <c r="E56" s="426" t="str">
        <f>'Level 1- total summary'!E56</f>
        <v>Present?</v>
      </c>
    </row>
    <row r="57" spans="1:5" ht="13">
      <c r="A57" s="393" t="str">
        <f>'Range-thresholds'!A58</f>
        <v>Production of recycled of metals</v>
      </c>
      <c r="B57" s="304"/>
      <c r="C57" s="304"/>
      <c r="D57" s="371"/>
      <c r="E57" s="371"/>
    </row>
    <row r="58" spans="1:5">
      <c r="A58" s="263" t="str">
        <f>'Range-thresholds'!A59</f>
        <v>Production of recycled mercury ("secondary production”)</v>
      </c>
      <c r="B58" s="268" t="str">
        <f>IF(OR('Step5-Waste treatment+recycling'!B9=yes,'Step5-Waste treatment+recycling'!B9=no,'Step5-Waste treatment+recycling'!B9=que),'Step5-Waste treatment+recycling'!B9,  pres)</f>
        <v>Present?</v>
      </c>
      <c r="C58" s="426">
        <f>'Level 1- total summary'!C58</f>
        <v>0</v>
      </c>
      <c r="D58" s="273" t="str">
        <f>'Step5-Waste treatment+recycling'!D9</f>
        <v xml:space="preserve">Mercury produced, kg/y </v>
      </c>
      <c r="E58" s="426" t="str">
        <f>'Level 1- total summary'!E58</f>
        <v>Present?</v>
      </c>
    </row>
    <row r="59" spans="1:5">
      <c r="A59" s="263" t="str">
        <f>'Range-thresholds'!A60</f>
        <v>Production of recycled ferrous metals (iron and steel)</v>
      </c>
      <c r="B59" s="268" t="str">
        <f>IF(OR('Step5-Waste treatment+recycling'!B10=yes,'Step5-Waste treatment+recycling'!B10=no,'Step5-Waste treatment+recycling'!B10=que),'Step5-Waste treatment+recycling'!B10,  pres)</f>
        <v>Present?</v>
      </c>
      <c r="C59" s="426">
        <f>'Level 1- total summary'!C59</f>
        <v>0</v>
      </c>
      <c r="D59" s="273" t="str">
        <f>'Step5-Waste treatment+recycling'!D10</f>
        <v>Number of vehicles recycled/y</v>
      </c>
      <c r="E59" s="426" t="str">
        <f>'Level 1- total summary'!E59</f>
        <v>Present?</v>
      </c>
    </row>
    <row r="60" spans="1:5" ht="13">
      <c r="A60" s="393" t="str">
        <f>'Range-thresholds'!A61</f>
        <v>Waste incineration</v>
      </c>
      <c r="B60" s="304"/>
      <c r="C60" s="304"/>
      <c r="D60" s="371"/>
      <c r="E60" s="371"/>
    </row>
    <row r="61" spans="1:5">
      <c r="A61" s="263" t="str">
        <f>'Range-thresholds'!A62</f>
        <v>Incineration of municipal/general waste</v>
      </c>
      <c r="B61" s="268" t="str">
        <f>IF(OR('Step5-Waste treatment+recycling'!B13=yes,'Step5-Waste treatment+recycling'!B13=no,'Step5-Waste treatment+recycling'!B13=que),'Step5-Waste treatment+recycling'!B13,  pres)</f>
        <v>Present?</v>
      </c>
      <c r="C61" s="426">
        <f>'Level 1- total summary'!C61</f>
        <v>0</v>
      </c>
      <c r="D61" s="273" t="str">
        <f>'Step5-Waste treatment+recycling'!D13</f>
        <v xml:space="preserve">Waste incinerated, t/y </v>
      </c>
      <c r="E61" s="426" t="str">
        <f>'Level 1- total summary'!E61</f>
        <v>Present?</v>
      </c>
    </row>
    <row r="62" spans="1:5">
      <c r="A62" s="263" t="str">
        <f>'Range-thresholds'!A63</f>
        <v>Incineration of hazardous waste</v>
      </c>
      <c r="B62" s="268" t="str">
        <f>IF(OR('Step5-Waste treatment+recycling'!B16=yes,'Step5-Waste treatment+recycling'!B16=no,'Step5-Waste treatment+recycling'!B16=que),'Step5-Waste treatment+recycling'!B16,  pres)</f>
        <v>Present?</v>
      </c>
      <c r="C62" s="426">
        <f>'Level 1- total summary'!C62</f>
        <v>0</v>
      </c>
      <c r="D62" s="273" t="str">
        <f>'Step5-Waste treatment+recycling'!D16</f>
        <v>Waste incinerated, t/y</v>
      </c>
      <c r="E62" s="426" t="str">
        <f>'Level 1- total summary'!E62</f>
        <v>Present?</v>
      </c>
    </row>
    <row r="63" spans="1:5">
      <c r="A63" s="263" t="str">
        <f>'Range-thresholds'!A64</f>
        <v>Incineration / burning of medical waste</v>
      </c>
      <c r="B63" s="268" t="str">
        <f>IF(OR('Step5-Waste treatment+recycling'!B19=yes,'Step5-Waste treatment+recycling'!B19=no,'Step5-Waste treatment+recycling'!B19=que),'Step5-Waste treatment+recycling'!B19,  pres)</f>
        <v>Present?</v>
      </c>
      <c r="C63" s="426">
        <f>'Level 1- total summary'!C63</f>
        <v>0</v>
      </c>
      <c r="D63" s="273" t="str">
        <f>'Step5-Waste treatment+recycling'!D19</f>
        <v xml:space="preserve">Waste incinerated, t/y </v>
      </c>
      <c r="E63" s="426" t="str">
        <f>'Level 1- total summary'!E63</f>
        <v>Present?</v>
      </c>
    </row>
    <row r="64" spans="1:5">
      <c r="A64" s="263" t="str">
        <f>'Range-thresholds'!A65</f>
        <v>Sewage sludge incineration</v>
      </c>
      <c r="B64" s="268" t="str">
        <f>IF(OR('Step5-Waste treatment+recycling'!B22=yes,'Step5-Waste treatment+recycling'!B22=no,'Step5-Waste treatment+recycling'!B22=que),'Step5-Waste treatment+recycling'!B22,  pres)</f>
        <v>Present?</v>
      </c>
      <c r="C64" s="426">
        <f>'Level 1- total summary'!C64</f>
        <v>0</v>
      </c>
      <c r="D64" s="273" t="str">
        <f>'Step5-Waste treatment+recycling'!D22</f>
        <v xml:space="preserve">Waste incinerated, t/y </v>
      </c>
      <c r="E64" s="426" t="str">
        <f>'Level 1- total summary'!E64</f>
        <v>Present?</v>
      </c>
    </row>
    <row r="65" spans="1:5">
      <c r="A65" s="263" t="str">
        <f>'Range-thresholds'!A66</f>
        <v>Open fire waste burning (on landfills and informally)</v>
      </c>
      <c r="B65" s="268" t="str">
        <f>IF(OR('Step5-Waste treatment+recycling'!B23=yes,'Step5-Waste treatment+recycling'!B23=no,'Step5-Waste treatment+recycling'!B23=que),'Step5-Waste treatment+recycling'!B23,  pres)</f>
        <v>Present?</v>
      </c>
      <c r="C65" s="426">
        <f>'Level 1- total summary'!C65</f>
        <v>0</v>
      </c>
      <c r="D65" s="273" t="str">
        <f>'Step5-Waste treatment+recycling'!D23</f>
        <v xml:space="preserve">Waste burned, t/y </v>
      </c>
      <c r="E65" s="426" t="str">
        <f>'Level 1- total summary'!E65</f>
        <v>Present?</v>
      </c>
    </row>
    <row r="66" spans="1:5" ht="26">
      <c r="A66" s="393" t="str">
        <f>'Range-thresholds'!A67</f>
        <v>Waste deposition/landfilling and waste water treatment</v>
      </c>
      <c r="B66" s="304"/>
      <c r="C66" s="304"/>
      <c r="D66" s="371"/>
      <c r="E66" s="371"/>
    </row>
    <row r="67" spans="1:5">
      <c r="A67" s="367" t="str">
        <f>'Range-thresholds'!A68</f>
        <v>Controlled landfills/deposits</v>
      </c>
      <c r="B67" s="268" t="str">
        <f>IF(OR('Step5-Waste treatment+recycling'!B26=yes,'Step5-Waste treatment+recycling'!B26=no,'Step5-Waste treatment+recycling'!B26=que),'Step5-Waste treatment+recycling'!B26,  pres)</f>
        <v>Present?</v>
      </c>
      <c r="C67" s="426">
        <f>'Level 1- total summary'!C67</f>
        <v>0</v>
      </c>
      <c r="D67" s="273" t="str">
        <f>'Step5-Waste treatment+recycling'!D26</f>
        <v>Waste landfilled, t/y</v>
      </c>
      <c r="E67" s="426" t="str">
        <f>'Level 1- total summary'!E67</f>
        <v>Present?</v>
      </c>
    </row>
    <row r="68" spans="1:5">
      <c r="A68" s="367" t="str">
        <f>'Range-thresholds'!A69</f>
        <v>Informal dumping of general waste *1</v>
      </c>
      <c r="B68" s="268" t="str">
        <f>IF(OR('Step5-Waste treatment+recycling'!B27=yes,'Step5-Waste treatment+recycling'!B27=no,'Step5-Waste treatment+recycling'!B27=que),'Step5-Waste treatment+recycling'!B27,  pres)</f>
        <v>Present?</v>
      </c>
      <c r="C68" s="426">
        <f>'Level 1- total summary'!C68</f>
        <v>0</v>
      </c>
      <c r="D68" s="273" t="str">
        <f>'Step5-Waste treatment+recycling'!D27</f>
        <v>Waste dumped, t/y</v>
      </c>
      <c r="E68" s="426" t="str">
        <f>'Level 1- total summary'!E68</f>
        <v>Present?</v>
      </c>
    </row>
    <row r="69" spans="1:5">
      <c r="A69" s="367" t="str">
        <f>'Range-thresholds'!A70</f>
        <v>Waste water system/treatment</v>
      </c>
      <c r="B69" s="268" t="str">
        <f>IF(OR('Step5-Waste treatment+recycling'!B29=yes,'Step5-Waste treatment+recycling'!B29=no,'Step5-Waste treatment+recycling'!B29=que),'Step5-Waste treatment+recycling'!B29,  pres)</f>
        <v>Present?</v>
      </c>
      <c r="C69" s="426">
        <f>'Level 1- total summary'!C69</f>
        <v>0</v>
      </c>
      <c r="D69" s="273" t="str">
        <f>'Step5-Waste treatment+recycling'!D29</f>
        <v xml:space="preserve">Waste water, m3/y </v>
      </c>
      <c r="E69" s="426" t="str">
        <f>'Level 1- total summary'!E69</f>
        <v>Present?</v>
      </c>
    </row>
    <row r="70" spans="1:5" ht="13">
      <c r="A70" s="393" t="str">
        <f>'Range-thresholds'!A71</f>
        <v>Crematoria and cemeteries</v>
      </c>
      <c r="B70" s="304"/>
      <c r="C70" s="304"/>
      <c r="D70" s="371"/>
      <c r="E70" s="371"/>
    </row>
    <row r="71" spans="1:5">
      <c r="A71" s="263" t="str">
        <f>'Range-thresholds'!A72</f>
        <v>Crematoria</v>
      </c>
      <c r="B71" s="268" t="str">
        <f>IF(OR('Step7-Crematoria-cemetaries'!B5=yes,'Step7-Crematoria-cemetaries'!B5=no,'Step7-Crematoria-cemetaries'!B5=que),'Step7-Crematoria-cemetaries'!B5,  pres)</f>
        <v>Present?</v>
      </c>
      <c r="C71" s="426">
        <f>'Level 1- total summary'!C71</f>
        <v>0</v>
      </c>
      <c r="D71" s="273" t="str">
        <f>'Step7-Crematoria-cemetaries'!D5</f>
        <v>Corpses cremated/y</v>
      </c>
      <c r="E71" s="426" t="str">
        <f>'Level 1- total summary'!E71</f>
        <v>Present?</v>
      </c>
    </row>
    <row r="72" spans="1:5">
      <c r="A72" s="263" t="str">
        <f>'Range-thresholds'!A73</f>
        <v>Cemeteries</v>
      </c>
      <c r="B72" s="268" t="str">
        <f>IF(OR('Step7-Crematoria-cemetaries'!B6=yes,'Step7-Crematoria-cemetaries'!B6=no,'Step7-Crematoria-cemetaries'!B6=que),'Step7-Crematoria-cemetaries'!B6,  pres)</f>
        <v>Present?</v>
      </c>
      <c r="C72" s="426">
        <f>'Level 1- total summary'!C72</f>
        <v>0</v>
      </c>
      <c r="D72" s="273" t="str">
        <f>'Step7-Crematoria-cemetaries'!D6</f>
        <v>Corpses buried/y</v>
      </c>
      <c r="E72" s="426" t="str">
        <f>'Level 1- total summary'!E72</f>
        <v>Present?</v>
      </c>
    </row>
    <row r="73" spans="1:5" s="356" customFormat="1" ht="13">
      <c r="A73" s="265" t="s">
        <v>1102</v>
      </c>
      <c r="B73" s="428"/>
      <c r="C73" s="429"/>
      <c r="D73" s="374"/>
      <c r="E73" s="557">
        <f>'Level 1- total summary'!E73</f>
        <v>0</v>
      </c>
    </row>
    <row r="74" spans="1:5">
      <c r="A74" s="323" t="s">
        <v>56</v>
      </c>
    </row>
    <row r="75" spans="1:5">
      <c r="A75" s="323" t="s">
        <v>560</v>
      </c>
    </row>
    <row r="76" spans="1:5">
      <c r="A76" s="339" t="s">
        <v>534</v>
      </c>
    </row>
    <row r="77" spans="1:5">
      <c r="A77" s="339" t="s">
        <v>553</v>
      </c>
      <c r="B77" s="339"/>
    </row>
    <row r="78" spans="1:5">
      <c r="A78" s="339" t="s">
        <v>535</v>
      </c>
      <c r="B78" s="339"/>
    </row>
    <row r="79" spans="1:5">
      <c r="A79" s="323" t="s">
        <v>554</v>
      </c>
      <c r="B79" s="339"/>
    </row>
    <row r="80" spans="1:5">
      <c r="A80" s="323" t="s">
        <v>538</v>
      </c>
      <c r="B80" s="339"/>
    </row>
    <row r="81" spans="1:1">
      <c r="A81" s="323" t="s">
        <v>542</v>
      </c>
    </row>
    <row r="82" spans="1:1">
      <c r="A82" s="587" t="s">
        <v>1101</v>
      </c>
    </row>
  </sheetData>
  <sheetProtection algorithmName="SHA-512" hashValue="iIiHlbPG7VWfjTXlYETmGqkdb83VlVQeJ0hGZWJQg29xHIaiu8ZDcov3B96kh1MjobeuBUEW9ofK1bF+FYwUfw==" saltValue="uA3LmOYctinH4bY2sA425A==" spinCount="100000" sheet="1"/>
  <customSheetViews>
    <customSheetView guid="{EB7FE26D-7077-48F2-8515-D783BE87A220}" topLeftCell="B1">
      <selection activeCell="L10" sqref="L10"/>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ageMargins left="0.39370078740157483" right="0.39370078740157483" top="0.74803149606299213" bottom="0.74803149606299213" header="0.31496062992125984" footer="0.31496062992125984"/>
  <pageSetup paperSize="9" orientation="landscape" r:id="rId2"/>
  <headerFooter>
    <oddFooter>&amp;L&amp;A
Printed &amp;D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94"/>
  <sheetViews>
    <sheetView topLeftCell="A38" workbookViewId="0">
      <selection activeCell="B73" sqref="B73"/>
    </sheetView>
  </sheetViews>
  <sheetFormatPr defaultColWidth="9.1796875" defaultRowHeight="12.5"/>
  <cols>
    <col min="1" max="1" width="46.81640625" style="339" customWidth="1"/>
    <col min="2" max="2" width="12.81640625" style="339" customWidth="1"/>
    <col min="3" max="6" width="11.6328125" style="339" customWidth="1"/>
    <col min="7" max="7" width="16.1796875" style="339" customWidth="1"/>
    <col min="8" max="16384" width="9.1796875" style="339"/>
  </cols>
  <sheetData>
    <row r="1" spans="1:7" ht="13">
      <c r="A1" s="356" t="s">
        <v>503</v>
      </c>
    </row>
    <row r="2" spans="1:7" s="361" customFormat="1">
      <c r="A2" s="263" t="s">
        <v>312</v>
      </c>
      <c r="B2" s="869" t="s">
        <v>363</v>
      </c>
      <c r="C2" s="870"/>
      <c r="D2" s="870"/>
      <c r="E2" s="870"/>
      <c r="F2" s="870"/>
      <c r="G2" s="871"/>
    </row>
    <row r="3" spans="1:7" ht="37.5">
      <c r="A3" s="417"/>
      <c r="B3" s="269" t="s">
        <v>38</v>
      </c>
      <c r="C3" s="269" t="s">
        <v>39</v>
      </c>
      <c r="D3" s="269" t="s">
        <v>40</v>
      </c>
      <c r="E3" s="436" t="s">
        <v>499</v>
      </c>
      <c r="F3" s="264" t="s">
        <v>42</v>
      </c>
      <c r="G3" s="264" t="s">
        <v>364</v>
      </c>
    </row>
    <row r="4" spans="1:7" ht="13">
      <c r="A4" s="393" t="str">
        <f>'Step2-Energy'!A4</f>
        <v>Energy consumption</v>
      </c>
      <c r="B4" s="366"/>
      <c r="C4" s="366"/>
      <c r="D4" s="366"/>
      <c r="E4" s="308"/>
      <c r="F4" s="308"/>
      <c r="G4" s="308"/>
    </row>
    <row r="5" spans="1:7">
      <c r="A5" s="263" t="str">
        <f>'Step2-Energy'!A5</f>
        <v>Coal combustion in large power plants</v>
      </c>
      <c r="B5" s="427" t="str">
        <f>'Level 1- total summary'!F5</f>
        <v>Present?</v>
      </c>
      <c r="C5" s="427" t="str">
        <f>'Level 1- total summary'!G5</f>
        <v>Present?</v>
      </c>
      <c r="D5" s="427" t="str">
        <f>'Level 1- total summary'!H5</f>
        <v>Present?</v>
      </c>
      <c r="E5" s="427" t="str">
        <f>'Level 1- total summary'!I5</f>
        <v>Present?</v>
      </c>
      <c r="F5" s="427" t="str">
        <f>'Level 1- total summary'!J5</f>
        <v>Present?</v>
      </c>
      <c r="G5" s="427" t="str">
        <f>'Level 1- total summary'!K5</f>
        <v>Present?</v>
      </c>
    </row>
    <row r="6" spans="1:7">
      <c r="A6" s="263" t="str">
        <f>'Step2-Energy'!A8</f>
        <v>Coal combustion in coal fired industrial boilers</v>
      </c>
      <c r="B6" s="427" t="str">
        <f>'Level 1- total summary'!F6</f>
        <v>Present?</v>
      </c>
      <c r="C6" s="427" t="str">
        <f>'Level 1- total summary'!G6</f>
        <v>Present?</v>
      </c>
      <c r="D6" s="427" t="str">
        <f>'Level 1- total summary'!H6</f>
        <v>Present?</v>
      </c>
      <c r="E6" s="427" t="str">
        <f>'Level 1- total summary'!I6</f>
        <v>Present?</v>
      </c>
      <c r="F6" s="427" t="str">
        <f>'Level 1- total summary'!J6</f>
        <v>Present?</v>
      </c>
      <c r="G6" s="427" t="str">
        <f>'Level 1- total summary'!K6</f>
        <v>Present?</v>
      </c>
    </row>
    <row r="7" spans="1:7">
      <c r="A7" s="263" t="str">
        <f>'Step2-Energy'!A11</f>
        <v>Other coal uses</v>
      </c>
      <c r="B7" s="427" t="str">
        <f>'Level 1- total summary'!F7</f>
        <v>Present?</v>
      </c>
      <c r="C7" s="427" t="str">
        <f>'Level 1- total summary'!G7</f>
        <v>Present?</v>
      </c>
      <c r="D7" s="427" t="str">
        <f>'Level 1- total summary'!H7</f>
        <v>Present?</v>
      </c>
      <c r="E7" s="427" t="str">
        <f>'Level 1- total summary'!I7</f>
        <v>Present?</v>
      </c>
      <c r="F7" s="427" t="str">
        <f>'Level 1- total summary'!J7</f>
        <v>Present?</v>
      </c>
      <c r="G7" s="427" t="str">
        <f>'Level 1- total summary'!K7</f>
        <v>Present?</v>
      </c>
    </row>
    <row r="8" spans="1:7">
      <c r="A8" s="263" t="str">
        <f>'Step2-Energy'!A12</f>
        <v>Combustion/use of petroleum coke and heavy oil</v>
      </c>
      <c r="B8" s="427" t="str">
        <f>'Level 1- total summary'!F8</f>
        <v>Present?</v>
      </c>
      <c r="C8" s="427" t="str">
        <f>'Level 1- total summary'!G8</f>
        <v>Present?</v>
      </c>
      <c r="D8" s="427" t="str">
        <f>'Level 1- total summary'!H8</f>
        <v>Present?</v>
      </c>
      <c r="E8" s="427" t="str">
        <f>'Level 1- total summary'!I8</f>
        <v>Present?</v>
      </c>
      <c r="F8" s="427" t="str">
        <f>'Level 1- total summary'!J8</f>
        <v>Present?</v>
      </c>
      <c r="G8" s="427" t="str">
        <f>'Level 1- total summary'!K8</f>
        <v>Present?</v>
      </c>
    </row>
    <row r="9" spans="1:7" ht="25">
      <c r="A9" s="263" t="str">
        <f>'Step2-Energy'!A15</f>
        <v>Combustion/use of diesel, gasoil, petroleum, kerosene, LPG and other light to medium distillates</v>
      </c>
      <c r="B9" s="427" t="str">
        <f>'Level 1- total summary'!F9</f>
        <v>Present?</v>
      </c>
      <c r="C9" s="427" t="str">
        <f>'Level 1- total summary'!G9</f>
        <v>Present?</v>
      </c>
      <c r="D9" s="427" t="str">
        <f>'Level 1- total summary'!H9</f>
        <v>Present?</v>
      </c>
      <c r="E9" s="427" t="str">
        <f>'Level 1- total summary'!I9</f>
        <v>Present?</v>
      </c>
      <c r="F9" s="427" t="str">
        <f>'Level 1- total summary'!J9</f>
        <v>Present?</v>
      </c>
      <c r="G9" s="427" t="str">
        <f>'Level 1- total summary'!K9</f>
        <v>Present?</v>
      </c>
    </row>
    <row r="10" spans="1:7" ht="15.75" customHeight="1">
      <c r="A10" s="263" t="str">
        <f>'Step2-Energy'!A18</f>
        <v>Use of raw or pre-cleaned natural gas</v>
      </c>
      <c r="B10" s="427" t="str">
        <f>'Level 1- total summary'!F10</f>
        <v>Present?</v>
      </c>
      <c r="C10" s="427" t="str">
        <f>'Level 1- total summary'!G10</f>
        <v>Present?</v>
      </c>
      <c r="D10" s="427" t="str">
        <f>'Level 1- total summary'!H10</f>
        <v>Present?</v>
      </c>
      <c r="E10" s="427" t="str">
        <f>'Level 1- total summary'!I10</f>
        <v>Present?</v>
      </c>
      <c r="F10" s="427" t="str">
        <f>'Level 1- total summary'!J10</f>
        <v>Present?</v>
      </c>
      <c r="G10" s="427" t="str">
        <f>'Level 1- total summary'!K10</f>
        <v>Present?</v>
      </c>
    </row>
    <row r="11" spans="1:7" ht="15.75" customHeight="1">
      <c r="A11" s="263" t="str">
        <f>'Step2-Energy'!A19</f>
        <v>Use of pipeline gas (consumer quality)</v>
      </c>
      <c r="B11" s="427" t="str">
        <f>'Level 1- total summary'!F11</f>
        <v>Present?</v>
      </c>
      <c r="C11" s="427" t="str">
        <f>'Level 1- total summary'!G11</f>
        <v>Present?</v>
      </c>
      <c r="D11" s="427" t="str">
        <f>'Level 1- total summary'!H11</f>
        <v>Present?</v>
      </c>
      <c r="E11" s="427" t="str">
        <f>'Level 1- total summary'!I11</f>
        <v>Present?</v>
      </c>
      <c r="F11" s="427" t="str">
        <f>'Level 1- total summary'!J11</f>
        <v>Present?</v>
      </c>
      <c r="G11" s="427" t="str">
        <f>'Level 1- total summary'!K11</f>
        <v>Present?</v>
      </c>
    </row>
    <row r="12" spans="1:7">
      <c r="A12" s="263" t="str">
        <f>'Step2-Energy'!A20</f>
        <v>Biomass fired power and heat production</v>
      </c>
      <c r="B12" s="427" t="str">
        <f>'Level 1- total summary'!F12</f>
        <v>Present?</v>
      </c>
      <c r="C12" s="427" t="str">
        <f>'Level 1- total summary'!G12</f>
        <v>Present?</v>
      </c>
      <c r="D12" s="427" t="str">
        <f>'Level 1- total summary'!H12</f>
        <v>Present?</v>
      </c>
      <c r="E12" s="427" t="str">
        <f>'Level 1- total summary'!I12</f>
        <v>Present?</v>
      </c>
      <c r="F12" s="427" t="str">
        <f>'Level 1- total summary'!J12</f>
        <v>Present?</v>
      </c>
      <c r="G12" s="427" t="str">
        <f>'Level 1- total summary'!K12</f>
        <v>Present?</v>
      </c>
    </row>
    <row r="13" spans="1:7">
      <c r="A13" s="263" t="str">
        <f>'Step2-Energy'!A21</f>
        <v>Charcoal combustion</v>
      </c>
      <c r="B13" s="427" t="str">
        <f>'Level 1- total summary'!F13</f>
        <v>Present?</v>
      </c>
      <c r="C13" s="427" t="str">
        <f>'Level 1- total summary'!G13</f>
        <v>Present?</v>
      </c>
      <c r="D13" s="427" t="str">
        <f>'Level 1- total summary'!H13</f>
        <v>Present?</v>
      </c>
      <c r="E13" s="427" t="str">
        <f>'Level 1- total summary'!I13</f>
        <v>Present?</v>
      </c>
      <c r="F13" s="427" t="str">
        <f>'Level 1- total summary'!J13</f>
        <v>Present?</v>
      </c>
      <c r="G13" s="427" t="str">
        <f>'Level 1- total summary'!K13</f>
        <v>Present?</v>
      </c>
    </row>
    <row r="14" spans="1:7" ht="13">
      <c r="A14" s="393" t="str">
        <f>'Step2-Energy'!A23</f>
        <v>Fuel production</v>
      </c>
      <c r="B14" s="366"/>
      <c r="C14" s="366"/>
      <c r="D14" s="366"/>
      <c r="E14" s="308"/>
      <c r="F14" s="308"/>
      <c r="G14" s="308"/>
    </row>
    <row r="15" spans="1:7">
      <c r="A15" s="263" t="str">
        <f>'Step2-Energy'!A24</f>
        <v>Oil extraction</v>
      </c>
      <c r="B15" s="427" t="str">
        <f>'Level 1- total summary'!F15</f>
        <v>Present?</v>
      </c>
      <c r="C15" s="427" t="str">
        <f>'Level 1- total summary'!G15</f>
        <v>Present?</v>
      </c>
      <c r="D15" s="427" t="str">
        <f>'Level 1- total summary'!H15</f>
        <v>Present?</v>
      </c>
      <c r="E15" s="427" t="str">
        <f>'Level 1- total summary'!I15</f>
        <v>Present?</v>
      </c>
      <c r="F15" s="427" t="str">
        <f>'Level 1- total summary'!J15</f>
        <v>Present?</v>
      </c>
      <c r="G15" s="427" t="str">
        <f>'Level 1- total summary'!K15</f>
        <v>Present?</v>
      </c>
    </row>
    <row r="16" spans="1:7">
      <c r="A16" s="263" t="str">
        <f>'Step2-Energy'!A25</f>
        <v>Oil refining</v>
      </c>
      <c r="B16" s="427" t="str">
        <f>'Level 1- total summary'!F16</f>
        <v>Present?</v>
      </c>
      <c r="C16" s="427" t="str">
        <f>'Level 1- total summary'!G16</f>
        <v>Present?</v>
      </c>
      <c r="D16" s="427" t="str">
        <f>'Level 1- total summary'!H16</f>
        <v>Present?</v>
      </c>
      <c r="E16" s="427" t="str">
        <f>'Level 1- total summary'!I16</f>
        <v>Present?</v>
      </c>
      <c r="F16" s="427" t="str">
        <f>'Level 1- total summary'!J16</f>
        <v>Present?</v>
      </c>
      <c r="G16" s="427" t="str">
        <f>'Level 1- total summary'!K16</f>
        <v>Present?</v>
      </c>
    </row>
    <row r="17" spans="1:7">
      <c r="A17" s="263" t="str">
        <f>'Step2-Energy'!A26</f>
        <v>Extraction and processing of natural gas</v>
      </c>
      <c r="B17" s="427" t="str">
        <f>'Level 1- total summary'!F17</f>
        <v>Present?</v>
      </c>
      <c r="C17" s="427" t="str">
        <f>'Level 1- total summary'!G17</f>
        <v>Present?</v>
      </c>
      <c r="D17" s="427" t="str">
        <f>'Level 1- total summary'!H17</f>
        <v>Present?</v>
      </c>
      <c r="E17" s="427" t="str">
        <f>'Level 1- total summary'!I17</f>
        <v>Present?</v>
      </c>
      <c r="F17" s="427" t="str">
        <f>'Level 1- total summary'!J17</f>
        <v>Present?</v>
      </c>
      <c r="G17" s="427" t="str">
        <f>'Level 1- total summary'!K17</f>
        <v>Present?</v>
      </c>
    </row>
    <row r="18" spans="1:7" ht="13">
      <c r="A18" s="393" t="str">
        <f>'Step3-Metals-RawMat'!A5</f>
        <v>Primary metal production</v>
      </c>
      <c r="B18" s="366"/>
      <c r="C18" s="366"/>
      <c r="D18" s="366"/>
      <c r="E18" s="308"/>
      <c r="F18" s="308"/>
      <c r="G18" s="308"/>
    </row>
    <row r="19" spans="1:7">
      <c r="A19" s="263" t="str">
        <f>'Step3-Metals-RawMat'!A6</f>
        <v>Mercury (primary) extraction and initial processing</v>
      </c>
      <c r="B19" s="427" t="str">
        <f>'Level 1- total summary'!F19</f>
        <v>Present?</v>
      </c>
      <c r="C19" s="427" t="str">
        <f>'Level 1- total summary'!G19</f>
        <v>Present?</v>
      </c>
      <c r="D19" s="427" t="str">
        <f>'Level 1- total summary'!H19</f>
        <v>Present?</v>
      </c>
      <c r="E19" s="427" t="str">
        <f>'Level 1- total summary'!I19</f>
        <v>Present?</v>
      </c>
      <c r="F19" s="427" t="str">
        <f>'Level 1- total summary'!J19</f>
        <v>Present?</v>
      </c>
      <c r="G19" s="427" t="str">
        <f>'Level 1- total summary'!K19</f>
        <v>Present?</v>
      </c>
    </row>
    <row r="20" spans="1:7">
      <c r="A20" s="263" t="str">
        <f>'Step3-Metals-RawMat'!A7</f>
        <v>Production of zinc from concentrates</v>
      </c>
      <c r="B20" s="427" t="str">
        <f>'Level 1- total summary'!F20</f>
        <v>Present?</v>
      </c>
      <c r="C20" s="427" t="str">
        <f>'Level 1- total summary'!G20</f>
        <v>Present?</v>
      </c>
      <c r="D20" s="427" t="str">
        <f>'Level 1- total summary'!H20</f>
        <v>Present?</v>
      </c>
      <c r="E20" s="427" t="str">
        <f>'Level 1- total summary'!I20</f>
        <v>Present?</v>
      </c>
      <c r="F20" s="427" t="str">
        <f>'Level 1- total summary'!J20</f>
        <v>Present?</v>
      </c>
      <c r="G20" s="427" t="str">
        <f>'Level 1- total summary'!K20</f>
        <v>Present?</v>
      </c>
    </row>
    <row r="21" spans="1:7">
      <c r="A21" s="263" t="str">
        <f>'Step3-Metals-RawMat'!A10</f>
        <v>Production of copper from concentrates</v>
      </c>
      <c r="B21" s="427" t="str">
        <f>'Level 1- total summary'!F21</f>
        <v>Present?</v>
      </c>
      <c r="C21" s="427" t="str">
        <f>'Level 1- total summary'!G21</f>
        <v>Present?</v>
      </c>
      <c r="D21" s="427" t="str">
        <f>'Level 1- total summary'!H21</f>
        <v>Present?</v>
      </c>
      <c r="E21" s="427" t="str">
        <f>'Level 1- total summary'!I21</f>
        <v>Present?</v>
      </c>
      <c r="F21" s="427" t="str">
        <f>'Level 1- total summary'!J21</f>
        <v>Present?</v>
      </c>
      <c r="G21" s="427" t="str">
        <f>'Level 1- total summary'!K21</f>
        <v>Present?</v>
      </c>
    </row>
    <row r="22" spans="1:7">
      <c r="A22" s="263" t="str">
        <f>'Step3-Metals-RawMat'!A13</f>
        <v>Production of lead from concentrates</v>
      </c>
      <c r="B22" s="427" t="str">
        <f>'Level 1- total summary'!F22</f>
        <v>Present?</v>
      </c>
      <c r="C22" s="427" t="str">
        <f>'Level 1- total summary'!G22</f>
        <v>Present?</v>
      </c>
      <c r="D22" s="427" t="str">
        <f>'Level 1- total summary'!H22</f>
        <v>Present?</v>
      </c>
      <c r="E22" s="427" t="str">
        <f>'Level 1- total summary'!I22</f>
        <v>Present?</v>
      </c>
      <c r="F22" s="427" t="str">
        <f>'Level 1- total summary'!J22</f>
        <v>Present?</v>
      </c>
      <c r="G22" s="427" t="str">
        <f>'Level 1- total summary'!K22</f>
        <v>Present?</v>
      </c>
    </row>
    <row r="23" spans="1:7" ht="25">
      <c r="A23" s="263" t="str">
        <f>'Step3-Metals-RawMat'!A16</f>
        <v>Gold extraction by methods other than mercury amalgamation</v>
      </c>
      <c r="B23" s="427" t="str">
        <f>'Level 1- total summary'!F23</f>
        <v>Present?</v>
      </c>
      <c r="C23" s="427" t="str">
        <f>'Level 1- total summary'!G23</f>
        <v>Present?</v>
      </c>
      <c r="D23" s="427" t="str">
        <f>'Level 1- total summary'!H23</f>
        <v>Present?</v>
      </c>
      <c r="E23" s="427" t="str">
        <f>'Level 1- total summary'!I23</f>
        <v>Present?</v>
      </c>
      <c r="F23" s="427" t="str">
        <f>'Level 1- total summary'!J23</f>
        <v>Present?</v>
      </c>
      <c r="G23" s="427" t="str">
        <f>'Level 1- total summary'!K23</f>
        <v>Present?</v>
      </c>
    </row>
    <row r="24" spans="1:7" ht="16.5" customHeight="1">
      <c r="A24" s="263" t="str">
        <f>'Step3-Metals-RawMat'!A17</f>
        <v>Alumina production from bauxite (aluminium production)</v>
      </c>
      <c r="B24" s="427" t="str">
        <f>'Level 1- total summary'!F24</f>
        <v>Present?</v>
      </c>
      <c r="C24" s="427" t="str">
        <f>'Level 1- total summary'!G24</f>
        <v>Present?</v>
      </c>
      <c r="D24" s="427" t="str">
        <f>'Level 1- total summary'!H24</f>
        <v>Present?</v>
      </c>
      <c r="E24" s="427" t="str">
        <f>'Level 1- total summary'!I24</f>
        <v>Present?</v>
      </c>
      <c r="F24" s="427" t="str">
        <f>'Level 1- total summary'!J24</f>
        <v>Present?</v>
      </c>
      <c r="G24" s="427" t="str">
        <f>'Level 1- total summary'!K24</f>
        <v>Present?</v>
      </c>
    </row>
    <row r="25" spans="1:7" ht="21" customHeight="1">
      <c r="A25" s="263" t="str">
        <f>'Step3-Metals-RawMat'!A18</f>
        <v>Primary ferrous metal production (pig iron production)</v>
      </c>
      <c r="B25" s="427" t="str">
        <f>'Level 1- total summary'!F25</f>
        <v>Present?</v>
      </c>
      <c r="C25" s="427" t="str">
        <f>'Level 1- total summary'!G25</f>
        <v>Present?</v>
      </c>
      <c r="D25" s="427" t="str">
        <f>'Level 1- total summary'!H25</f>
        <v>Present?</v>
      </c>
      <c r="E25" s="427" t="str">
        <f>'Level 1- total summary'!I25</f>
        <v>Present?</v>
      </c>
      <c r="F25" s="427" t="str">
        <f>'Level 1- total summary'!J25</f>
        <v>Present?</v>
      </c>
      <c r="G25" s="427" t="str">
        <f>'Level 1- total summary'!K25</f>
        <v>Present?</v>
      </c>
    </row>
    <row r="26" spans="1:7" ht="25">
      <c r="A26" s="263" t="str">
        <f>'Step3-Metals-RawMat'!A19</f>
        <v>Gold extraction with mercury amalgamation - from whole ore</v>
      </c>
      <c r="B26" s="427" t="str">
        <f>'Level 1- total summary'!F26</f>
        <v>Present?</v>
      </c>
      <c r="C26" s="427" t="str">
        <f>'Level 1- total summary'!G26</f>
        <v>Present?</v>
      </c>
      <c r="D26" s="427" t="str">
        <f>'Level 1- total summary'!H26</f>
        <v>Present?</v>
      </c>
      <c r="E26" s="427" t="str">
        <f>'Level 1- total summary'!I26</f>
        <v>Present?</v>
      </c>
      <c r="F26" s="427" t="str">
        <f>'Level 1- total summary'!J26</f>
        <v>Present?</v>
      </c>
      <c r="G26" s="427" t="str">
        <f>'Level 1- total summary'!K26</f>
        <v>Present?</v>
      </c>
    </row>
    <row r="27" spans="1:7" ht="25">
      <c r="A27" s="263" t="str">
        <f>'Step3-Metals-RawMat'!A22</f>
        <v>Gold extraction with mercury amalgamation - from concentrate</v>
      </c>
      <c r="B27" s="427" t="str">
        <f>'Level 1- total summary'!F27</f>
        <v>Present?</v>
      </c>
      <c r="C27" s="427" t="str">
        <f>'Level 1- total summary'!G27</f>
        <v>Present?</v>
      </c>
      <c r="D27" s="427" t="str">
        <f>'Level 1- total summary'!H27</f>
        <v>Present?</v>
      </c>
      <c r="E27" s="427" t="str">
        <f>'Level 1- total summary'!I27</f>
        <v>Present?</v>
      </c>
      <c r="F27" s="427" t="str">
        <f>'Level 1- total summary'!J27</f>
        <v>Present?</v>
      </c>
      <c r="G27" s="427" t="str">
        <f>'Level 1- total summary'!K27</f>
        <v>Present?</v>
      </c>
    </row>
    <row r="28" spans="1:7" ht="17.25" customHeight="1">
      <c r="A28" s="393" t="str">
        <f>'Step3-Metals-RawMat'!A25</f>
        <v>Other materials production</v>
      </c>
      <c r="B28" s="366"/>
      <c r="C28" s="366"/>
      <c r="D28" s="366"/>
      <c r="E28" s="308"/>
      <c r="F28" s="308"/>
      <c r="G28" s="308"/>
    </row>
    <row r="29" spans="1:7">
      <c r="A29" s="662" t="s">
        <v>1262</v>
      </c>
      <c r="B29" s="427" t="str">
        <f>'Level 1- total summary'!F29</f>
        <v>Present?</v>
      </c>
      <c r="C29" s="427" t="str">
        <f>'Level 1- total summary'!G29</f>
        <v>Present?</v>
      </c>
      <c r="D29" s="427" t="str">
        <f>'Level 1- total summary'!H29</f>
        <v>Present?</v>
      </c>
      <c r="E29" s="427" t="str">
        <f>'Level 1- total summary'!I29</f>
        <v>Present?</v>
      </c>
      <c r="F29" s="427" t="str">
        <f>'Level 1- total summary'!J29</f>
        <v>Present?</v>
      </c>
      <c r="G29" s="427" t="str">
        <f>'Level 1- total summary'!K29</f>
        <v>Present?</v>
      </c>
    </row>
    <row r="30" spans="1:7">
      <c r="A30" s="263" t="str">
        <f>'Step3-Metals-RawMat'!A31</f>
        <v>Pulp and paper production</v>
      </c>
      <c r="B30" s="427" t="str">
        <f>'Level 1- total summary'!F30</f>
        <v>Present?</v>
      </c>
      <c r="C30" s="427" t="str">
        <f>'Level 1- total summary'!G30</f>
        <v>Present?</v>
      </c>
      <c r="D30" s="427" t="str">
        <f>'Level 1- total summary'!H30</f>
        <v>Present?</v>
      </c>
      <c r="E30" s="427" t="str">
        <f>'Level 1- total summary'!I30</f>
        <v>Present?</v>
      </c>
      <c r="F30" s="427" t="str">
        <f>'Level 1- total summary'!J30</f>
        <v>Present?</v>
      </c>
      <c r="G30" s="427" t="str">
        <f>'Level 1- total summary'!K30</f>
        <v>Present?</v>
      </c>
    </row>
    <row r="31" spans="1:7" ht="13">
      <c r="A31" s="393" t="str">
        <f>'Step4-Industrial Hg use'!A4</f>
        <v>Production of chemicals</v>
      </c>
      <c r="B31" s="366"/>
      <c r="C31" s="366"/>
      <c r="D31" s="366"/>
      <c r="E31" s="308"/>
      <c r="F31" s="308"/>
      <c r="G31" s="308"/>
    </row>
    <row r="32" spans="1:7">
      <c r="A32" s="263" t="str">
        <f>'Step4-Industrial Hg use'!A5</f>
        <v>Chlor-alkali production with mercury-cells</v>
      </c>
      <c r="B32" s="427" t="str">
        <f>'Level 1- total summary'!F32</f>
        <v>Present?</v>
      </c>
      <c r="C32" s="427" t="str">
        <f>'Level 1- total summary'!G32</f>
        <v>Present?</v>
      </c>
      <c r="D32" s="427" t="str">
        <f>'Level 1- total summary'!H32</f>
        <v>Present?</v>
      </c>
      <c r="E32" s="427" t="str">
        <f>'Level 1- total summary'!I32</f>
        <v>Present?</v>
      </c>
      <c r="F32" s="427" t="str">
        <f>'Level 1- total summary'!J32</f>
        <v>Present?</v>
      </c>
      <c r="G32" s="427" t="str">
        <f>'Level 1- total summary'!K32</f>
        <v>Present?</v>
      </c>
    </row>
    <row r="33" spans="1:7">
      <c r="A33" s="263" t="str">
        <f>'Step4-Industrial Hg use'!A6</f>
        <v>VCM production with mercury catalyst</v>
      </c>
      <c r="B33" s="427" t="str">
        <f>'Level 1- total summary'!F33</f>
        <v>Present?</v>
      </c>
      <c r="C33" s="427" t="str">
        <f>'Level 1- total summary'!G33</f>
        <v>Present?</v>
      </c>
      <c r="D33" s="427" t="str">
        <f>'Level 1- total summary'!H33</f>
        <v>Present?</v>
      </c>
      <c r="E33" s="427" t="str">
        <f>'Level 1- total summary'!I33</f>
        <v>Present?</v>
      </c>
      <c r="F33" s="427" t="str">
        <f>'Level 1- total summary'!J33</f>
        <v>Present?</v>
      </c>
      <c r="G33" s="427" t="str">
        <f>'Level 1- total summary'!K33</f>
        <v>Present?</v>
      </c>
    </row>
    <row r="34" spans="1:7">
      <c r="A34" s="263" t="str">
        <f>'Step4-Industrial Hg use'!A7</f>
        <v>Acetaldehyde production with mercury catalyst</v>
      </c>
      <c r="B34" s="427" t="str">
        <f>'Level 1- total summary'!F34</f>
        <v>Present?</v>
      </c>
      <c r="C34" s="427" t="str">
        <f>'Level 1- total summary'!G34</f>
        <v>Present?</v>
      </c>
      <c r="D34" s="427" t="str">
        <f>'Level 1- total summary'!H34</f>
        <v>Present?</v>
      </c>
      <c r="E34" s="427" t="str">
        <f>'Level 1- total summary'!I34</f>
        <v>Present?</v>
      </c>
      <c r="F34" s="427" t="str">
        <f>'Level 1- total summary'!J34</f>
        <v>Present?</v>
      </c>
      <c r="G34" s="427" t="str">
        <f>'Level 1- total summary'!K34</f>
        <v>Present?</v>
      </c>
    </row>
    <row r="35" spans="1:7" ht="13">
      <c r="A35" s="393" t="str">
        <f>'Step4-Industrial Hg use'!A9</f>
        <v>Production of products with mercury content</v>
      </c>
      <c r="B35" s="366"/>
      <c r="C35" s="366"/>
      <c r="D35" s="366"/>
      <c r="E35" s="308"/>
      <c r="F35" s="308"/>
      <c r="G35" s="308"/>
    </row>
    <row r="36" spans="1:7">
      <c r="A36" s="263" t="str">
        <f>'Step4-Industrial Hg use'!A10</f>
        <v xml:space="preserve">Hg thermometers (medical, air, lab, industrial etc.) </v>
      </c>
      <c r="B36" s="427" t="str">
        <f>'Level 1- total summary'!F36</f>
        <v>Present?</v>
      </c>
      <c r="C36" s="427" t="str">
        <f>'Level 1- total summary'!G36</f>
        <v>Present?</v>
      </c>
      <c r="D36" s="427" t="str">
        <f>'Level 1- total summary'!H36</f>
        <v>Present?</v>
      </c>
      <c r="E36" s="427" t="str">
        <f>'Level 1- total summary'!I36</f>
        <v>Present?</v>
      </c>
      <c r="F36" s="427" t="str">
        <f>'Level 1- total summary'!J36</f>
        <v>Present?</v>
      </c>
      <c r="G36" s="427" t="str">
        <f>'Level 1- total summary'!K36</f>
        <v>Present?</v>
      </c>
    </row>
    <row r="37" spans="1:7">
      <c r="A37" s="263" t="str">
        <f>'Step4-Industrial Hg use'!A11</f>
        <v xml:space="preserve">Electrical switches and relays with mercury </v>
      </c>
      <c r="B37" s="427" t="str">
        <f>'Level 1- total summary'!F37</f>
        <v>Present?</v>
      </c>
      <c r="C37" s="427" t="str">
        <f>'Level 1- total summary'!G37</f>
        <v>Present?</v>
      </c>
      <c r="D37" s="427" t="str">
        <f>'Level 1- total summary'!H37</f>
        <v>Present?</v>
      </c>
      <c r="E37" s="427" t="str">
        <f>'Level 1- total summary'!I37</f>
        <v>Present?</v>
      </c>
      <c r="F37" s="427" t="str">
        <f>'Level 1- total summary'!J37</f>
        <v>Present?</v>
      </c>
      <c r="G37" s="427" t="str">
        <f>'Level 1- total summary'!K37</f>
        <v>Present?</v>
      </c>
    </row>
    <row r="38" spans="1:7" ht="25">
      <c r="A38" s="263" t="str">
        <f>'Step4-Industrial Hg use'!A12</f>
        <v xml:space="preserve">Light sources with mercury (fluorescent, compact, others: see guideline) </v>
      </c>
      <c r="B38" s="427" t="str">
        <f>'Level 1- total summary'!F38</f>
        <v>Present?</v>
      </c>
      <c r="C38" s="427" t="str">
        <f>'Level 1- total summary'!G38</f>
        <v>Present?</v>
      </c>
      <c r="D38" s="427" t="str">
        <f>'Level 1- total summary'!H38</f>
        <v>Present?</v>
      </c>
      <c r="E38" s="427" t="str">
        <f>'Level 1- total summary'!I38</f>
        <v>Present?</v>
      </c>
      <c r="F38" s="427" t="str">
        <f>'Level 1- total summary'!J38</f>
        <v>Present?</v>
      </c>
      <c r="G38" s="427" t="str">
        <f>'Level 1- total summary'!K38</f>
        <v>Present?</v>
      </c>
    </row>
    <row r="39" spans="1:7">
      <c r="A39" s="263" t="str">
        <f>'Step4-Industrial Hg use'!A13</f>
        <v xml:space="preserve">Batteries with mercury </v>
      </c>
      <c r="B39" s="427" t="str">
        <f>'Level 1- total summary'!F39</f>
        <v>Present?</v>
      </c>
      <c r="C39" s="427" t="str">
        <f>'Level 1- total summary'!G39</f>
        <v>Present?</v>
      </c>
      <c r="D39" s="427" t="str">
        <f>'Level 1- total summary'!H39</f>
        <v>Present?</v>
      </c>
      <c r="E39" s="427" t="str">
        <f>'Level 1- total summary'!I39</f>
        <v>Present?</v>
      </c>
      <c r="F39" s="427" t="str">
        <f>'Level 1- total summary'!J39</f>
        <v>Present?</v>
      </c>
      <c r="G39" s="427" t="str">
        <f>'Level 1- total summary'!K39</f>
        <v>Present?</v>
      </c>
    </row>
    <row r="40" spans="1:7">
      <c r="A40" s="263" t="str">
        <f>'Step4-Industrial Hg use'!A14</f>
        <v xml:space="preserve">Manometers and gauges with mercury </v>
      </c>
      <c r="B40" s="427" t="str">
        <f>'Level 1- total summary'!F40</f>
        <v>Present?</v>
      </c>
      <c r="C40" s="427" t="str">
        <f>'Level 1- total summary'!G40</f>
        <v>Present?</v>
      </c>
      <c r="D40" s="427" t="str">
        <f>'Level 1- total summary'!H40</f>
        <v>Present?</v>
      </c>
      <c r="E40" s="427" t="str">
        <f>'Level 1- total summary'!I40</f>
        <v>Present?</v>
      </c>
      <c r="F40" s="427" t="str">
        <f>'Level 1- total summary'!J40</f>
        <v>Present?</v>
      </c>
      <c r="G40" s="427" t="str">
        <f>'Level 1- total summary'!K40</f>
        <v>Present?</v>
      </c>
    </row>
    <row r="41" spans="1:7">
      <c r="A41" s="263" t="str">
        <f>'Step4-Industrial Hg use'!A15</f>
        <v xml:space="preserve">Biocides and pesticides with mercury </v>
      </c>
      <c r="B41" s="427" t="str">
        <f>'Level 1- total summary'!F41</f>
        <v>Present?</v>
      </c>
      <c r="C41" s="427" t="str">
        <f>'Level 1- total summary'!G41</f>
        <v>Present?</v>
      </c>
      <c r="D41" s="427" t="str">
        <f>'Level 1- total summary'!H41</f>
        <v>Present?</v>
      </c>
      <c r="E41" s="427" t="str">
        <f>'Level 1- total summary'!I41</f>
        <v>Present?</v>
      </c>
      <c r="F41" s="427" t="str">
        <f>'Level 1- total summary'!J41</f>
        <v>Present?</v>
      </c>
      <c r="G41" s="427" t="str">
        <f>'Level 1- total summary'!K41</f>
        <v>Present?</v>
      </c>
    </row>
    <row r="42" spans="1:7">
      <c r="A42" s="263" t="str">
        <f>'Step4-Industrial Hg use'!A16</f>
        <v xml:space="preserve">Paints with mercury </v>
      </c>
      <c r="B42" s="427" t="str">
        <f>'Level 1- total summary'!F42</f>
        <v>Present?</v>
      </c>
      <c r="C42" s="427" t="str">
        <f>'Level 1- total summary'!G42</f>
        <v>Present?</v>
      </c>
      <c r="D42" s="427" t="str">
        <f>'Level 1- total summary'!H42</f>
        <v>Present?</v>
      </c>
      <c r="E42" s="427" t="str">
        <f>'Level 1- total summary'!I42</f>
        <v>Present?</v>
      </c>
      <c r="F42" s="427" t="str">
        <f>'Level 1- total summary'!J42</f>
        <v>Present?</v>
      </c>
      <c r="G42" s="427" t="str">
        <f>'Level 1- total summary'!K42</f>
        <v>Present?</v>
      </c>
    </row>
    <row r="43" spans="1:7" ht="25">
      <c r="A43" s="263" t="str">
        <f>'Step4-Industrial Hg use'!A17</f>
        <v xml:space="preserve">Skin lightening creams and soaps with mercury chemicals </v>
      </c>
      <c r="B43" s="427" t="str">
        <f>'Level 1- total summary'!F43</f>
        <v>Present?</v>
      </c>
      <c r="C43" s="427" t="str">
        <f>'Level 1- total summary'!G43</f>
        <v>Present?</v>
      </c>
      <c r="D43" s="427" t="str">
        <f>'Level 1- total summary'!H43</f>
        <v>Present?</v>
      </c>
      <c r="E43" s="427" t="str">
        <f>'Level 1- total summary'!I43</f>
        <v>Present?</v>
      </c>
      <c r="F43" s="427" t="str">
        <f>'Level 1- total summary'!J43</f>
        <v>Present?</v>
      </c>
      <c r="G43" s="427" t="str">
        <f>'Level 1- total summary'!K43</f>
        <v>Present?</v>
      </c>
    </row>
    <row r="44" spans="1:7" ht="16.5" customHeight="1">
      <c r="A44" s="393" t="str">
        <f>'Step6-Hg products-substances'!A6</f>
        <v>Use and disposal of products with mercury content</v>
      </c>
      <c r="B44" s="366"/>
      <c r="C44" s="366"/>
      <c r="D44" s="366"/>
      <c r="E44" s="308"/>
      <c r="F44" s="308"/>
      <c r="G44" s="308"/>
    </row>
    <row r="45" spans="1:7">
      <c r="A45" s="263" t="str">
        <f>'Step6-Hg products-substances'!A7</f>
        <v>Dental amalgam fillings ("silver" fillings)</v>
      </c>
      <c r="B45" s="427" t="str">
        <f>'Level 1- total summary'!F45</f>
        <v>Present?</v>
      </c>
      <c r="C45" s="427" t="str">
        <f>'Level 1- total summary'!G45</f>
        <v>Present?</v>
      </c>
      <c r="D45" s="427" t="str">
        <f>'Level 1- total summary'!H45</f>
        <v>Present?</v>
      </c>
      <c r="E45" s="427" t="str">
        <f>'Level 1- total summary'!I45</f>
        <v>Present?</v>
      </c>
      <c r="F45" s="427" t="str">
        <f>'Level 1- total summary'!J45</f>
        <v>Present?</v>
      </c>
      <c r="G45" s="427" t="str">
        <f>'Level 1- total summary'!K45</f>
        <v>Present?</v>
      </c>
    </row>
    <row r="46" spans="1:7">
      <c r="A46" s="263" t="str">
        <f>'Step6-Hg products-substances'!A15</f>
        <v>Thermometers</v>
      </c>
      <c r="B46" s="427" t="str">
        <f>'Level 1- total summary'!F46</f>
        <v>Present?</v>
      </c>
      <c r="C46" s="427" t="str">
        <f>'Level 1- total summary'!G46</f>
        <v>Present?</v>
      </c>
      <c r="D46" s="427" t="str">
        <f>'Level 1- total summary'!H46</f>
        <v>Present?</v>
      </c>
      <c r="E46" s="427" t="str">
        <f>'Level 1- total summary'!I46</f>
        <v>Present?</v>
      </c>
      <c r="F46" s="427" t="str">
        <f>'Level 1- total summary'!J46</f>
        <v>Present?</v>
      </c>
      <c r="G46" s="427" t="str">
        <f>'Level 1- total summary'!K46</f>
        <v>Present?</v>
      </c>
    </row>
    <row r="47" spans="1:7">
      <c r="A47" s="263" t="str">
        <f>'Step6-Hg products-substances'!A20</f>
        <v>Electrical switches and relays with mercury</v>
      </c>
      <c r="B47" s="427" t="str">
        <f>'Level 1- total summary'!F47</f>
        <v>Present?</v>
      </c>
      <c r="C47" s="427" t="str">
        <f>'Level 1- total summary'!G47</f>
        <v>Present?</v>
      </c>
      <c r="D47" s="427" t="str">
        <f>'Level 1- total summary'!H47</f>
        <v>Present?</v>
      </c>
      <c r="E47" s="427" t="str">
        <f>'Level 1- total summary'!I47</f>
        <v>Present?</v>
      </c>
      <c r="F47" s="427" t="str">
        <f>'Level 1- total summary'!J47</f>
        <v>Present?</v>
      </c>
      <c r="G47" s="427" t="str">
        <f>'Level 1- total summary'!K47</f>
        <v>Present?</v>
      </c>
    </row>
    <row r="48" spans="1:7">
      <c r="A48" s="263" t="str">
        <f>'Step6-Hg products-substances'!A23</f>
        <v>Light sources with mercury</v>
      </c>
      <c r="B48" s="427" t="str">
        <f>'Level 1- total summary'!F48</f>
        <v>Present?</v>
      </c>
      <c r="C48" s="427" t="str">
        <f>'Level 1- total summary'!G48</f>
        <v>Present?</v>
      </c>
      <c r="D48" s="427" t="str">
        <f>'Level 1- total summary'!H48</f>
        <v>Present?</v>
      </c>
      <c r="E48" s="427" t="str">
        <f>'Level 1- total summary'!I48</f>
        <v>Present?</v>
      </c>
      <c r="F48" s="427" t="str">
        <f>'Level 1- total summary'!J48</f>
        <v>Present?</v>
      </c>
      <c r="G48" s="427" t="str">
        <f>'Level 1- total summary'!K48</f>
        <v>Present?</v>
      </c>
    </row>
    <row r="49" spans="1:7">
      <c r="A49" s="367" t="str">
        <f>'Step6-Hg products-substances'!A28</f>
        <v>Batteries with mercury</v>
      </c>
      <c r="B49" s="427" t="str">
        <f>'Level 1- total summary'!F49</f>
        <v>Present?</v>
      </c>
      <c r="C49" s="427" t="str">
        <f>'Level 1- total summary'!G49</f>
        <v>Present?</v>
      </c>
      <c r="D49" s="427" t="str">
        <f>'Level 1- total summary'!H49</f>
        <v>Present?</v>
      </c>
      <c r="E49" s="427" t="str">
        <f>'Level 1- total summary'!I49</f>
        <v>Present?</v>
      </c>
      <c r="F49" s="427" t="str">
        <f>'Level 1- total summary'!J49</f>
        <v>Present?</v>
      </c>
      <c r="G49" s="427" t="str">
        <f>'Level 1- total summary'!K49</f>
        <v>Present?</v>
      </c>
    </row>
    <row r="50" spans="1:7">
      <c r="A50" s="263" t="str">
        <f>'Step6-Hg products-substances'!A33</f>
        <v>Polyurethane (PU, PUR) produced with mercury catalyst</v>
      </c>
      <c r="B50" s="427" t="str">
        <f>'Level 1- total summary'!F50</f>
        <v>Present?</v>
      </c>
      <c r="C50" s="427" t="str">
        <f>'Level 1- total summary'!G50</f>
        <v>Present?</v>
      </c>
      <c r="D50" s="427" t="str">
        <f>'Level 1- total summary'!H50</f>
        <v>Present?</v>
      </c>
      <c r="E50" s="427" t="str">
        <f>'Level 1- total summary'!I50</f>
        <v>Present?</v>
      </c>
      <c r="F50" s="427" t="str">
        <f>'Level 1- total summary'!J50</f>
        <v>Present?</v>
      </c>
      <c r="G50" s="427" t="str">
        <f>'Level 1- total summary'!K50</f>
        <v>Present?</v>
      </c>
    </row>
    <row r="51" spans="1:7">
      <c r="A51" s="263" t="str">
        <f>'Step6-Hg products-substances'!A36</f>
        <v>Paints with mercury preservatives</v>
      </c>
      <c r="B51" s="427" t="str">
        <f>'Level 1- total summary'!F51</f>
        <v>Present?</v>
      </c>
      <c r="C51" s="427" t="str">
        <f>'Level 1- total summary'!G51</f>
        <v>Present?</v>
      </c>
      <c r="D51" s="427" t="str">
        <f>'Level 1- total summary'!H51</f>
        <v>Present?</v>
      </c>
      <c r="E51" s="427" t="str">
        <f>'Level 1- total summary'!I51</f>
        <v>Present?</v>
      </c>
      <c r="F51" s="427" t="str">
        <f>'Level 1- total summary'!J51</f>
        <v>Present?</v>
      </c>
      <c r="G51" s="427" t="str">
        <f>'Level 1- total summary'!K51</f>
        <v>Present?</v>
      </c>
    </row>
    <row r="52" spans="1:7" ht="25">
      <c r="A52" s="263" t="str">
        <f>'Step6-Hg products-substances'!A38</f>
        <v>Skin lightening creams and soaps with mercury chemicals</v>
      </c>
      <c r="B52" s="427" t="str">
        <f>'Level 1- total summary'!F52</f>
        <v>Present?</v>
      </c>
      <c r="C52" s="427" t="str">
        <f>'Level 1- total summary'!G52</f>
        <v>Present?</v>
      </c>
      <c r="D52" s="427" t="str">
        <f>'Level 1- total summary'!H52</f>
        <v>Present?</v>
      </c>
      <c r="E52" s="427" t="str">
        <f>'Level 1- total summary'!I52</f>
        <v>Present?</v>
      </c>
      <c r="F52" s="427" t="str">
        <f>'Level 1- total summary'!J52</f>
        <v>Present?</v>
      </c>
      <c r="G52" s="427" t="str">
        <f>'Level 1- total summary'!K52</f>
        <v>Present?</v>
      </c>
    </row>
    <row r="53" spans="1:7" ht="29.25" customHeight="1">
      <c r="A53" s="263" t="str">
        <f>'Step6-Hg products-substances'!A40</f>
        <v>Medical blood pressure gauges (mercury sphygmomanometers)</v>
      </c>
      <c r="B53" s="427" t="str">
        <f>'Level 1- total summary'!F53</f>
        <v>Present?</v>
      </c>
      <c r="C53" s="427" t="str">
        <f>'Level 1- total summary'!G53</f>
        <v>Present?</v>
      </c>
      <c r="D53" s="427" t="str">
        <f>'Level 1- total summary'!H53</f>
        <v>Present?</v>
      </c>
      <c r="E53" s="427" t="str">
        <f>'Level 1- total summary'!I53</f>
        <v>Present?</v>
      </c>
      <c r="F53" s="427" t="str">
        <f>'Level 1- total summary'!J53</f>
        <v>Present?</v>
      </c>
      <c r="G53" s="427" t="str">
        <f>'Level 1- total summary'!K53</f>
        <v>Present?</v>
      </c>
    </row>
    <row r="54" spans="1:7">
      <c r="A54" s="263" t="str">
        <f>'Step6-Hg products-substances'!A42</f>
        <v>Other manometers and gauges with mercury</v>
      </c>
      <c r="B54" s="427" t="str">
        <f>'Level 1- total summary'!F54</f>
        <v>Present?</v>
      </c>
      <c r="C54" s="427" t="str">
        <f>'Level 1- total summary'!G54</f>
        <v>Present?</v>
      </c>
      <c r="D54" s="427" t="str">
        <f>'Level 1- total summary'!H54</f>
        <v>Present?</v>
      </c>
      <c r="E54" s="427" t="str">
        <f>'Level 1- total summary'!I54</f>
        <v>Present?</v>
      </c>
      <c r="F54" s="427" t="str">
        <f>'Level 1- total summary'!J54</f>
        <v>Present?</v>
      </c>
      <c r="G54" s="427" t="str">
        <f>'Level 1- total summary'!K54</f>
        <v>Present?</v>
      </c>
    </row>
    <row r="55" spans="1:7">
      <c r="A55" s="263" t="str">
        <f>'Step6-Hg products-substances'!A45</f>
        <v>Laboratory chemicals</v>
      </c>
      <c r="B55" s="427" t="str">
        <f>'Level 1- total summary'!F55</f>
        <v>Present?</v>
      </c>
      <c r="C55" s="427" t="str">
        <f>'Level 1- total summary'!G55</f>
        <v>Present?</v>
      </c>
      <c r="D55" s="427" t="str">
        <f>'Level 1- total summary'!H55</f>
        <v>Present?</v>
      </c>
      <c r="E55" s="427" t="str">
        <f>'Level 1- total summary'!I55</f>
        <v>Present?</v>
      </c>
      <c r="F55" s="427" t="str">
        <f>'Level 1- total summary'!J55</f>
        <v>Present?</v>
      </c>
      <c r="G55" s="427" t="str">
        <f>'Level 1- total summary'!K55</f>
        <v>Present?</v>
      </c>
    </row>
    <row r="56" spans="1:7">
      <c r="A56" s="263" t="str">
        <f>'Step6-Hg products-substances'!A48</f>
        <v xml:space="preserve">Other laboratory and medical equipment with mercury </v>
      </c>
      <c r="B56" s="427" t="str">
        <f>'Level 1- total summary'!F56</f>
        <v>Present?</v>
      </c>
      <c r="C56" s="427" t="str">
        <f>'Level 1- total summary'!G56</f>
        <v>Present?</v>
      </c>
      <c r="D56" s="427" t="str">
        <f>'Level 1- total summary'!H56</f>
        <v>Present?</v>
      </c>
      <c r="E56" s="427" t="str">
        <f>'Level 1- total summary'!I56</f>
        <v>Present?</v>
      </c>
      <c r="F56" s="427" t="str">
        <f>'Level 1- total summary'!J56</f>
        <v>Present?</v>
      </c>
      <c r="G56" s="427" t="str">
        <f>'Level 1- total summary'!K56</f>
        <v>Present?</v>
      </c>
    </row>
    <row r="57" spans="1:7" ht="13">
      <c r="A57" s="393" t="str">
        <f>'Step5-Waste treatment+recycling'!A8</f>
        <v>Production of recycled of metals</v>
      </c>
      <c r="B57" s="366"/>
      <c r="C57" s="366"/>
      <c r="D57" s="366"/>
      <c r="E57" s="308"/>
      <c r="F57" s="308"/>
      <c r="G57" s="308"/>
    </row>
    <row r="58" spans="1:7">
      <c r="A58" s="263" t="str">
        <f>'Step5-Waste treatment+recycling'!A9</f>
        <v>Production of recycled mercury ("secondary production”)</v>
      </c>
      <c r="B58" s="427" t="str">
        <f>'Level 1- total summary'!F58</f>
        <v>Present?</v>
      </c>
      <c r="C58" s="427" t="str">
        <f>'Level 1- total summary'!G58</f>
        <v>Present?</v>
      </c>
      <c r="D58" s="427" t="str">
        <f>'Level 1- total summary'!H58</f>
        <v>Present?</v>
      </c>
      <c r="E58" s="427" t="str">
        <f>'Level 1- total summary'!I58</f>
        <v>Present?</v>
      </c>
      <c r="F58" s="427" t="str">
        <f>'Level 1- total summary'!J58</f>
        <v>Present?</v>
      </c>
      <c r="G58" s="427" t="str">
        <f>'Level 1- total summary'!K58</f>
        <v>Present?</v>
      </c>
    </row>
    <row r="59" spans="1:7">
      <c r="A59" s="263" t="str">
        <f>'Step5-Waste treatment+recycling'!A10</f>
        <v>Production of recycled ferrous metals (iron and steel)</v>
      </c>
      <c r="B59" s="427" t="str">
        <f>'Level 1- total summary'!F59</f>
        <v>Present?</v>
      </c>
      <c r="C59" s="427" t="str">
        <f>'Level 1- total summary'!G59</f>
        <v>Present?</v>
      </c>
      <c r="D59" s="427" t="str">
        <f>'Level 1- total summary'!H59</f>
        <v>Present?</v>
      </c>
      <c r="E59" s="427" t="str">
        <f>'Level 1- total summary'!I59</f>
        <v>Present?</v>
      </c>
      <c r="F59" s="427" t="str">
        <f>'Level 1- total summary'!J59</f>
        <v>Present?</v>
      </c>
      <c r="G59" s="427" t="str">
        <f>'Level 1- total summary'!K59</f>
        <v>Present?</v>
      </c>
    </row>
    <row r="60" spans="1:7" ht="13">
      <c r="A60" s="393" t="str">
        <f>'Step5-Waste treatment+recycling'!A12</f>
        <v>Waste incineration</v>
      </c>
      <c r="B60" s="366"/>
      <c r="C60" s="366"/>
      <c r="D60" s="366"/>
      <c r="E60" s="308"/>
      <c r="F60" s="308"/>
      <c r="G60" s="308"/>
    </row>
    <row r="61" spans="1:7">
      <c r="A61" s="263" t="str">
        <f>'Step5-Waste treatment+recycling'!A13</f>
        <v>Incineration of municipal/general waste</v>
      </c>
      <c r="B61" s="427" t="str">
        <f>'Level 1- total summary'!F61</f>
        <v>Present?</v>
      </c>
      <c r="C61" s="427" t="str">
        <f>'Level 1- total summary'!G61</f>
        <v>Present?</v>
      </c>
      <c r="D61" s="427" t="str">
        <f>'Level 1- total summary'!H61</f>
        <v>Present?</v>
      </c>
      <c r="E61" s="427" t="str">
        <f>'Level 1- total summary'!I61</f>
        <v>Present?</v>
      </c>
      <c r="F61" s="427" t="str">
        <f>'Level 1- total summary'!J61</f>
        <v>Present?</v>
      </c>
      <c r="G61" s="427" t="str">
        <f>'Level 1- total summary'!K61</f>
        <v>Present?</v>
      </c>
    </row>
    <row r="62" spans="1:7">
      <c r="A62" s="263" t="str">
        <f>'Step5-Waste treatment+recycling'!A16</f>
        <v>Incineration of hazardous waste</v>
      </c>
      <c r="B62" s="427" t="str">
        <f>'Level 1- total summary'!F62</f>
        <v>Present?</v>
      </c>
      <c r="C62" s="427" t="str">
        <f>'Level 1- total summary'!G62</f>
        <v>Present?</v>
      </c>
      <c r="D62" s="427" t="str">
        <f>'Level 1- total summary'!H62</f>
        <v>Present?</v>
      </c>
      <c r="E62" s="427" t="str">
        <f>'Level 1- total summary'!I62</f>
        <v>Present?</v>
      </c>
      <c r="F62" s="427" t="str">
        <f>'Level 1- total summary'!J62</f>
        <v>Present?</v>
      </c>
      <c r="G62" s="427" t="str">
        <f>'Level 1- total summary'!K62</f>
        <v>Present?</v>
      </c>
    </row>
    <row r="63" spans="1:7">
      <c r="A63" s="263" t="str">
        <f>'Step5-Waste treatment+recycling'!A19</f>
        <v>Incineration / burning of medical waste</v>
      </c>
      <c r="B63" s="427" t="str">
        <f>'Level 1- total summary'!F63</f>
        <v>Present?</v>
      </c>
      <c r="C63" s="427" t="str">
        <f>'Level 1- total summary'!G63</f>
        <v>Present?</v>
      </c>
      <c r="D63" s="427" t="str">
        <f>'Level 1- total summary'!H63</f>
        <v>Present?</v>
      </c>
      <c r="E63" s="427" t="str">
        <f>'Level 1- total summary'!I63</f>
        <v>Present?</v>
      </c>
      <c r="F63" s="427" t="str">
        <f>'Level 1- total summary'!J63</f>
        <v>Present?</v>
      </c>
      <c r="G63" s="427" t="str">
        <f>'Level 1- total summary'!K63</f>
        <v>Present?</v>
      </c>
    </row>
    <row r="64" spans="1:7">
      <c r="A64" s="263" t="str">
        <f>'Step5-Waste treatment+recycling'!A22</f>
        <v>Sewage sludge incineration</v>
      </c>
      <c r="B64" s="427" t="str">
        <f>'Level 1- total summary'!F64</f>
        <v>Present?</v>
      </c>
      <c r="C64" s="427" t="str">
        <f>'Level 1- total summary'!G64</f>
        <v>Present?</v>
      </c>
      <c r="D64" s="427" t="str">
        <f>'Level 1- total summary'!H64</f>
        <v>Present?</v>
      </c>
      <c r="E64" s="427" t="str">
        <f>'Level 1- total summary'!I64</f>
        <v>Present?</v>
      </c>
      <c r="F64" s="427" t="str">
        <f>'Level 1- total summary'!J64</f>
        <v>Present?</v>
      </c>
      <c r="G64" s="427" t="str">
        <f>'Level 1- total summary'!K64</f>
        <v>Present?</v>
      </c>
    </row>
    <row r="65" spans="1:7">
      <c r="A65" s="263" t="str">
        <f>'Step5-Waste treatment+recycling'!A23</f>
        <v>Open fire waste burning (on landfills and informally)</v>
      </c>
      <c r="B65" s="427" t="str">
        <f>'Level 1- total summary'!F65</f>
        <v>Present?</v>
      </c>
      <c r="C65" s="427" t="str">
        <f>'Level 1- total summary'!G65</f>
        <v>Present?</v>
      </c>
      <c r="D65" s="427" t="str">
        <f>'Level 1- total summary'!H65</f>
        <v>Present?</v>
      </c>
      <c r="E65" s="427" t="str">
        <f>'Level 1- total summary'!I65</f>
        <v>Present?</v>
      </c>
      <c r="F65" s="427" t="str">
        <f>'Level 1- total summary'!J65</f>
        <v>Present?</v>
      </c>
      <c r="G65" s="427" t="str">
        <f>'Level 1- total summary'!K65</f>
        <v>Present?</v>
      </c>
    </row>
    <row r="66" spans="1:7" ht="26">
      <c r="A66" s="393" t="str">
        <f>'Step5-Waste treatment+recycling'!A25</f>
        <v>Waste deposition/landfilling and waste water treatment</v>
      </c>
      <c r="B66" s="366"/>
      <c r="C66" s="366"/>
      <c r="D66" s="366"/>
      <c r="E66" s="308"/>
      <c r="F66" s="308"/>
      <c r="G66" s="308"/>
    </row>
    <row r="67" spans="1:7">
      <c r="A67" s="263" t="str">
        <f>'Step5-Waste treatment+recycling'!A26</f>
        <v>Controlled landfills/deposits</v>
      </c>
      <c r="B67" s="427" t="str">
        <f>'Level 1- total summary'!F67</f>
        <v>Present?</v>
      </c>
      <c r="C67" s="427" t="str">
        <f>'Level 1- total summary'!G67</f>
        <v>Present?</v>
      </c>
      <c r="D67" s="427" t="str">
        <f>'Level 1- total summary'!H67</f>
        <v>Present?</v>
      </c>
      <c r="E67" s="427" t="str">
        <f>'Level 1- total summary'!I67</f>
        <v>Present?</v>
      </c>
      <c r="F67" s="427" t="str">
        <f>'Level 1- total summary'!J67</f>
        <v>Present?</v>
      </c>
      <c r="G67" s="427" t="str">
        <f>'Level 1- total summary'!K67</f>
        <v>Present?</v>
      </c>
    </row>
    <row r="68" spans="1:7">
      <c r="A68" s="263" t="s">
        <v>487</v>
      </c>
      <c r="B68" s="427" t="str">
        <f>'Level 1- total summary'!F68</f>
        <v>Present?</v>
      </c>
      <c r="C68" s="427" t="str">
        <f>'Level 1- total summary'!G68</f>
        <v>Present?</v>
      </c>
      <c r="D68" s="427" t="str">
        <f>'Level 1- total summary'!H68</f>
        <v>Present?</v>
      </c>
      <c r="E68" s="427" t="str">
        <f>'Level 1- total summary'!I68</f>
        <v>Present?</v>
      </c>
      <c r="F68" s="427" t="str">
        <f>'Level 1- total summary'!J68</f>
        <v>Present?</v>
      </c>
      <c r="G68" s="427" t="str">
        <f>'Level 1- total summary'!K68</f>
        <v>Present?</v>
      </c>
    </row>
    <row r="69" spans="1:7">
      <c r="A69" s="367" t="s">
        <v>539</v>
      </c>
      <c r="B69" s="427" t="str">
        <f>'Level 1- total summary'!F69</f>
        <v>Present?</v>
      </c>
      <c r="C69" s="427" t="str">
        <f>'Level 1- total summary'!G69</f>
        <v>Present?</v>
      </c>
      <c r="D69" s="427" t="str">
        <f>'Level 1- total summary'!H69</f>
        <v>Present?</v>
      </c>
      <c r="E69" s="427" t="str">
        <f>'Level 1- total summary'!I69</f>
        <v>Present?</v>
      </c>
      <c r="F69" s="427" t="str">
        <f>'Level 1- total summary'!J69</f>
        <v>Present?</v>
      </c>
      <c r="G69" s="427" t="str">
        <f>'Level 1- total summary'!K69</f>
        <v>Present?</v>
      </c>
    </row>
    <row r="70" spans="1:7" ht="13">
      <c r="A70" s="393" t="str">
        <f>'Step7-Crematoria-cemetaries'!A4</f>
        <v>Crematoria and cemeteries</v>
      </c>
      <c r="B70" s="366"/>
      <c r="C70" s="366"/>
      <c r="D70" s="366"/>
      <c r="E70" s="308"/>
      <c r="F70" s="308"/>
      <c r="G70" s="308"/>
    </row>
    <row r="71" spans="1:7">
      <c r="A71" s="263" t="str">
        <f>'Step7-Crematoria-cemetaries'!A5</f>
        <v>Crematoria</v>
      </c>
      <c r="B71" s="427" t="str">
        <f>'Level 1- total summary'!F71</f>
        <v>Present?</v>
      </c>
      <c r="C71" s="427" t="str">
        <f>'Level 1- total summary'!G71</f>
        <v>Present?</v>
      </c>
      <c r="D71" s="427" t="str">
        <f>'Level 1- total summary'!H71</f>
        <v>Present?</v>
      </c>
      <c r="E71" s="427" t="str">
        <f>'Level 1- total summary'!I71</f>
        <v>Present?</v>
      </c>
      <c r="F71" s="427" t="str">
        <f>'Level 1- total summary'!J71</f>
        <v>Present?</v>
      </c>
      <c r="G71" s="427" t="str">
        <f>'Level 1- total summary'!K71</f>
        <v>Present?</v>
      </c>
    </row>
    <row r="72" spans="1:7">
      <c r="A72" s="263" t="str">
        <f>'Step7-Crematoria-cemetaries'!A6</f>
        <v>Cemeteries</v>
      </c>
      <c r="B72" s="427" t="str">
        <f>'Level 1- total summary'!F72</f>
        <v>Present?</v>
      </c>
      <c r="C72" s="427" t="str">
        <f>'Level 1- total summary'!G72</f>
        <v>Present?</v>
      </c>
      <c r="D72" s="427" t="str">
        <f>'Level 1- total summary'!H72</f>
        <v>Present?</v>
      </c>
      <c r="E72" s="427" t="str">
        <f>'Level 1- total summary'!I72</f>
        <v>Present?</v>
      </c>
      <c r="F72" s="427" t="str">
        <f>'Level 1- total summary'!J72</f>
        <v>Present?</v>
      </c>
      <c r="G72" s="427" t="str">
        <f>'Level 1- total summary'!K72</f>
        <v>Present?</v>
      </c>
    </row>
    <row r="73" spans="1:7" s="356" customFormat="1" ht="13">
      <c r="A73" s="265" t="s">
        <v>1100</v>
      </c>
      <c r="B73" s="558">
        <f>'Level 1- total summary'!F73</f>
        <v>0</v>
      </c>
      <c r="C73" s="558" t="e">
        <f>'Level 1- total summary'!G73</f>
        <v>#VALUE!</v>
      </c>
      <c r="D73" s="558">
        <f>'Level 1- total summary'!H73</f>
        <v>0</v>
      </c>
      <c r="E73" s="558">
        <f>'Level 1- total summary'!I73</f>
        <v>0</v>
      </c>
      <c r="F73" s="558">
        <f>'Level 1- total summary'!J73</f>
        <v>0</v>
      </c>
      <c r="G73" s="558">
        <f>'Level 1- total summary'!K73</f>
        <v>0</v>
      </c>
    </row>
    <row r="74" spans="1:7">
      <c r="A74" s="358"/>
    </row>
    <row r="75" spans="1:7">
      <c r="A75" s="323" t="s">
        <v>56</v>
      </c>
    </row>
    <row r="76" spans="1:7">
      <c r="A76" s="323" t="s">
        <v>533</v>
      </c>
    </row>
    <row r="77" spans="1:7">
      <c r="A77" s="323" t="s">
        <v>554</v>
      </c>
    </row>
    <row r="78" spans="1:7">
      <c r="A78" s="323" t="s">
        <v>541</v>
      </c>
    </row>
    <row r="79" spans="1:7">
      <c r="A79" s="323" t="s">
        <v>542</v>
      </c>
    </row>
    <row r="80" spans="1:7">
      <c r="A80" s="587" t="s">
        <v>1099</v>
      </c>
    </row>
    <row r="92" spans="1:1">
      <c r="A92" s="323"/>
    </row>
    <row r="93" spans="1:1">
      <c r="A93" s="323"/>
    </row>
    <row r="94" spans="1:1">
      <c r="A94" s="323"/>
    </row>
  </sheetData>
  <sheetProtection algorithmName="SHA-512" hashValue="UBrT4/qp6Kz3OZTgCnkRQ6FCsK/qfk6gMbAFrkPAE9M3PucU1eE7K9f07crmOPe9AwUdodzdR4f6bUsIs44Vdg==" saltValue="T57GiSm3mjQCY1WEDzorow==" spinCount="100000" sheet="1"/>
  <customSheetViews>
    <customSheetView guid="{EB7FE26D-7077-48F2-8515-D783BE87A220}" fitToPage="1">
      <selection activeCell="H26" sqref="H26"/>
      <pageMargins left="0.39370078740157483" right="0.39370078740157483" top="0.74803149606299213" bottom="0.74803149606299213" header="0.31496062992125984" footer="0.31496062992125984"/>
      <pageSetup paperSize="9" scale="65" orientation="portrait" r:id="rId1"/>
      <headerFooter>
        <oddFooter>&amp;L&amp;A
Printed &amp;D</oddFooter>
      </headerFooter>
    </customSheetView>
  </customSheetViews>
  <mergeCells count="1">
    <mergeCell ref="B2:G2"/>
  </mergeCells>
  <pageMargins left="0.39370078740157483" right="0.39370078740157483" top="0.74803149606299213" bottom="0.74803149606299213" header="0.31496062992125984" footer="0.31496062992125984"/>
  <pageSetup paperSize="9" scale="65" orientation="portrait" r:id="rId2"/>
  <headerFooter>
    <oddFooter>&amp;L&amp;A
Printed &amp;D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M86"/>
  <sheetViews>
    <sheetView workbookViewId="0">
      <pane ySplit="3" topLeftCell="A31" activePane="bottomLeft" state="frozen"/>
      <selection pane="bottomLeft" activeCell="D72" sqref="D72"/>
    </sheetView>
  </sheetViews>
  <sheetFormatPr defaultColWidth="9.1796875" defaultRowHeight="12.5"/>
  <cols>
    <col min="1" max="1" width="46.81640625" style="339" customWidth="1"/>
    <col min="2" max="2" width="14.453125" style="360" customWidth="1"/>
    <col min="3" max="3" width="17.36328125" style="339" customWidth="1"/>
    <col min="4" max="4" width="33.453125" style="339" customWidth="1"/>
    <col min="5" max="5" width="12.453125" style="339" customWidth="1"/>
    <col min="6" max="6" width="12.81640625" style="339" customWidth="1"/>
    <col min="7" max="7" width="11.6328125" style="339" customWidth="1"/>
    <col min="8" max="10" width="12.453125" style="339" customWidth="1"/>
    <col min="11" max="11" width="16.1796875" style="339" customWidth="1"/>
    <col min="12" max="12" width="10.81640625" style="339" customWidth="1"/>
    <col min="13" max="16384" width="9.1796875" style="339"/>
  </cols>
  <sheetData>
    <row r="1" spans="1:12" ht="13">
      <c r="A1" s="356" t="s">
        <v>504</v>
      </c>
      <c r="B1" s="357"/>
    </row>
    <row r="2" spans="1:12" s="361" customFormat="1" ht="38.25" customHeight="1">
      <c r="A2" s="263" t="s">
        <v>312</v>
      </c>
      <c r="B2" s="264" t="s">
        <v>365</v>
      </c>
      <c r="C2" s="263"/>
      <c r="D2" s="263"/>
      <c r="E2" s="365" t="s">
        <v>358</v>
      </c>
      <c r="F2" s="869" t="s">
        <v>363</v>
      </c>
      <c r="G2" s="870"/>
      <c r="H2" s="870"/>
      <c r="I2" s="870"/>
      <c r="J2" s="870"/>
      <c r="K2" s="871"/>
      <c r="L2" s="263"/>
    </row>
    <row r="3" spans="1:12" ht="38">
      <c r="A3" s="417"/>
      <c r="B3" s="344" t="str">
        <f>quest</f>
        <v>Y/N/?</v>
      </c>
      <c r="C3" s="268" t="s">
        <v>496</v>
      </c>
      <c r="D3" s="268" t="s">
        <v>35</v>
      </c>
      <c r="E3" s="264" t="s">
        <v>362</v>
      </c>
      <c r="F3" s="269" t="s">
        <v>38</v>
      </c>
      <c r="G3" s="269" t="s">
        <v>39</v>
      </c>
      <c r="H3" s="269" t="s">
        <v>40</v>
      </c>
      <c r="I3" s="436" t="s">
        <v>499</v>
      </c>
      <c r="J3" s="264" t="s">
        <v>42</v>
      </c>
      <c r="K3" s="264" t="s">
        <v>364</v>
      </c>
      <c r="L3" s="263" t="s">
        <v>357</v>
      </c>
    </row>
    <row r="4" spans="1:12" ht="13">
      <c r="A4" s="393" t="str">
        <f>'Step2-Energy'!A4</f>
        <v>Energy consumption</v>
      </c>
      <c r="B4" s="372"/>
      <c r="C4" s="423"/>
      <c r="D4" s="304"/>
      <c r="E4" s="423"/>
      <c r="F4" s="366"/>
      <c r="G4" s="366"/>
      <c r="H4" s="366"/>
      <c r="I4" s="308"/>
      <c r="J4" s="308"/>
      <c r="K4" s="308"/>
      <c r="L4" s="371"/>
    </row>
    <row r="5" spans="1:12">
      <c r="A5" s="263" t="str">
        <f>'Step2-Energy'!A5</f>
        <v>Coal combustion in large power plants</v>
      </c>
      <c r="B5" s="268" t="str">
        <f>IF(OR('Step2-Energy'!B5=yes,'Step2-Energy'!B5=no,'Step2-Energy'!B5=que),'Step2-Energy'!B5,  pres)</f>
        <v>Present?</v>
      </c>
      <c r="C5" s="426">
        <f>'Step2-Energy'!C5</f>
        <v>0</v>
      </c>
      <c r="D5" s="263" t="str">
        <f>'Step2-Energy'!D5</f>
        <v>Coal combusted, t/y </v>
      </c>
      <c r="E5" s="439" t="str">
        <f>IF('Insert IL2 results'!C12="",'Step2-Energy'!F5,'Insert IL2 results'!C12)</f>
        <v>Present?</v>
      </c>
      <c r="F5" s="427" t="str">
        <f>IF('Insert IL2 results'!D12="",'Step2-Energy'!G5,'Insert IL2 results'!D12)</f>
        <v>Present?</v>
      </c>
      <c r="G5" s="427" t="str">
        <f>IF('Insert IL2 results'!E12="",'Step2-Energy'!H5,'Insert IL2 results'!E12)</f>
        <v>Present?</v>
      </c>
      <c r="H5" s="427" t="str">
        <f>IF('Insert IL2 results'!F12="",'Step2-Energy'!I5,'Insert IL2 results'!F12)</f>
        <v>Present?</v>
      </c>
      <c r="I5" s="427" t="str">
        <f>IF('Insert IL2 results'!G12="",'Step2-Energy'!J5,'Insert IL2 results'!G12)</f>
        <v>Present?</v>
      </c>
      <c r="J5" s="427" t="str">
        <f>IF('Insert IL2 results'!H12="",'Step2-Energy'!K5,'Insert IL2 results'!H12)</f>
        <v>Present?</v>
      </c>
      <c r="K5" s="427" t="str">
        <f>IF('Insert IL2 results'!I12="",'Step2-Energy'!L5,'Insert IL2 results'!I12)</f>
        <v>Present?</v>
      </c>
      <c r="L5" s="263" t="str">
        <f>'Step2-Energy'!M5</f>
        <v>5.1.1</v>
      </c>
    </row>
    <row r="6" spans="1:12">
      <c r="A6" s="263" t="str">
        <f>'Step2-Energy'!A8</f>
        <v>Coal combustion in coal fired industrial boilers</v>
      </c>
      <c r="B6" s="268" t="str">
        <f>IF(OR('Step2-Energy'!B8=yes,'Step2-Energy'!B8=no,'Step2-Energy'!B8=que),'Step2-Energy'!B8,  pres)</f>
        <v>Present?</v>
      </c>
      <c r="C6" s="426">
        <f>'Step2-Energy'!C8</f>
        <v>0</v>
      </c>
      <c r="D6" s="263" t="str">
        <f>'Step2-Energy'!D8</f>
        <v>Coal combusted, t/y </v>
      </c>
      <c r="E6" s="439" t="str">
        <f>IF('Insert IL2 results'!C13="",'Step2-Energy'!F8,'Insert IL2 results'!C13)</f>
        <v>Present?</v>
      </c>
      <c r="F6" s="427" t="str">
        <f>IF('Insert IL2 results'!D13="",'Step2-Energy'!G8,'Insert IL2 results'!D13)</f>
        <v>Present?</v>
      </c>
      <c r="G6" s="427" t="str">
        <f>IF('Insert IL2 results'!E13="",'Step2-Energy'!H8,'Insert IL2 results'!E13)</f>
        <v>Present?</v>
      </c>
      <c r="H6" s="427" t="str">
        <f>IF('Insert IL2 results'!F13="",'Step2-Energy'!I8,'Insert IL2 results'!F13)</f>
        <v>Present?</v>
      </c>
      <c r="I6" s="427" t="str">
        <f>IF('Insert IL2 results'!G13="",'Step2-Energy'!J8,'Insert IL2 results'!G13)</f>
        <v>Present?</v>
      </c>
      <c r="J6" s="427" t="str">
        <f>IF('Insert IL2 results'!H13="",'Step2-Energy'!K8,'Insert IL2 results'!H13)</f>
        <v>Present?</v>
      </c>
      <c r="K6" s="427" t="str">
        <f>IF('Insert IL2 results'!I13="",'Step2-Energy'!L8,'Insert IL2 results'!I13)</f>
        <v>Present?</v>
      </c>
      <c r="L6" s="263" t="str">
        <f>'Step2-Energy'!M8</f>
        <v>5.1.2.1</v>
      </c>
    </row>
    <row r="7" spans="1:12">
      <c r="A7" s="263" t="str">
        <f>'Step2-Energy'!A11</f>
        <v>Other coal uses</v>
      </c>
      <c r="B7" s="268" t="str">
        <f>IF(OR('Step2-Energy'!B11=yes,'Step2-Energy'!B11=no,'Step2-Energy'!B11=que),'Step2-Energy'!B11,  pres)</f>
        <v>Present?</v>
      </c>
      <c r="C7" s="426">
        <f>'Step2-Energy'!C11</f>
        <v>0</v>
      </c>
      <c r="D7" s="263" t="str">
        <f>'Step2-Energy'!D11</f>
        <v>Coal used, t/y</v>
      </c>
      <c r="E7" s="439" t="str">
        <f>IF('Insert IL2 results'!C14="",'Step2-Energy'!F11,'Insert IL2 results'!C14)</f>
        <v>Present?</v>
      </c>
      <c r="F7" s="427" t="str">
        <f>IF('Insert IL2 results'!D14="",'Step2-Energy'!G11,'Insert IL2 results'!D14)</f>
        <v>Present?</v>
      </c>
      <c r="G7" s="427" t="str">
        <f>IF('Insert IL2 results'!E14="",'Step2-Energy'!H11,'Insert IL2 results'!E14)</f>
        <v>Present?</v>
      </c>
      <c r="H7" s="427" t="str">
        <f>IF('Insert IL2 results'!F14="",'Step2-Energy'!I11,'Insert IL2 results'!F14)</f>
        <v>Present?</v>
      </c>
      <c r="I7" s="427" t="str">
        <f>IF('Insert IL2 results'!G14="",'Step2-Energy'!J11,'Insert IL2 results'!G14)</f>
        <v>Present?</v>
      </c>
      <c r="J7" s="427" t="str">
        <f>IF('Insert IL2 results'!H14="",'Step2-Energy'!K11,'Insert IL2 results'!H14)</f>
        <v>Present?</v>
      </c>
      <c r="K7" s="427" t="str">
        <f>IF('Insert IL2 results'!I14="",'Step2-Energy'!L11,'Insert IL2 results'!I14)</f>
        <v>Present?</v>
      </c>
      <c r="L7" s="263" t="str">
        <f>'Step2-Energy'!M11</f>
        <v>5.1.2.2</v>
      </c>
    </row>
    <row r="8" spans="1:12">
      <c r="A8" s="263" t="str">
        <f>'Step2-Energy'!A12</f>
        <v>Combustion/use of petroleum coke and heavy oil</v>
      </c>
      <c r="B8" s="268" t="str">
        <f>IF(OR('Step2-Energy'!B12=yes,'Step2-Energy'!B12=no,'Step2-Energy'!B12=que),'Step2-Energy'!B12,  pres)</f>
        <v>Present?</v>
      </c>
      <c r="C8" s="426">
        <f>'Step2-Energy'!C12</f>
        <v>0</v>
      </c>
      <c r="D8" s="263" t="str">
        <f>'Step2-Energy'!D12</f>
        <v>Oil product combusted, t/y</v>
      </c>
      <c r="E8" s="439" t="str">
        <f>IF('Insert IL2 results'!C15="",'Step2-Energy'!F12,'Insert IL2 results'!C15)</f>
        <v>Present?</v>
      </c>
      <c r="F8" s="427" t="str">
        <f>IF('Insert IL2 results'!D15="",'Step2-Energy'!G12,'Insert IL2 results'!D15)</f>
        <v>Present?</v>
      </c>
      <c r="G8" s="427" t="str">
        <f>IF('Insert IL2 results'!E15="",'Step2-Energy'!H12,'Insert IL2 results'!E15)</f>
        <v>Present?</v>
      </c>
      <c r="H8" s="427" t="str">
        <f>IF('Insert IL2 results'!F15="",'Step2-Energy'!I12,'Insert IL2 results'!F15)</f>
        <v>Present?</v>
      </c>
      <c r="I8" s="427" t="str">
        <f>IF('Insert IL2 results'!G15="",'Step2-Energy'!J12,'Insert IL2 results'!G15)</f>
        <v>Present?</v>
      </c>
      <c r="J8" s="427" t="str">
        <f>IF('Insert IL2 results'!H15="",'Step2-Energy'!K12,'Insert IL2 results'!H15)</f>
        <v>Present?</v>
      </c>
      <c r="K8" s="427" t="str">
        <f>IF('Insert IL2 results'!I15="",'Step2-Energy'!L12,'Insert IL2 results'!I15)</f>
        <v>Present?</v>
      </c>
      <c r="L8" s="263" t="str">
        <f>'Step2-Energy'!M12</f>
        <v>5.1.3</v>
      </c>
    </row>
    <row r="9" spans="1:12" ht="25">
      <c r="A9" s="263" t="str">
        <f>'Step2-Energy'!A15</f>
        <v>Combustion/use of diesel, gasoil, petroleum, kerosene, LPG and other light to medium distillates</v>
      </c>
      <c r="B9" s="268" t="str">
        <f>IF(OR('Step2-Energy'!B15=yes,'Step2-Energy'!B15=no,'Step2-Energy'!B15=que),'Step2-Energy'!B15,  pres)</f>
        <v>Present?</v>
      </c>
      <c r="C9" s="426">
        <f>'Step2-Energy'!C15</f>
        <v>0</v>
      </c>
      <c r="D9" s="263" t="str">
        <f>'Step2-Energy'!D15</f>
        <v>Oil product combusted, t/y</v>
      </c>
      <c r="E9" s="439" t="str">
        <f>IF('Insert IL2 results'!C16="",'Step2-Energy'!F15,'Insert IL2 results'!C16)</f>
        <v>Present?</v>
      </c>
      <c r="F9" s="427" t="str">
        <f>IF('Insert IL2 results'!D16="",'Step2-Energy'!G15,'Insert IL2 results'!D16)</f>
        <v>Present?</v>
      </c>
      <c r="G9" s="427" t="str">
        <f>IF('Insert IL2 results'!E16="",'Step2-Energy'!H15,'Insert IL2 results'!E16)</f>
        <v>Present?</v>
      </c>
      <c r="H9" s="427" t="str">
        <f>IF('Insert IL2 results'!F16="",'Step2-Energy'!I15,'Insert IL2 results'!F16)</f>
        <v>Present?</v>
      </c>
      <c r="I9" s="427" t="str">
        <f>IF('Insert IL2 results'!G16="",'Step2-Energy'!J15,'Insert IL2 results'!G16)</f>
        <v>Present?</v>
      </c>
      <c r="J9" s="427" t="str">
        <f>IF('Insert IL2 results'!H16="",'Step2-Energy'!K15,'Insert IL2 results'!H16)</f>
        <v>Present?</v>
      </c>
      <c r="K9" s="427" t="str">
        <f>IF('Insert IL2 results'!I16="",'Step2-Energy'!L15,'Insert IL2 results'!I16)</f>
        <v>Present?</v>
      </c>
      <c r="L9" s="263" t="str">
        <f>'Step2-Energy'!M15</f>
        <v>5.1.3</v>
      </c>
    </row>
    <row r="10" spans="1:12">
      <c r="A10" s="263" t="str">
        <f>'Step2-Energy'!A18</f>
        <v>Use of raw or pre-cleaned natural gas</v>
      </c>
      <c r="B10" s="268" t="str">
        <f>IF(OR('Step2-Energy'!B18=yes,'Step2-Energy'!B18=no,'Step2-Energy'!B18=que),'Step2-Energy'!B18,  pres)</f>
        <v>Present?</v>
      </c>
      <c r="C10" s="426">
        <f>'Step2-Energy'!C18</f>
        <v>0</v>
      </c>
      <c r="D10" s="263" t="str">
        <f>'Step2-Energy'!D18</f>
        <v>Gas used, Nm³/y</v>
      </c>
      <c r="E10" s="439" t="str">
        <f>IF('Insert IL2 results'!C17="",'Step2-Energy'!F18,'Insert IL2 results'!C17)</f>
        <v>Present?</v>
      </c>
      <c r="F10" s="427" t="str">
        <f>IF('Insert IL2 results'!D17="",'Step2-Energy'!G18,'Insert IL2 results'!D17)</f>
        <v>Present?</v>
      </c>
      <c r="G10" s="427" t="str">
        <f>IF('Insert IL2 results'!E17="",'Step2-Energy'!H18,'Insert IL2 results'!E17)</f>
        <v>Present?</v>
      </c>
      <c r="H10" s="427" t="str">
        <f>IF('Insert IL2 results'!F17="",'Step2-Energy'!I18,'Insert IL2 results'!F17)</f>
        <v>Present?</v>
      </c>
      <c r="I10" s="427" t="str">
        <f>IF('Insert IL2 results'!G17="",'Step2-Energy'!J18,'Insert IL2 results'!G17)</f>
        <v>Present?</v>
      </c>
      <c r="J10" s="427" t="str">
        <f>IF('Insert IL2 results'!H17="",'Step2-Energy'!K18,'Insert IL2 results'!H17)</f>
        <v>Present?</v>
      </c>
      <c r="K10" s="427" t="str">
        <f>IF('Insert IL2 results'!I17="",'Step2-Energy'!L18,'Insert IL2 results'!I17)</f>
        <v>Present?</v>
      </c>
      <c r="L10" s="263" t="str">
        <f>'Step2-Energy'!M18</f>
        <v>5.1.4</v>
      </c>
    </row>
    <row r="11" spans="1:12" ht="15.75" customHeight="1">
      <c r="A11" s="263" t="str">
        <f>'Step2-Energy'!A19</f>
        <v>Use of pipeline gas (consumer quality)</v>
      </c>
      <c r="B11" s="268" t="str">
        <f>IF(OR('Step2-Energy'!B19=yes,'Step2-Energy'!B19=no,'Step2-Energy'!B19=que),'Step2-Energy'!B19,  pres)</f>
        <v>Present?</v>
      </c>
      <c r="C11" s="426">
        <f>'Step2-Energy'!C19</f>
        <v>0</v>
      </c>
      <c r="D11" s="263" t="str">
        <f>'Step2-Energy'!D19</f>
        <v>Gas used, Nm³/y</v>
      </c>
      <c r="E11" s="439" t="str">
        <f>IF('Insert IL2 results'!C18="",'Step2-Energy'!F19,'Insert IL2 results'!C18)</f>
        <v>Present?</v>
      </c>
      <c r="F11" s="427" t="str">
        <f>IF('Insert IL2 results'!D18="",'Step2-Energy'!G19,'Insert IL2 results'!D18)</f>
        <v>Present?</v>
      </c>
      <c r="G11" s="427" t="str">
        <f>IF('Insert IL2 results'!E18="",'Step2-Energy'!H19,'Insert IL2 results'!E18)</f>
        <v>Present?</v>
      </c>
      <c r="H11" s="427" t="str">
        <f>IF('Insert IL2 results'!F18="",'Step2-Energy'!I19,'Insert IL2 results'!F18)</f>
        <v>Present?</v>
      </c>
      <c r="I11" s="427" t="str">
        <f>IF('Insert IL2 results'!G18="",'Step2-Energy'!J19,'Insert IL2 results'!G18)</f>
        <v>Present?</v>
      </c>
      <c r="J11" s="427" t="str">
        <f>IF('Insert IL2 results'!H18="",'Step2-Energy'!K19,'Insert IL2 results'!H18)</f>
        <v>Present?</v>
      </c>
      <c r="K11" s="427" t="str">
        <f>IF('Insert IL2 results'!I18="",'Step2-Energy'!L19,'Insert IL2 results'!I18)</f>
        <v>Present?</v>
      </c>
      <c r="L11" s="263" t="str">
        <f>'Step2-Energy'!M19</f>
        <v>5.1.4</v>
      </c>
    </row>
    <row r="12" spans="1:12">
      <c r="A12" s="263" t="str">
        <f>'Step2-Energy'!A20</f>
        <v>Biomass fired power and heat production</v>
      </c>
      <c r="B12" s="268" t="str">
        <f>IF(OR('Step2-Energy'!B20=yes,'Step2-Energy'!B20=no,'Step2-Energy'!B20=que),'Step2-Energy'!B20,  pres)</f>
        <v>Present?</v>
      </c>
      <c r="C12" s="426">
        <f>'Step2-Energy'!C20</f>
        <v>0</v>
      </c>
      <c r="D12" s="263" t="str">
        <f>'Step2-Energy'!D20</f>
        <v>Biomass combusted, t/y</v>
      </c>
      <c r="E12" s="439" t="str">
        <f>IF('Insert IL2 results'!C19="",'Step2-Energy'!F20,'Insert IL2 results'!C19)</f>
        <v>Present?</v>
      </c>
      <c r="F12" s="427" t="str">
        <f>IF('Insert IL2 results'!D19="",'Step2-Energy'!G20,'Insert IL2 results'!D19)</f>
        <v>Present?</v>
      </c>
      <c r="G12" s="427" t="str">
        <f>IF('Insert IL2 results'!E19="",'Step2-Energy'!H20,'Insert IL2 results'!E19)</f>
        <v>Present?</v>
      </c>
      <c r="H12" s="427" t="str">
        <f>IF('Insert IL2 results'!F19="",'Step2-Energy'!I20,'Insert IL2 results'!F19)</f>
        <v>Present?</v>
      </c>
      <c r="I12" s="427" t="str">
        <f>IF('Insert IL2 results'!G19="",'Step2-Energy'!J20,'Insert IL2 results'!G19)</f>
        <v>Present?</v>
      </c>
      <c r="J12" s="427" t="str">
        <f>IF('Insert IL2 results'!H19="",'Step2-Energy'!K20,'Insert IL2 results'!H19)</f>
        <v>Present?</v>
      </c>
      <c r="K12" s="427" t="str">
        <f>IF('Insert IL2 results'!I19="",'Step2-Energy'!L20,'Insert IL2 results'!I19)</f>
        <v>Present?</v>
      </c>
      <c r="L12" s="263" t="str">
        <f>'Step2-Energy'!M20</f>
        <v>5.1.6</v>
      </c>
    </row>
    <row r="13" spans="1:12">
      <c r="A13" s="263" t="str">
        <f>'Step2-Energy'!A21</f>
        <v>Charcoal combustion</v>
      </c>
      <c r="B13" s="268" t="str">
        <f>IF(OR('Step2-Energy'!B21=yes,'Step2-Energy'!B21=no,'Step2-Energy'!B21=que),'Step2-Energy'!B21,  pres)</f>
        <v>Present?</v>
      </c>
      <c r="C13" s="426">
        <f>'Step2-Energy'!C21</f>
        <v>0</v>
      </c>
      <c r="D13" s="263" t="str">
        <f>'Step2-Energy'!D21</f>
        <v>Charcoal combusted, t/y</v>
      </c>
      <c r="E13" s="439" t="str">
        <f>IF('Insert IL2 results'!C20="",'Step2-Energy'!F21,'Insert IL2 results'!C20)</f>
        <v>Present?</v>
      </c>
      <c r="F13" s="427" t="str">
        <f>IF('Insert IL2 results'!D20="",'Step2-Energy'!G21,'Insert IL2 results'!D20)</f>
        <v>Present?</v>
      </c>
      <c r="G13" s="427" t="str">
        <f>IF('Insert IL2 results'!E20="",'Step2-Energy'!H21,'Insert IL2 results'!E20)</f>
        <v>Present?</v>
      </c>
      <c r="H13" s="427" t="str">
        <f>IF('Insert IL2 results'!F20="",'Step2-Energy'!I21,'Insert IL2 results'!F20)</f>
        <v>Present?</v>
      </c>
      <c r="I13" s="427" t="str">
        <f>IF('Insert IL2 results'!G20="",'Step2-Energy'!J21,'Insert IL2 results'!G20)</f>
        <v>Present?</v>
      </c>
      <c r="J13" s="427" t="str">
        <f>IF('Insert IL2 results'!H20="",'Step2-Energy'!K21,'Insert IL2 results'!H20)</f>
        <v>Present?</v>
      </c>
      <c r="K13" s="427" t="str">
        <f>IF('Insert IL2 results'!I20="",'Step2-Energy'!L21,'Insert IL2 results'!I20)</f>
        <v>Present?</v>
      </c>
      <c r="L13" s="263" t="str">
        <f>'Step2-Energy'!M21</f>
        <v>5.1.6</v>
      </c>
    </row>
    <row r="14" spans="1:12" ht="13">
      <c r="A14" s="393" t="str">
        <f>'Step2-Energy'!A23</f>
        <v>Fuel production</v>
      </c>
      <c r="B14" s="304"/>
      <c r="C14" s="424"/>
      <c r="D14" s="371"/>
      <c r="E14" s="371"/>
      <c r="F14" s="371"/>
      <c r="G14" s="425"/>
      <c r="H14" s="425"/>
      <c r="I14" s="425"/>
      <c r="J14" s="425"/>
      <c r="K14" s="425"/>
      <c r="L14" s="371"/>
    </row>
    <row r="15" spans="1:12">
      <c r="A15" s="263" t="str">
        <f>'Step2-Energy'!A24</f>
        <v>Oil extraction</v>
      </c>
      <c r="B15" s="268" t="str">
        <f>IF(OR('Step2-Energy'!B24=yes,'Step2-Energy'!B24=no,'Step2-Energy'!B24=que),'Step2-Energy'!B24,  pres)</f>
        <v>Present?</v>
      </c>
      <c r="C15" s="426">
        <f>'Step2-Energy'!C24</f>
        <v>0</v>
      </c>
      <c r="D15" s="263" t="str">
        <f>'Step2-Energy'!D24</f>
        <v>Crude oil produced, t/y</v>
      </c>
      <c r="E15" s="439" t="str">
        <f>IF('Insert IL2 results'!C22="",'Step2-Energy'!F24,'Insert IL2 results'!C22)</f>
        <v>Present?</v>
      </c>
      <c r="F15" s="427" t="str">
        <f>IF('Insert IL2 results'!D22="",'Step2-Energy'!G24,'Insert IL2 results'!D22)</f>
        <v>Present?</v>
      </c>
      <c r="G15" s="427" t="str">
        <f>IF('Insert IL2 results'!E22="",'Step2-Energy'!H24,'Insert IL2 results'!E22)</f>
        <v>Present?</v>
      </c>
      <c r="H15" s="427" t="str">
        <f>IF('Insert IL2 results'!F22="",'Step2-Energy'!I24,'Insert IL2 results'!F22)</f>
        <v>Present?</v>
      </c>
      <c r="I15" s="427" t="str">
        <f>IF('Insert IL2 results'!G22="",'Step2-Energy'!J24,'Insert IL2 results'!G22)</f>
        <v>Present?</v>
      </c>
      <c r="J15" s="427" t="str">
        <f>IF('Insert IL2 results'!H22="",'Step2-Energy'!K24,'Insert IL2 results'!H22)</f>
        <v>Present?</v>
      </c>
      <c r="K15" s="427" t="str">
        <f>IF('Insert IL2 results'!I22="",'Step2-Energy'!L24,'Insert IL2 results'!I22)</f>
        <v>Present?</v>
      </c>
      <c r="L15" s="263" t="str">
        <f>'Step2-Energy'!M24</f>
        <v>5.1.3</v>
      </c>
    </row>
    <row r="16" spans="1:12">
      <c r="A16" s="263" t="str">
        <f>'Step2-Energy'!A25</f>
        <v>Oil refining</v>
      </c>
      <c r="B16" s="268" t="str">
        <f>IF(OR('Step2-Energy'!B25=yes,'Step2-Energy'!B25=no,'Step2-Energy'!B25=que),'Step2-Energy'!B25,  pres)</f>
        <v>Present?</v>
      </c>
      <c r="C16" s="426">
        <f>'Step2-Energy'!C25</f>
        <v>0</v>
      </c>
      <c r="D16" s="263" t="str">
        <f>'Step2-Energy'!D25</f>
        <v>Crude oil refined, t/y</v>
      </c>
      <c r="E16" s="439" t="str">
        <f>IF('Insert IL2 results'!C23="",'Step2-Energy'!F25,'Insert IL2 results'!C23)</f>
        <v>Present?</v>
      </c>
      <c r="F16" s="427" t="str">
        <f>IF('Insert IL2 results'!D23="",'Step2-Energy'!G25,'Insert IL2 results'!D23)</f>
        <v>Present?</v>
      </c>
      <c r="G16" s="427" t="str">
        <f>IF('Insert IL2 results'!E23="",'Step2-Energy'!H25,'Insert IL2 results'!E23)</f>
        <v>Present?</v>
      </c>
      <c r="H16" s="427" t="str">
        <f>IF('Insert IL2 results'!F23="",'Step2-Energy'!I25,'Insert IL2 results'!F23)</f>
        <v>Present?</v>
      </c>
      <c r="I16" s="427" t="str">
        <f>IF('Insert IL2 results'!G23="",'Step2-Energy'!J25,'Insert IL2 results'!G23)</f>
        <v>Present?</v>
      </c>
      <c r="J16" s="427" t="str">
        <f>IF('Insert IL2 results'!H23="",'Step2-Energy'!K25,'Insert IL2 results'!H23)</f>
        <v>Present?</v>
      </c>
      <c r="K16" s="427" t="str">
        <f>IF('Insert IL2 results'!I23="",'Step2-Energy'!L25,'Insert IL2 results'!I23)</f>
        <v>Present?</v>
      </c>
      <c r="L16" s="263" t="str">
        <f>'Step2-Energy'!M25</f>
        <v>5.1.3</v>
      </c>
    </row>
    <row r="17" spans="1:12">
      <c r="A17" s="263" t="str">
        <f>'Step2-Energy'!A26</f>
        <v>Extraction and processing of natural gas</v>
      </c>
      <c r="B17" s="268" t="str">
        <f>IF(OR('Step2-Energy'!B26=yes,'Step2-Energy'!B26=no,'Step2-Energy'!B26=que),'Step2-Energy'!B26,  pres)</f>
        <v>Present?</v>
      </c>
      <c r="C17" s="426">
        <f>'Step2-Energy'!C26</f>
        <v>0</v>
      </c>
      <c r="D17" s="263" t="str">
        <f>'Step2-Energy'!D26</f>
        <v>Gas produced, Nm³/y</v>
      </c>
      <c r="E17" s="439" t="str">
        <f>IF('Insert IL2 results'!C24="",'Step2-Energy'!F26,'Insert IL2 results'!C24)</f>
        <v>Present?</v>
      </c>
      <c r="F17" s="427" t="str">
        <f>IF('Insert IL2 results'!D24="",'Step2-Energy'!G26,'Insert IL2 results'!D24)</f>
        <v>Present?</v>
      </c>
      <c r="G17" s="427" t="str">
        <f>IF('Insert IL2 results'!E24="",'Step2-Energy'!H26,'Insert IL2 results'!E24)</f>
        <v>Present?</v>
      </c>
      <c r="H17" s="427" t="str">
        <f>IF('Insert IL2 results'!F24="",'Step2-Energy'!I26,'Insert IL2 results'!F24)</f>
        <v>Present?</v>
      </c>
      <c r="I17" s="427" t="str">
        <f>IF('Insert IL2 results'!G24="",'Step2-Energy'!J26,'Insert IL2 results'!G24)</f>
        <v>Present?</v>
      </c>
      <c r="J17" s="427" t="str">
        <f>IF('Insert IL2 results'!H24="",'Step2-Energy'!K26,'Insert IL2 results'!H24)</f>
        <v>Present?</v>
      </c>
      <c r="K17" s="427" t="str">
        <f>IF('Insert IL2 results'!I24="",'Step2-Energy'!L26,'Insert IL2 results'!I24)</f>
        <v>Present?</v>
      </c>
      <c r="L17" s="263" t="str">
        <f>'Step2-Energy'!M26</f>
        <v>5.1.4</v>
      </c>
    </row>
    <row r="18" spans="1:12" ht="13">
      <c r="A18" s="393" t="str">
        <f>'Step3-Metals-RawMat'!A5</f>
        <v>Primary metal production</v>
      </c>
      <c r="B18" s="304"/>
      <c r="C18" s="424"/>
      <c r="D18" s="371"/>
      <c r="E18" s="371"/>
      <c r="F18" s="425"/>
      <c r="G18" s="425"/>
      <c r="H18" s="425"/>
      <c r="I18" s="425"/>
      <c r="J18" s="425"/>
      <c r="K18" s="425"/>
      <c r="L18" s="371"/>
    </row>
    <row r="19" spans="1:12">
      <c r="A19" s="263" t="str">
        <f>'Step3-Metals-RawMat'!A6</f>
        <v>Mercury (primary) extraction and initial processing</v>
      </c>
      <c r="B19" s="268" t="str">
        <f>IF(OR('Step3-Metals-RawMat'!B6=yes,'Step3-Metals-RawMat'!B6=no,'Step3-Metals-RawMat'!B6=que),'Step3-Metals-RawMat'!B6,  pres)</f>
        <v>Present?</v>
      </c>
      <c r="C19" s="426">
        <f>'Step3-Metals-RawMat'!C6</f>
        <v>0</v>
      </c>
      <c r="D19" s="263" t="str">
        <f>'Step3-Metals-RawMat'!D6</f>
        <v>Mercury produced, t/y</v>
      </c>
      <c r="E19" s="439" t="str">
        <f>IF('Insert IL2 results'!C26="",'Step3-Metals-RawMat'!F6,'Insert IL2 results'!C26)</f>
        <v>Present?</v>
      </c>
      <c r="F19" s="427" t="str">
        <f>IF('Insert IL2 results'!D26="",'Step3-Metals-RawMat'!G6,'Insert IL2 results'!D26)</f>
        <v>Present?</v>
      </c>
      <c r="G19" s="427" t="str">
        <f>IF('Insert IL2 results'!E26="",'Step3-Metals-RawMat'!H6,'Insert IL2 results'!E26)</f>
        <v>Present?</v>
      </c>
      <c r="H19" s="427" t="str">
        <f>IF('Insert IL2 results'!F26="",'Step3-Metals-RawMat'!I6,'Insert IL2 results'!F26)</f>
        <v>Present?</v>
      </c>
      <c r="I19" s="427" t="str">
        <f>IF('Insert IL2 results'!G26="",'Step3-Metals-RawMat'!J6,'Insert IL2 results'!G26)</f>
        <v>Present?</v>
      </c>
      <c r="J19" s="427" t="str">
        <f>IF('Insert IL2 results'!H26="",'Step3-Metals-RawMat'!K6,'Insert IL2 results'!H26)</f>
        <v>Present?</v>
      </c>
      <c r="K19" s="427" t="str">
        <f>IF('Insert IL2 results'!I26="",'Step3-Metals-RawMat'!L6,'Insert IL2 results'!I26)</f>
        <v>Present?</v>
      </c>
      <c r="L19" s="263" t="str">
        <f>'Step3-Metals-RawMat'!M6</f>
        <v>5.2.1</v>
      </c>
    </row>
    <row r="20" spans="1:12">
      <c r="A20" s="263" t="str">
        <f>'Step3-Metals-RawMat'!A7</f>
        <v>Production of zinc from concentrates</v>
      </c>
      <c r="B20" s="268" t="str">
        <f>IF(OR('Step3-Metals-RawMat'!B7=yes,'Step3-Metals-RawMat'!B7=no,'Step3-Metals-RawMat'!B7=que),'Step3-Metals-RawMat'!B7,  pres)</f>
        <v>Present?</v>
      </c>
      <c r="C20" s="426">
        <f>'Step3-Metals-RawMat'!C7</f>
        <v>0</v>
      </c>
      <c r="D20" s="263" t="str">
        <f>'Step3-Metals-RawMat'!D7</f>
        <v>Concentrate used, t/y</v>
      </c>
      <c r="E20" s="439" t="str">
        <f>IF('Insert IL2 results'!C27="",'Step3-Metals-RawMat'!F7,'Insert IL2 results'!C27)</f>
        <v>Present?</v>
      </c>
      <c r="F20" s="427" t="str">
        <f>IF('Insert IL2 results'!D27="",'Step3-Metals-RawMat'!G7,'Insert IL2 results'!D27)</f>
        <v>Present?</v>
      </c>
      <c r="G20" s="427" t="str">
        <f>IF('Insert IL2 results'!E27="",'Step3-Metals-RawMat'!H7,'Insert IL2 results'!E27)</f>
        <v>Present?</v>
      </c>
      <c r="H20" s="427" t="str">
        <f>IF('Insert IL2 results'!F27="",'Step3-Metals-RawMat'!I7,'Insert IL2 results'!F27)</f>
        <v>Present?</v>
      </c>
      <c r="I20" s="427" t="str">
        <f>IF('Insert IL2 results'!G27="",'Step3-Metals-RawMat'!J7,'Insert IL2 results'!G27)</f>
        <v>Present?</v>
      </c>
      <c r="J20" s="427" t="str">
        <f>IF('Insert IL2 results'!H27="",'Step3-Metals-RawMat'!K7,'Insert IL2 results'!H27)</f>
        <v>Present?</v>
      </c>
      <c r="K20" s="427" t="str">
        <f>IF('Insert IL2 results'!I27="",'Step3-Metals-RawMat'!L7,'Insert IL2 results'!I27)</f>
        <v>Present?</v>
      </c>
      <c r="L20" s="263" t="str">
        <f>'Step3-Metals-RawMat'!M7</f>
        <v>5.2.3</v>
      </c>
    </row>
    <row r="21" spans="1:12">
      <c r="A21" s="263" t="str">
        <f>'Step3-Metals-RawMat'!A10</f>
        <v>Production of copper from concentrates</v>
      </c>
      <c r="B21" s="268" t="str">
        <f>IF(OR('Step3-Metals-RawMat'!B10=yes,'Step3-Metals-RawMat'!B10=no,'Step3-Metals-RawMat'!B10=que),'Step3-Metals-RawMat'!B10,  pres)</f>
        <v>Present?</v>
      </c>
      <c r="C21" s="426">
        <f>'Step3-Metals-RawMat'!C10</f>
        <v>0</v>
      </c>
      <c r="D21" s="263" t="str">
        <f>'Step3-Metals-RawMat'!D10</f>
        <v>Concentrate used, t/y</v>
      </c>
      <c r="E21" s="439" t="str">
        <f>IF('Insert IL2 results'!C28="",'Step3-Metals-RawMat'!F10,'Insert IL2 results'!C28)</f>
        <v>Present?</v>
      </c>
      <c r="F21" s="427" t="str">
        <f>IF('Insert IL2 results'!D28="",'Step3-Metals-RawMat'!G10,'Insert IL2 results'!D28)</f>
        <v>Present?</v>
      </c>
      <c r="G21" s="427" t="str">
        <f>IF('Insert IL2 results'!E28="",'Step3-Metals-RawMat'!H10,'Insert IL2 results'!E28)</f>
        <v>Present?</v>
      </c>
      <c r="H21" s="427" t="str">
        <f>IF('Insert IL2 results'!F28="",'Step3-Metals-RawMat'!I10,'Insert IL2 results'!F28)</f>
        <v>Present?</v>
      </c>
      <c r="I21" s="427" t="str">
        <f>IF('Insert IL2 results'!G28="",'Step3-Metals-RawMat'!J10,'Insert IL2 results'!G28)</f>
        <v>Present?</v>
      </c>
      <c r="J21" s="427" t="str">
        <f>IF('Insert IL2 results'!H28="",'Step3-Metals-RawMat'!K10,'Insert IL2 results'!H28)</f>
        <v>Present?</v>
      </c>
      <c r="K21" s="427" t="str">
        <f>IF('Insert IL2 results'!I28="",'Step3-Metals-RawMat'!L10,'Insert IL2 results'!I28)</f>
        <v>Present?</v>
      </c>
      <c r="L21" s="263" t="str">
        <f>'Step3-Metals-RawMat'!M10</f>
        <v>5.2.4</v>
      </c>
    </row>
    <row r="22" spans="1:12">
      <c r="A22" s="263" t="str">
        <f>'Step3-Metals-RawMat'!A13</f>
        <v>Production of lead from concentrates</v>
      </c>
      <c r="B22" s="268" t="str">
        <f>IF(OR('Step3-Metals-RawMat'!B13=yes,'Step3-Metals-RawMat'!B13=no,'Step3-Metals-RawMat'!B13=que),'Step3-Metals-RawMat'!B13,  pres)</f>
        <v>Present?</v>
      </c>
      <c r="C22" s="426">
        <f>'Step3-Metals-RawMat'!C13</f>
        <v>0</v>
      </c>
      <c r="D22" s="263" t="str">
        <f>'Step3-Metals-RawMat'!D13</f>
        <v>Concentrate used, t/y</v>
      </c>
      <c r="E22" s="439" t="str">
        <f>IF('Insert IL2 results'!C29="",'Step3-Metals-RawMat'!F13,'Insert IL2 results'!C29)</f>
        <v>Present?</v>
      </c>
      <c r="F22" s="427" t="str">
        <f>IF('Insert IL2 results'!D29="",'Step3-Metals-RawMat'!G13,'Insert IL2 results'!D29)</f>
        <v>Present?</v>
      </c>
      <c r="G22" s="427" t="str">
        <f>IF('Insert IL2 results'!E29="",'Step3-Metals-RawMat'!H13,'Insert IL2 results'!E29)</f>
        <v>Present?</v>
      </c>
      <c r="H22" s="427" t="str">
        <f>IF('Insert IL2 results'!F29="",'Step3-Metals-RawMat'!I13,'Insert IL2 results'!F29)</f>
        <v>Present?</v>
      </c>
      <c r="I22" s="427" t="str">
        <f>IF('Insert IL2 results'!G29="",'Step3-Metals-RawMat'!J13,'Insert IL2 results'!G29)</f>
        <v>Present?</v>
      </c>
      <c r="J22" s="427" t="str">
        <f>IF('Insert IL2 results'!H29="",'Step3-Metals-RawMat'!K13,'Insert IL2 results'!H29)</f>
        <v>Present?</v>
      </c>
      <c r="K22" s="427" t="str">
        <f>IF('Insert IL2 results'!I29="",'Step3-Metals-RawMat'!L13,'Insert IL2 results'!I29)</f>
        <v>Present?</v>
      </c>
      <c r="L22" s="263" t="str">
        <f>'Step3-Metals-RawMat'!M13</f>
        <v>5.2.5</v>
      </c>
    </row>
    <row r="23" spans="1:12" ht="25">
      <c r="A23" s="263" t="str">
        <f>'Step3-Metals-RawMat'!A16</f>
        <v>Gold extraction by methods other than mercury amalgamation</v>
      </c>
      <c r="B23" s="268" t="str">
        <f>IF(OR('Step3-Metals-RawMat'!B16=yes,'Step3-Metals-RawMat'!B16=no,'Step3-Metals-RawMat'!B16=que),'Step3-Metals-RawMat'!B16,  pres)</f>
        <v>Present?</v>
      </c>
      <c r="C23" s="426">
        <f>'Step3-Metals-RawMat'!C16</f>
        <v>0</v>
      </c>
      <c r="D23" s="263" t="str">
        <f>'Step3-Metals-RawMat'!D16</f>
        <v>Gold ore used, t/y</v>
      </c>
      <c r="E23" s="439" t="str">
        <f>IF('Insert IL2 results'!C30="",'Step3-Metals-RawMat'!F16,'Insert IL2 results'!C30)</f>
        <v>Present?</v>
      </c>
      <c r="F23" s="427" t="str">
        <f>IF('Insert IL2 results'!D30="",'Step3-Metals-RawMat'!G16,'Insert IL2 results'!D30)</f>
        <v>Present?</v>
      </c>
      <c r="G23" s="427" t="str">
        <f>IF('Insert IL2 results'!E30="",'Step3-Metals-RawMat'!H16,'Insert IL2 results'!E30)</f>
        <v>Present?</v>
      </c>
      <c r="H23" s="427" t="str">
        <f>IF('Insert IL2 results'!F30="",'Step3-Metals-RawMat'!I16,'Insert IL2 results'!F30)</f>
        <v>Present?</v>
      </c>
      <c r="I23" s="427" t="str">
        <f>IF('Insert IL2 results'!G30="",'Step3-Metals-RawMat'!J16,'Insert IL2 results'!G30)</f>
        <v>Present?</v>
      </c>
      <c r="J23" s="427" t="str">
        <f>IF('Insert IL2 results'!H30="",'Step3-Metals-RawMat'!K16,'Insert IL2 results'!H30)</f>
        <v>Present?</v>
      </c>
      <c r="K23" s="427" t="str">
        <f>IF('Insert IL2 results'!I30="",'Step3-Metals-RawMat'!L16,'Insert IL2 results'!I30)</f>
        <v>Present?</v>
      </c>
      <c r="L23" s="263" t="str">
        <f>'Step3-Metals-RawMat'!M16</f>
        <v>5.2.6</v>
      </c>
    </row>
    <row r="24" spans="1:12">
      <c r="A24" s="263" t="str">
        <f>'Step3-Metals-RawMat'!A17</f>
        <v>Alumina production from bauxite (aluminium production)</v>
      </c>
      <c r="B24" s="268" t="str">
        <f>IF(OR('Step3-Metals-RawMat'!B17=yes,'Step3-Metals-RawMat'!B17=no,'Step3-Metals-RawMat'!B17=que),'Step3-Metals-RawMat'!B17,  pres)</f>
        <v>Present?</v>
      </c>
      <c r="C24" s="426">
        <f>'Step3-Metals-RawMat'!C17</f>
        <v>0</v>
      </c>
      <c r="D24" s="263" t="str">
        <f>'Step3-Metals-RawMat'!D17</f>
        <v>Bauxit processed, t/y</v>
      </c>
      <c r="E24" s="439" t="str">
        <f>IF('Insert IL2 results'!C31="",'Step3-Metals-RawMat'!F17,'Insert IL2 results'!C31)</f>
        <v>Present?</v>
      </c>
      <c r="F24" s="427" t="str">
        <f>IF('Insert IL2 results'!D31="",'Step3-Metals-RawMat'!G17,'Insert IL2 results'!D31)</f>
        <v>Present?</v>
      </c>
      <c r="G24" s="427" t="str">
        <f>IF('Insert IL2 results'!E31="",'Step3-Metals-RawMat'!H17,'Insert IL2 results'!E31)</f>
        <v>Present?</v>
      </c>
      <c r="H24" s="427" t="str">
        <f>IF('Insert IL2 results'!F31="",'Step3-Metals-RawMat'!I17,'Insert IL2 results'!F31)</f>
        <v>Present?</v>
      </c>
      <c r="I24" s="427" t="str">
        <f>IF('Insert IL2 results'!G31="",'Step3-Metals-RawMat'!J17,'Insert IL2 results'!G31)</f>
        <v>Present?</v>
      </c>
      <c r="J24" s="427" t="str">
        <f>IF('Insert IL2 results'!H31="",'Step3-Metals-RawMat'!K17,'Insert IL2 results'!H31)</f>
        <v>Present?</v>
      </c>
      <c r="K24" s="427" t="str">
        <f>IF('Insert IL2 results'!I31="",'Step3-Metals-RawMat'!L17,'Insert IL2 results'!I31)</f>
        <v>Present?</v>
      </c>
      <c r="L24" s="263" t="str">
        <f>'Step3-Metals-RawMat'!M17</f>
        <v>5.2.7</v>
      </c>
    </row>
    <row r="25" spans="1:12" ht="27.75" customHeight="1">
      <c r="A25" s="263" t="str">
        <f>'Step3-Metals-RawMat'!A18</f>
        <v>Primary ferrous metal production (pig iron production)</v>
      </c>
      <c r="B25" s="268" t="str">
        <f>IF(OR('Step3-Metals-RawMat'!B18=yes,'Step3-Metals-RawMat'!B18=no,'Step3-Metals-RawMat'!B18=que),'Step3-Metals-RawMat'!B18,  pres)</f>
        <v>Present?</v>
      </c>
      <c r="C25" s="426">
        <f>'Step3-Metals-RawMat'!C18</f>
        <v>0</v>
      </c>
      <c r="D25" s="263" t="str">
        <f>'Step3-Metals-RawMat'!D18</f>
        <v>Pig iron produced, t/y</v>
      </c>
      <c r="E25" s="439" t="str">
        <f>IF('Insert IL2 results'!C32="",'Step3-Metals-RawMat'!F18,'Insert IL2 results'!C32)</f>
        <v>Present?</v>
      </c>
      <c r="F25" s="427" t="str">
        <f>IF('Insert IL2 results'!D32="",'Step3-Metals-RawMat'!G18,'Insert IL2 results'!D32)</f>
        <v>Present?</v>
      </c>
      <c r="G25" s="427" t="str">
        <f>IF('Insert IL2 results'!E32="",'Step3-Metals-RawMat'!H18,'Insert IL2 results'!E32)</f>
        <v>Present?</v>
      </c>
      <c r="H25" s="427" t="str">
        <f>IF('Insert IL2 results'!F32="",'Step3-Metals-RawMat'!I18,'Insert IL2 results'!F32)</f>
        <v>Present?</v>
      </c>
      <c r="I25" s="427" t="str">
        <f>IF('Insert IL2 results'!G32="",'Step3-Metals-RawMat'!J18,'Insert IL2 results'!G32)</f>
        <v>Present?</v>
      </c>
      <c r="J25" s="427" t="str">
        <f>IF('Insert IL2 results'!H32="",'Step3-Metals-RawMat'!K18,'Insert IL2 results'!H32)</f>
        <v>Present?</v>
      </c>
      <c r="K25" s="427" t="str">
        <f>IF('Insert IL2 results'!I32="",'Step3-Metals-RawMat'!L18,'Insert IL2 results'!I32)</f>
        <v>Present?</v>
      </c>
      <c r="L25" s="263" t="str">
        <f>'Step3-Metals-RawMat'!M18</f>
        <v>5.2.9</v>
      </c>
    </row>
    <row r="26" spans="1:12" ht="25">
      <c r="A26" s="263" t="str">
        <f>'Step3-Metals-RawMat'!A19</f>
        <v>Gold extraction with mercury amalgamation - from whole ore</v>
      </c>
      <c r="B26" s="268" t="str">
        <f>IF(OR('Step3-Metals-RawMat'!B19=yes,'Step3-Metals-RawMat'!B19=no,'Step3-Metals-RawMat'!B19=que),'Step3-Metals-RawMat'!B19,  pres)</f>
        <v>Present?</v>
      </c>
      <c r="C26" s="426">
        <f>'Step3-Metals-RawMat'!C19</f>
        <v>0</v>
      </c>
      <c r="D26" s="263" t="str">
        <f>'Step3-Metals-RawMat'!D19</f>
        <v>Gold produced, kg/y</v>
      </c>
      <c r="E26" s="439" t="str">
        <f>IF('Insert IL2 results'!C33="",'Step3-Metals-RawMat'!F19,'Insert IL2 results'!C33)</f>
        <v>Present?</v>
      </c>
      <c r="F26" s="427" t="str">
        <f>IF('Insert IL2 results'!D33="",'Step3-Metals-RawMat'!G19,'Insert IL2 results'!D33)</f>
        <v>Present?</v>
      </c>
      <c r="G26" s="427" t="str">
        <f>IF('Insert IL2 results'!E33="",'Step3-Metals-RawMat'!H19,'Insert IL2 results'!E33)</f>
        <v>Present?</v>
      </c>
      <c r="H26" s="427" t="str">
        <f>IF('Insert IL2 results'!F33="",'Step3-Metals-RawMat'!I19,'Insert IL2 results'!F33)</f>
        <v>Present?</v>
      </c>
      <c r="I26" s="427" t="str">
        <f>IF('Insert IL2 results'!G33="",'Step3-Metals-RawMat'!J19,'Insert IL2 results'!G33)</f>
        <v>Present?</v>
      </c>
      <c r="J26" s="427" t="str">
        <f>IF('Insert IL2 results'!H33="",'Step3-Metals-RawMat'!K19,'Insert IL2 results'!H33)</f>
        <v>Present?</v>
      </c>
      <c r="K26" s="427" t="str">
        <f>IF('Insert IL2 results'!I33="",'Step3-Metals-RawMat'!L19,'Insert IL2 results'!I33)</f>
        <v>Present?</v>
      </c>
      <c r="L26" s="263" t="str">
        <f>'Step3-Metals-RawMat'!M19</f>
        <v>5.2.2</v>
      </c>
    </row>
    <row r="27" spans="1:12" ht="25">
      <c r="A27" s="263" t="str">
        <f>'Step3-Metals-RawMat'!A22</f>
        <v>Gold extraction with mercury amalgamation - from concentrate</v>
      </c>
      <c r="B27" s="268" t="str">
        <f>IF(OR('Step3-Metals-RawMat'!B22=yes,'Step3-Metals-RawMat'!B22=no,'Step3-Metals-RawMat'!B22=que),'Step3-Metals-RawMat'!B22,  pres)</f>
        <v>Present?</v>
      </c>
      <c r="C27" s="426">
        <f>'Step3-Metals-RawMat'!C22</f>
        <v>0</v>
      </c>
      <c r="D27" s="263" t="str">
        <f>'Step3-Metals-RawMat'!D22</f>
        <v>Gold produced, kg/y</v>
      </c>
      <c r="E27" s="439" t="str">
        <f>IF('Insert IL2 results'!C34="",'Step3-Metals-RawMat'!F22,'Insert IL2 results'!C34)</f>
        <v>Present?</v>
      </c>
      <c r="F27" s="427" t="str">
        <f>IF('Insert IL2 results'!D34="",'Step3-Metals-RawMat'!G22,'Insert IL2 results'!D34)</f>
        <v>Present?</v>
      </c>
      <c r="G27" s="427" t="str">
        <f>IF('Insert IL2 results'!E34="",'Step3-Metals-RawMat'!H22,'Insert IL2 results'!E34)</f>
        <v>Present?</v>
      </c>
      <c r="H27" s="427" t="str">
        <f>IF('Insert IL2 results'!F34="",'Step3-Metals-RawMat'!I22,'Insert IL2 results'!F34)</f>
        <v>Present?</v>
      </c>
      <c r="I27" s="427" t="str">
        <f>IF('Insert IL2 results'!G34="",'Step3-Metals-RawMat'!J22,'Insert IL2 results'!G34)</f>
        <v>Present?</v>
      </c>
      <c r="J27" s="427" t="str">
        <f>IF('Insert IL2 results'!H34="",'Step3-Metals-RawMat'!K22,'Insert IL2 results'!H34)</f>
        <v>Present?</v>
      </c>
      <c r="K27" s="427" t="str">
        <f>IF('Insert IL2 results'!I34="",'Step3-Metals-RawMat'!L22,'Insert IL2 results'!I34)</f>
        <v>Present?</v>
      </c>
      <c r="L27" s="263" t="str">
        <f>'Step3-Metals-RawMat'!M22</f>
        <v>5.2.2</v>
      </c>
    </row>
    <row r="28" spans="1:12" ht="17.25" customHeight="1">
      <c r="A28" s="393" t="str">
        <f>'Step3-Metals-RawMat'!A25</f>
        <v>Other materials production</v>
      </c>
      <c r="B28" s="304"/>
      <c r="C28" s="424"/>
      <c r="D28" s="371"/>
      <c r="E28" s="371"/>
      <c r="F28" s="371"/>
      <c r="G28" s="371"/>
      <c r="H28" s="371"/>
      <c r="I28" s="371"/>
      <c r="J28" s="371"/>
      <c r="K28" s="371"/>
      <c r="L28" s="371"/>
    </row>
    <row r="29" spans="1:12" ht="25">
      <c r="A29" s="662" t="s">
        <v>1259</v>
      </c>
      <c r="B29" s="268" t="str">
        <f>IF(OR('Step3-Metals-RawMat'!B26=yes,'Step3-Metals-RawMat'!B26=no,'Step3-Metals-RawMat'!B26=que),'Step3-Metals-RawMat'!B26,  pres)</f>
        <v>Present?</v>
      </c>
      <c r="C29" s="426">
        <f>'Step3-Metals-RawMat'!C26</f>
        <v>0</v>
      </c>
      <c r="D29" s="263" t="str">
        <f>'Step3-Metals-RawMat'!D26</f>
        <v>Cement produced from nationally produced clinker, t/y</v>
      </c>
      <c r="E29" s="439" t="str">
        <f>IF('Insert IL2 results'!C36="",'Step3-Metals-RawMat'!F26,'Insert IL2 results'!C36)</f>
        <v>Present?</v>
      </c>
      <c r="F29" s="427" t="str">
        <f>IF('Insert IL2 results'!D36="",'Step3-Metals-RawMat'!G26,'Insert IL2 results'!D36)</f>
        <v>Present?</v>
      </c>
      <c r="G29" s="427" t="str">
        <f>IF('Insert IL2 results'!E36="",'Step3-Metals-RawMat'!H26,'Insert IL2 results'!E36)</f>
        <v>Present?</v>
      </c>
      <c r="H29" s="427" t="str">
        <f>IF('Insert IL2 results'!F36="",'Step3-Metals-RawMat'!I26,'Insert IL2 results'!F36)</f>
        <v>Present?</v>
      </c>
      <c r="I29" s="427" t="str">
        <f>IF('Insert IL2 results'!G36="",'Step3-Metals-RawMat'!J26,'Insert IL2 results'!G36)</f>
        <v>Present?</v>
      </c>
      <c r="J29" s="427" t="str">
        <f>IF('Insert IL2 results'!H36="",'Step3-Metals-RawMat'!K26,'Insert IL2 results'!H36)</f>
        <v>Present?</v>
      </c>
      <c r="K29" s="427" t="str">
        <f>IF('Insert IL2 results'!I36="",'Step3-Metals-RawMat'!L26,'Insert IL2 results'!I36)</f>
        <v>Present?</v>
      </c>
      <c r="L29" s="263" t="str">
        <f>'Step3-Metals-RawMat'!M26</f>
        <v>5.3.1</v>
      </c>
    </row>
    <row r="30" spans="1:12">
      <c r="A30" s="263" t="str">
        <f>'Step3-Metals-RawMat'!A31</f>
        <v>Pulp and paper production</v>
      </c>
      <c r="B30" s="268" t="str">
        <f>IF(OR('Step3-Metals-RawMat'!B31=yes,'Step3-Metals-RawMat'!B31=no,'Step3-Metals-RawMat'!B31=que),'Step3-Metals-RawMat'!B31,  pres)</f>
        <v>Present?</v>
      </c>
      <c r="C30" s="426">
        <f>'Step3-Metals-RawMat'!C31</f>
        <v>0</v>
      </c>
      <c r="D30" s="263" t="str">
        <f>'Step3-Metals-RawMat'!D31</f>
        <v>Biomass used for production, t/y</v>
      </c>
      <c r="E30" s="439" t="str">
        <f>IF('Insert IL2 results'!C37="",'Step3-Metals-RawMat'!F31,'Insert IL2 results'!C37)</f>
        <v>Present?</v>
      </c>
      <c r="F30" s="427" t="str">
        <f>IF('Insert IL2 results'!D37="",'Step3-Metals-RawMat'!G31,'Insert IL2 results'!D37)</f>
        <v>Present?</v>
      </c>
      <c r="G30" s="427" t="str">
        <f>IF('Insert IL2 results'!E37="",'Step3-Metals-RawMat'!H31,'Insert IL2 results'!E37)</f>
        <v>Present?</v>
      </c>
      <c r="H30" s="427" t="str">
        <f>IF('Insert IL2 results'!F37="",'Step3-Metals-RawMat'!I31,'Insert IL2 results'!F37)</f>
        <v>Present?</v>
      </c>
      <c r="I30" s="427" t="str">
        <f>IF('Insert IL2 results'!G37="",'Step3-Metals-RawMat'!J31,'Insert IL2 results'!G37)</f>
        <v>Present?</v>
      </c>
      <c r="J30" s="427" t="str">
        <f>IF('Insert IL2 results'!H37="",'Step3-Metals-RawMat'!K31,'Insert IL2 results'!H37)</f>
        <v>Present?</v>
      </c>
      <c r="K30" s="427" t="str">
        <f>IF('Insert IL2 results'!I37="",'Step3-Metals-RawMat'!L31,'Insert IL2 results'!I37)</f>
        <v>Present?</v>
      </c>
      <c r="L30" s="263" t="str">
        <f>'Step3-Metals-RawMat'!M31</f>
        <v>5.3.2</v>
      </c>
    </row>
    <row r="31" spans="1:12" ht="13">
      <c r="A31" s="393" t="str">
        <f>'Step4-Industrial Hg use'!A4</f>
        <v>Production of chemicals</v>
      </c>
      <c r="B31" s="304"/>
      <c r="C31" s="276"/>
      <c r="D31" s="305"/>
      <c r="E31" s="305"/>
      <c r="F31" s="437"/>
      <c r="G31" s="437"/>
      <c r="H31" s="437"/>
      <c r="I31" s="437"/>
      <c r="J31" s="437"/>
      <c r="K31" s="437"/>
      <c r="L31" s="306"/>
    </row>
    <row r="32" spans="1:12">
      <c r="A32" s="263" t="str">
        <f>'Step4-Industrial Hg use'!A5</f>
        <v>Chlor-alkali production with mercury-cells</v>
      </c>
      <c r="B32" s="268" t="str">
        <f>IF(OR('Step4-Industrial Hg use'!B5=yes,'Step4-Industrial Hg use'!B5=no,'Step4-Industrial Hg use'!B5=que),'Step4-Industrial Hg use'!B5,  pres)</f>
        <v>Present?</v>
      </c>
      <c r="C32" s="375">
        <f>'Step4-Industrial Hg use'!C5</f>
        <v>0</v>
      </c>
      <c r="D32" s="273" t="str">
        <f>'Step4-Industrial Hg use'!D5</f>
        <v xml:space="preserve">Cl2 produced, t/y </v>
      </c>
      <c r="E32" s="439" t="str">
        <f>IF('Insert IL2 results'!C39="",'Step4-Industrial Hg use'!E5,'Insert IL2 results'!C39)</f>
        <v>Present?</v>
      </c>
      <c r="F32" s="427" t="str">
        <f>IF('Insert IL2 results'!D39="",'Step4-Industrial Hg use'!F5,'Insert IL2 results'!D39)</f>
        <v>Present?</v>
      </c>
      <c r="G32" s="427" t="str">
        <f>IF('Insert IL2 results'!E39="",'Step4-Industrial Hg use'!G5,'Insert IL2 results'!E39)</f>
        <v>Present?</v>
      </c>
      <c r="H32" s="427" t="str">
        <f>IF('Insert IL2 results'!F39="",'Step4-Industrial Hg use'!H5,'Insert IL2 results'!F39)</f>
        <v>Present?</v>
      </c>
      <c r="I32" s="427" t="str">
        <f>IF('Insert IL2 results'!G39="",'Step4-Industrial Hg use'!I5,'Insert IL2 results'!G39)</f>
        <v>Present?</v>
      </c>
      <c r="J32" s="427" t="str">
        <f>IF('Insert IL2 results'!H39="",'Step4-Industrial Hg use'!J5,'Insert IL2 results'!H39)</f>
        <v>Present?</v>
      </c>
      <c r="K32" s="427" t="str">
        <f>IF('Insert IL2 results'!I39="",'Step4-Industrial Hg use'!K5,'Insert IL2 results'!I39)</f>
        <v>Present?</v>
      </c>
      <c r="L32" s="272" t="str">
        <f>'Step4-Industrial Hg use'!L5</f>
        <v>5.4.1</v>
      </c>
    </row>
    <row r="33" spans="1:13">
      <c r="A33" s="263" t="str">
        <f>'Step4-Industrial Hg use'!A6</f>
        <v>VCM production with mercury catalyst</v>
      </c>
      <c r="B33" s="268" t="str">
        <f>IF(OR('Step4-Industrial Hg use'!B6=yes,'Step4-Industrial Hg use'!B6=no,'Step4-Industrial Hg use'!B6=que),'Step4-Industrial Hg use'!B6,  pres)</f>
        <v>Present?</v>
      </c>
      <c r="C33" s="375">
        <f>'Step4-Industrial Hg use'!C6</f>
        <v>0</v>
      </c>
      <c r="D33" s="273" t="str">
        <f>'Step4-Industrial Hg use'!D6</f>
        <v xml:space="preserve">VCM produced, t/y </v>
      </c>
      <c r="E33" s="439" t="str">
        <f>IF('Insert IL2 results'!C40="",'Step4-Industrial Hg use'!E6,'Insert IL2 results'!C40)</f>
        <v>Present?</v>
      </c>
      <c r="F33" s="427" t="str">
        <f>IF('Insert IL2 results'!D40="",'Step4-Industrial Hg use'!F6,'Insert IL2 results'!D40)</f>
        <v>Present?</v>
      </c>
      <c r="G33" s="427" t="str">
        <f>IF('Insert IL2 results'!E40="",'Step4-Industrial Hg use'!G6,'Insert IL2 results'!E40)</f>
        <v>Present?</v>
      </c>
      <c r="H33" s="427" t="str">
        <f>IF('Insert IL2 results'!F40="",'Step4-Industrial Hg use'!H6,'Insert IL2 results'!F40)</f>
        <v>Present?</v>
      </c>
      <c r="I33" s="427" t="str">
        <f>IF('Insert IL2 results'!G40="",'Step4-Industrial Hg use'!I6,'Insert IL2 results'!G40)</f>
        <v>Present?</v>
      </c>
      <c r="J33" s="427" t="str">
        <f>IF('Insert IL2 results'!H40="",'Step4-Industrial Hg use'!J6,'Insert IL2 results'!H40)</f>
        <v>Present?</v>
      </c>
      <c r="K33" s="427" t="str">
        <f>IF('Insert IL2 results'!I40="",'Step4-Industrial Hg use'!K6,'Insert IL2 results'!I40)</f>
        <v>Present?</v>
      </c>
      <c r="L33" s="272" t="str">
        <f>'Step4-Industrial Hg use'!L6</f>
        <v>5.4.2</v>
      </c>
    </row>
    <row r="34" spans="1:13">
      <c r="A34" s="263" t="str">
        <f>'Step4-Industrial Hg use'!A7</f>
        <v>Acetaldehyde production with mercury catalyst</v>
      </c>
      <c r="B34" s="268" t="str">
        <f>IF(OR('Step4-Industrial Hg use'!B7=yes,'Step4-Industrial Hg use'!B7=no,'Step4-Industrial Hg use'!B7=que),'Step4-Industrial Hg use'!B7,  pres)</f>
        <v>Present?</v>
      </c>
      <c r="C34" s="375">
        <f>'Step4-Industrial Hg use'!C7</f>
        <v>0</v>
      </c>
      <c r="D34" s="273" t="str">
        <f>'Step4-Industrial Hg use'!D7</f>
        <v>Acetaldehyde produced, t/y</v>
      </c>
      <c r="E34" s="439" t="str">
        <f>IF('Insert IL2 results'!C41="",'Step4-Industrial Hg use'!E7,'Insert IL2 results'!C41)</f>
        <v>Present?</v>
      </c>
      <c r="F34" s="427" t="str">
        <f>IF('Insert IL2 results'!D41="",'Step4-Industrial Hg use'!F7,'Insert IL2 results'!D41)</f>
        <v>Present?</v>
      </c>
      <c r="G34" s="427" t="str">
        <f>IF('Insert IL2 results'!E41="",'Step4-Industrial Hg use'!G7,'Insert IL2 results'!E41)</f>
        <v>Present?</v>
      </c>
      <c r="H34" s="427" t="str">
        <f>IF('Insert IL2 results'!F41="",'Step4-Industrial Hg use'!H7,'Insert IL2 results'!F41)</f>
        <v>Present?</v>
      </c>
      <c r="I34" s="427" t="str">
        <f>IF('Insert IL2 results'!G41="",'Step4-Industrial Hg use'!I7,'Insert IL2 results'!G41)</f>
        <v>Present?</v>
      </c>
      <c r="J34" s="427" t="str">
        <f>IF('Insert IL2 results'!H41="",'Step4-Industrial Hg use'!J7,'Insert IL2 results'!H41)</f>
        <v>Present?</v>
      </c>
      <c r="K34" s="427" t="str">
        <f>IF('Insert IL2 results'!I41="",'Step4-Industrial Hg use'!K7,'Insert IL2 results'!I41)</f>
        <v>Present?</v>
      </c>
      <c r="L34" s="272" t="str">
        <f>'Step4-Industrial Hg use'!L7</f>
        <v>5.4.3</v>
      </c>
    </row>
    <row r="35" spans="1:13" ht="13">
      <c r="A35" s="393" t="s">
        <v>870</v>
      </c>
      <c r="B35" s="304"/>
      <c r="C35" s="276"/>
      <c r="D35" s="305"/>
      <c r="E35" s="305"/>
      <c r="F35" s="437"/>
      <c r="G35" s="437"/>
      <c r="H35" s="437"/>
      <c r="I35" s="437"/>
      <c r="J35" s="437"/>
      <c r="K35" s="437"/>
      <c r="L35" s="306"/>
    </row>
    <row r="36" spans="1:13">
      <c r="A36" s="263" t="str">
        <f>'Step4-Industrial Hg use'!A10</f>
        <v xml:space="preserve">Hg thermometers (medical, air, lab, industrial etc.) </v>
      </c>
      <c r="B36" s="268" t="str">
        <f>IF(OR('Step4-Industrial Hg use'!B10=yes,'Step4-Industrial Hg use'!B10=no,'Step4-Industrial Hg use'!B10=que),'Step4-Industrial Hg use'!B10,  pres)</f>
        <v>Present?</v>
      </c>
      <c r="C36" s="375">
        <f>'Step4-Industrial Hg use'!C10</f>
        <v>0</v>
      </c>
      <c r="D36" s="273" t="str">
        <f>'Step4-Industrial Hg use'!D10</f>
        <v>Mercury used for production, kg/y</v>
      </c>
      <c r="E36" s="439" t="str">
        <f>IF('Insert IL2 results'!C43="",'Step4-Industrial Hg use'!E10,'Insert IL2 results'!C43)</f>
        <v>Present?</v>
      </c>
      <c r="F36" s="427" t="str">
        <f>IF('Insert IL2 results'!D43="",'Step4-Industrial Hg use'!F10,'Insert IL2 results'!D43)</f>
        <v>Present?</v>
      </c>
      <c r="G36" s="427" t="str">
        <f>IF('Insert IL2 results'!E43="",'Step4-Industrial Hg use'!G10,'Insert IL2 results'!E43)</f>
        <v>Present?</v>
      </c>
      <c r="H36" s="427" t="str">
        <f>IF('Insert IL2 results'!F43="",'Step4-Industrial Hg use'!H10,'Insert IL2 results'!F43)</f>
        <v>Present?</v>
      </c>
      <c r="I36" s="427" t="str">
        <f>IF('Insert IL2 results'!G43="",'Step4-Industrial Hg use'!I10,'Insert IL2 results'!G43)</f>
        <v>Present?</v>
      </c>
      <c r="J36" s="427" t="str">
        <f>IF('Insert IL2 results'!H43="",'Step4-Industrial Hg use'!J10,'Insert IL2 results'!H43)</f>
        <v>Present?</v>
      </c>
      <c r="K36" s="427" t="str">
        <f>IF('Insert IL2 results'!I43="",'Step4-Industrial Hg use'!K10,'Insert IL2 results'!I43)</f>
        <v>Present?</v>
      </c>
      <c r="L36" s="280" t="str">
        <f>'Step4-Industrial Hg use'!L10</f>
        <v>5.5.1</v>
      </c>
      <c r="M36" s="564"/>
    </row>
    <row r="37" spans="1:13">
      <c r="A37" s="263" t="str">
        <f>'Step4-Industrial Hg use'!A11</f>
        <v xml:space="preserve">Electrical switches and relays with mercury </v>
      </c>
      <c r="B37" s="268" t="str">
        <f>IF(OR('Step4-Industrial Hg use'!B11=yes,'Step4-Industrial Hg use'!B11=no,'Step4-Industrial Hg use'!B11=que),'Step4-Industrial Hg use'!B11,  pres)</f>
        <v>Present?</v>
      </c>
      <c r="C37" s="375">
        <f>'Step4-Industrial Hg use'!C11</f>
        <v>0</v>
      </c>
      <c r="D37" s="273" t="str">
        <f>'Step4-Industrial Hg use'!D11</f>
        <v>Mercury used for production, kg/y</v>
      </c>
      <c r="E37" s="439" t="str">
        <f>IF('Insert IL2 results'!C44="",'Step4-Industrial Hg use'!E11,'Insert IL2 results'!C44)</f>
        <v>Present?</v>
      </c>
      <c r="F37" s="427" t="str">
        <f>IF('Insert IL2 results'!D44="",'Step4-Industrial Hg use'!F11,'Insert IL2 results'!D44)</f>
        <v>Present?</v>
      </c>
      <c r="G37" s="427" t="str">
        <f>IF('Insert IL2 results'!E44="",'Step4-Industrial Hg use'!G11,'Insert IL2 results'!E44)</f>
        <v>Present?</v>
      </c>
      <c r="H37" s="427" t="str">
        <f>IF('Insert IL2 results'!F44="",'Step4-Industrial Hg use'!H11,'Insert IL2 results'!F44)</f>
        <v>Present?</v>
      </c>
      <c r="I37" s="427" t="str">
        <f>IF('Insert IL2 results'!G44="",'Step4-Industrial Hg use'!I11,'Insert IL2 results'!G44)</f>
        <v>Present?</v>
      </c>
      <c r="J37" s="427" t="str">
        <f>IF('Insert IL2 results'!H44="",'Step4-Industrial Hg use'!J11,'Insert IL2 results'!H44)</f>
        <v>Present?</v>
      </c>
      <c r="K37" s="427" t="str">
        <f>IF('Insert IL2 results'!I44="",'Step4-Industrial Hg use'!K11,'Insert IL2 results'!I44)</f>
        <v>Present?</v>
      </c>
      <c r="L37" s="280" t="str">
        <f>'Step4-Industrial Hg use'!L11</f>
        <v>5.5.2</v>
      </c>
    </row>
    <row r="38" spans="1:13" ht="25">
      <c r="A38" s="263" t="str">
        <f>'Step4-Industrial Hg use'!A12</f>
        <v xml:space="preserve">Light sources with mercury (fluorescent, compact, others: see guideline) </v>
      </c>
      <c r="B38" s="268" t="str">
        <f>IF(OR('Step4-Industrial Hg use'!B12=yes,'Step4-Industrial Hg use'!B12=no,'Step4-Industrial Hg use'!B12=que),'Step4-Industrial Hg use'!B12,  pres)</f>
        <v>Present?</v>
      </c>
      <c r="C38" s="375">
        <f>'Step4-Industrial Hg use'!C12</f>
        <v>0</v>
      </c>
      <c r="D38" s="273" t="str">
        <f>'Step4-Industrial Hg use'!D12</f>
        <v>Mercury used for production, kg/y</v>
      </c>
      <c r="E38" s="439" t="str">
        <f>IF('Insert IL2 results'!C45="",'Step4-Industrial Hg use'!E12,'Insert IL2 results'!C45)</f>
        <v>Present?</v>
      </c>
      <c r="F38" s="427" t="str">
        <f>IF('Insert IL2 results'!D45="",'Step4-Industrial Hg use'!F12,'Insert IL2 results'!D45)</f>
        <v>Present?</v>
      </c>
      <c r="G38" s="427" t="str">
        <f>IF('Insert IL2 results'!E45="",'Step4-Industrial Hg use'!G12,'Insert IL2 results'!E45)</f>
        <v>Present?</v>
      </c>
      <c r="H38" s="427" t="str">
        <f>IF('Insert IL2 results'!F45="",'Step4-Industrial Hg use'!H12,'Insert IL2 results'!F45)</f>
        <v>Present?</v>
      </c>
      <c r="I38" s="427" t="str">
        <f>IF('Insert IL2 results'!G45="",'Step4-Industrial Hg use'!I12,'Insert IL2 results'!G45)</f>
        <v>Present?</v>
      </c>
      <c r="J38" s="427" t="str">
        <f>IF('Insert IL2 results'!H45="",'Step4-Industrial Hg use'!J12,'Insert IL2 results'!H45)</f>
        <v>Present?</v>
      </c>
      <c r="K38" s="427" t="str">
        <f>IF('Insert IL2 results'!I45="",'Step4-Industrial Hg use'!K12,'Insert IL2 results'!I45)</f>
        <v>Present?</v>
      </c>
      <c r="L38" s="280" t="str">
        <f>'Step4-Industrial Hg use'!L12</f>
        <v>5.5.3</v>
      </c>
      <c r="M38" s="560"/>
    </row>
    <row r="39" spans="1:13">
      <c r="A39" s="263" t="str">
        <f>'Step4-Industrial Hg use'!A13</f>
        <v xml:space="preserve">Batteries with mercury </v>
      </c>
      <c r="B39" s="268" t="str">
        <f>IF(OR('Step4-Industrial Hg use'!B13=yes,'Step4-Industrial Hg use'!B13=no,'Step4-Industrial Hg use'!B13=que),'Step4-Industrial Hg use'!B13,  pres)</f>
        <v>Present?</v>
      </c>
      <c r="C39" s="375">
        <f>'Step4-Industrial Hg use'!C13</f>
        <v>0</v>
      </c>
      <c r="D39" s="273" t="str">
        <f>'Step4-Industrial Hg use'!D13</f>
        <v>Mercury used for production, kg/y</v>
      </c>
      <c r="E39" s="439" t="str">
        <f>IF('Insert IL2 results'!C46="",'Step4-Industrial Hg use'!E13,'Insert IL2 results'!C46)</f>
        <v>Present?</v>
      </c>
      <c r="F39" s="427" t="str">
        <f>IF('Insert IL2 results'!D46="",'Step4-Industrial Hg use'!F13,'Insert IL2 results'!D46)</f>
        <v>Present?</v>
      </c>
      <c r="G39" s="427" t="str">
        <f>IF('Insert IL2 results'!E46="",'Step4-Industrial Hg use'!G13,'Insert IL2 results'!E46)</f>
        <v>Present?</v>
      </c>
      <c r="H39" s="427" t="str">
        <f>IF('Insert IL2 results'!F46="",'Step4-Industrial Hg use'!H13,'Insert IL2 results'!F46)</f>
        <v>Present?</v>
      </c>
      <c r="I39" s="427" t="str">
        <f>IF('Insert IL2 results'!G46="",'Step4-Industrial Hg use'!I13,'Insert IL2 results'!G46)</f>
        <v>Present?</v>
      </c>
      <c r="J39" s="427" t="str">
        <f>IF('Insert IL2 results'!H46="",'Step4-Industrial Hg use'!J13,'Insert IL2 results'!H46)</f>
        <v>Present?</v>
      </c>
      <c r="K39" s="427" t="str">
        <f>IF('Insert IL2 results'!I46="",'Step4-Industrial Hg use'!K13,'Insert IL2 results'!I46)</f>
        <v>Present?</v>
      </c>
      <c r="L39" s="280" t="str">
        <f>'Step4-Industrial Hg use'!L13</f>
        <v>5.5.4</v>
      </c>
      <c r="M39" s="472"/>
    </row>
    <row r="40" spans="1:13">
      <c r="A40" s="263" t="str">
        <f>'Step4-Industrial Hg use'!A14</f>
        <v xml:space="preserve">Manometers and gauges with mercury </v>
      </c>
      <c r="B40" s="268" t="str">
        <f>IF(OR('Step4-Industrial Hg use'!B14=yes,'Step4-Industrial Hg use'!B14=no,'Step4-Industrial Hg use'!B14=que),'Step4-Industrial Hg use'!B14,  pres)</f>
        <v>Present?</v>
      </c>
      <c r="C40" s="375">
        <f>'Step4-Industrial Hg use'!C14</f>
        <v>0</v>
      </c>
      <c r="D40" s="273" t="str">
        <f>'Step4-Industrial Hg use'!D14</f>
        <v>Mercury used for production, kg/y</v>
      </c>
      <c r="E40" s="439" t="str">
        <f>IF('Insert IL2 results'!C47="",'Step4-Industrial Hg use'!E14,'Insert IL2 results'!C47)</f>
        <v>Present?</v>
      </c>
      <c r="F40" s="427" t="str">
        <f>IF('Insert IL2 results'!D47="",'Step4-Industrial Hg use'!F14,'Insert IL2 results'!D47)</f>
        <v>Present?</v>
      </c>
      <c r="G40" s="427" t="str">
        <f>IF('Insert IL2 results'!E47="",'Step4-Industrial Hg use'!G14,'Insert IL2 results'!E47)</f>
        <v>Present?</v>
      </c>
      <c r="H40" s="427" t="str">
        <f>IF('Insert IL2 results'!F47="",'Step4-Industrial Hg use'!H14,'Insert IL2 results'!F47)</f>
        <v>Present?</v>
      </c>
      <c r="I40" s="427" t="str">
        <f>IF('Insert IL2 results'!G47="",'Step4-Industrial Hg use'!I14,'Insert IL2 results'!G47)</f>
        <v>Present?</v>
      </c>
      <c r="J40" s="427" t="str">
        <f>IF('Insert IL2 results'!H47="",'Step4-Industrial Hg use'!J14,'Insert IL2 results'!H47)</f>
        <v>Present?</v>
      </c>
      <c r="K40" s="427" t="str">
        <f>IF('Insert IL2 results'!I47="",'Step4-Industrial Hg use'!K14,'Insert IL2 results'!I47)</f>
        <v>Present?</v>
      </c>
      <c r="L40" s="272" t="str">
        <f>'Step4-Industrial Hg use'!L14</f>
        <v>5.6.2</v>
      </c>
    </row>
    <row r="41" spans="1:13">
      <c r="A41" s="263" t="str">
        <f>'Step4-Industrial Hg use'!A15</f>
        <v xml:space="preserve">Biocides and pesticides with mercury </v>
      </c>
      <c r="B41" s="268" t="str">
        <f>IF(OR('Step4-Industrial Hg use'!B15=yes,'Step4-Industrial Hg use'!B15=no,'Step4-Industrial Hg use'!B15=que),'Step4-Industrial Hg use'!B15,  pres)</f>
        <v>Present?</v>
      </c>
      <c r="C41" s="375">
        <f>'Step4-Industrial Hg use'!C15</f>
        <v>0</v>
      </c>
      <c r="D41" s="273" t="str">
        <f>'Step4-Industrial Hg use'!D15</f>
        <v>Mercury used for production, kg/y</v>
      </c>
      <c r="E41" s="439" t="str">
        <f>IF('Insert IL2 results'!C48="",'Step4-Industrial Hg use'!E15,'Insert IL2 results'!C48)</f>
        <v>Present?</v>
      </c>
      <c r="F41" s="427" t="str">
        <f>IF('Insert IL2 results'!D48="",'Step4-Industrial Hg use'!F15,'Insert IL2 results'!D48)</f>
        <v>Present?</v>
      </c>
      <c r="G41" s="427" t="str">
        <f>IF('Insert IL2 results'!E48="",'Step4-Industrial Hg use'!G15,'Insert IL2 results'!E48)</f>
        <v>Present?</v>
      </c>
      <c r="H41" s="427" t="str">
        <f>IF('Insert IL2 results'!F48="",'Step4-Industrial Hg use'!H15,'Insert IL2 results'!F48)</f>
        <v>Present?</v>
      </c>
      <c r="I41" s="427" t="str">
        <f>IF('Insert IL2 results'!G48="",'Step4-Industrial Hg use'!I15,'Insert IL2 results'!G48)</f>
        <v>Present?</v>
      </c>
      <c r="J41" s="427" t="str">
        <f>IF('Insert IL2 results'!H48="",'Step4-Industrial Hg use'!J15,'Insert IL2 results'!H48)</f>
        <v>Present?</v>
      </c>
      <c r="K41" s="427" t="str">
        <f>IF('Insert IL2 results'!I48="",'Step4-Industrial Hg use'!K15,'Insert IL2 results'!I48)</f>
        <v>Present?</v>
      </c>
      <c r="L41" s="272" t="str">
        <f>'Step4-Industrial Hg use'!L15</f>
        <v>5.5.5</v>
      </c>
    </row>
    <row r="42" spans="1:13">
      <c r="A42" s="263" t="str">
        <f>'Step4-Industrial Hg use'!A16</f>
        <v xml:space="preserve">Paints with mercury </v>
      </c>
      <c r="B42" s="268" t="str">
        <f>IF(OR('Step4-Industrial Hg use'!B16=yes,'Step4-Industrial Hg use'!B16=no,'Step4-Industrial Hg use'!B16=que),'Step4-Industrial Hg use'!B16,  pres)</f>
        <v>Present?</v>
      </c>
      <c r="C42" s="375">
        <f>'Step4-Industrial Hg use'!C16</f>
        <v>0</v>
      </c>
      <c r="D42" s="273" t="str">
        <f>'Step4-Industrial Hg use'!D16</f>
        <v>Mercury used for production, kg/y</v>
      </c>
      <c r="E42" s="439" t="str">
        <f>IF('Insert IL2 results'!C49="",'Step4-Industrial Hg use'!E16,'Insert IL2 results'!C49)</f>
        <v>Present?</v>
      </c>
      <c r="F42" s="427" t="str">
        <f>IF('Insert IL2 results'!D49="",'Step4-Industrial Hg use'!F16,'Insert IL2 results'!D49)</f>
        <v>Present?</v>
      </c>
      <c r="G42" s="427" t="str">
        <f>IF('Insert IL2 results'!E49="",'Step4-Industrial Hg use'!G16,'Insert IL2 results'!E49)</f>
        <v>Present?</v>
      </c>
      <c r="H42" s="427" t="str">
        <f>IF('Insert IL2 results'!F49="",'Step4-Industrial Hg use'!H16,'Insert IL2 results'!F49)</f>
        <v>Present?</v>
      </c>
      <c r="I42" s="427" t="str">
        <f>IF('Insert IL2 results'!G49="",'Step4-Industrial Hg use'!I16,'Insert IL2 results'!G49)</f>
        <v>Present?</v>
      </c>
      <c r="J42" s="427" t="str">
        <f>IF('Insert IL2 results'!H49="",'Step4-Industrial Hg use'!J16,'Insert IL2 results'!H49)</f>
        <v>Present?</v>
      </c>
      <c r="K42" s="427" t="str">
        <f>IF('Insert IL2 results'!I49="",'Step4-Industrial Hg use'!K16,'Insert IL2 results'!I49)</f>
        <v>Present?</v>
      </c>
      <c r="L42" s="272" t="str">
        <f>'Step4-Industrial Hg use'!L16</f>
        <v>5.5.6</v>
      </c>
    </row>
    <row r="43" spans="1:13" ht="25">
      <c r="A43" s="263" t="str">
        <f>'Step4-Industrial Hg use'!A17</f>
        <v xml:space="preserve">Skin lightening creams and soaps with mercury chemicals </v>
      </c>
      <c r="B43" s="268" t="str">
        <f>IF(OR('Step4-Industrial Hg use'!B17=yes,'Step4-Industrial Hg use'!B17=no,'Step4-Industrial Hg use'!B17=que),'Step4-Industrial Hg use'!B17,  pres)</f>
        <v>Present?</v>
      </c>
      <c r="C43" s="375">
        <f>'Step4-Industrial Hg use'!C17</f>
        <v>0</v>
      </c>
      <c r="D43" s="273" t="str">
        <f>'Step4-Industrial Hg use'!D17</f>
        <v>Mercury used for production, kg/y</v>
      </c>
      <c r="E43" s="439" t="str">
        <f>IF('Insert IL2 results'!C50="",'Step4-Industrial Hg use'!E17,'Insert IL2 results'!C50)</f>
        <v>Present?</v>
      </c>
      <c r="F43" s="427" t="str">
        <f>IF('Insert IL2 results'!D50="",'Step4-Industrial Hg use'!F17,'Insert IL2 results'!D50)</f>
        <v>Present?</v>
      </c>
      <c r="G43" s="427" t="str">
        <f>IF('Insert IL2 results'!E50="",'Step4-Industrial Hg use'!G17,'Insert IL2 results'!E50)</f>
        <v>Present?</v>
      </c>
      <c r="H43" s="427" t="str">
        <f>IF('Insert IL2 results'!F50="",'Step4-Industrial Hg use'!H17,'Insert IL2 results'!F50)</f>
        <v>Present?</v>
      </c>
      <c r="I43" s="427" t="str">
        <f>IF('Insert IL2 results'!G50="",'Step4-Industrial Hg use'!I17,'Insert IL2 results'!G50)</f>
        <v>Present?</v>
      </c>
      <c r="J43" s="427" t="str">
        <f>IF('Insert IL2 results'!H50="",'Step4-Industrial Hg use'!J17,'Insert IL2 results'!H50)</f>
        <v>Present?</v>
      </c>
      <c r="K43" s="427" t="str">
        <f>IF('Insert IL2 results'!I50="",'Step4-Industrial Hg use'!K17,'Insert IL2 results'!I50)</f>
        <v>Present?</v>
      </c>
      <c r="L43" s="272" t="str">
        <f>'Step4-Industrial Hg use'!L17</f>
        <v>5.5.7</v>
      </c>
    </row>
    <row r="44" spans="1:13" ht="14.25" customHeight="1">
      <c r="A44" s="393" t="str">
        <f>'Step6-Hg products-substances'!A6</f>
        <v>Use and disposal of products with mercury content</v>
      </c>
      <c r="B44" s="304"/>
      <c r="C44" s="276"/>
      <c r="D44" s="305"/>
      <c r="E44" s="305"/>
      <c r="F44" s="437"/>
      <c r="G44" s="437"/>
      <c r="H44" s="437"/>
      <c r="I44" s="437"/>
      <c r="J44" s="437"/>
      <c r="K44" s="437"/>
      <c r="L44" s="306"/>
    </row>
    <row r="45" spans="1:13">
      <c r="A45" s="263" t="str">
        <f>'Step6-Hg products-substances'!A7</f>
        <v>Dental amalgam fillings ("silver" fillings)</v>
      </c>
      <c r="B45" s="268" t="str">
        <f>IF(OR('Step6-Hg products-substances'!B7=yes,'Step6-Hg products-substances'!B7=no,'Step6-Hg products-substances'!B7=que),'Step6-Hg products-substances'!B7,  pres)</f>
        <v>Present?</v>
      </c>
      <c r="C45" s="375">
        <f>'Step6-Hg products-substances'!C8</f>
        <v>0</v>
      </c>
      <c r="D45" s="375" t="str">
        <f>'Step6-Hg products-substances'!D8</f>
        <v>Number of inhabitants</v>
      </c>
      <c r="E45" s="439" t="str">
        <f>IF('Insert IL2 results'!C52="",'Step6-Hg products-substances'!F7,'Insert IL2 results'!C52)</f>
        <v>Present?</v>
      </c>
      <c r="F45" s="427" t="str">
        <f>IF('Insert IL2 results'!D52="",'Step6-Hg products-substances'!G7,'Insert IL2 results'!D52)</f>
        <v>Present?</v>
      </c>
      <c r="G45" s="427" t="str">
        <f>IF('Insert IL2 results'!E52="",'Step6-Hg products-substances'!H7,'Insert IL2 results'!E52)</f>
        <v>Present?</v>
      </c>
      <c r="H45" s="427" t="str">
        <f>IF('Insert IL2 results'!F52="",'Step6-Hg products-substances'!I7,'Insert IL2 results'!F52)</f>
        <v>Present?</v>
      </c>
      <c r="I45" s="427" t="str">
        <f>IF('Insert IL2 results'!G52="",'Step6-Hg products-substances'!J7,'Insert IL2 results'!G52)</f>
        <v>Present?</v>
      </c>
      <c r="J45" s="427" t="str">
        <f>IF('Insert IL2 results'!H52="",'Step6-Hg products-substances'!K7,'Insert IL2 results'!H52)</f>
        <v>Present?</v>
      </c>
      <c r="K45" s="427" t="str">
        <f>IF('Insert IL2 results'!I52="",'Step6-Hg products-substances'!L7,'Insert IL2 results'!I52)</f>
        <v>Present?</v>
      </c>
      <c r="L45" s="272" t="str">
        <f>'Step6-Hg products-substances'!M7</f>
        <v>5.6.1</v>
      </c>
    </row>
    <row r="46" spans="1:13">
      <c r="A46" s="263" t="str">
        <f>'Step6-Hg products-substances'!A15</f>
        <v>Thermometers</v>
      </c>
      <c r="B46" s="268" t="str">
        <f>IF(OR('Step6-Hg products-substances'!B15=yes,'Step6-Hg products-substances'!B15=no,'Step6-Hg products-substances'!B15=que),'Step6-Hg products-substances'!B15,  pres)</f>
        <v>Present?</v>
      </c>
      <c r="C46" s="375">
        <f>'Step6-Hg products-substances'!C15</f>
        <v>0</v>
      </c>
      <c r="D46" s="375" t="str">
        <f>'Step6-Hg products-substances'!D16</f>
        <v>Items sold/y</v>
      </c>
      <c r="E46" s="439" t="str">
        <f>IF('Insert IL2 results'!C53="",'Step6-Hg products-substances'!F15,'Insert IL2 results'!C53)</f>
        <v>Present?</v>
      </c>
      <c r="F46" s="427" t="str">
        <f>IF('Insert IL2 results'!D53="",'Step6-Hg products-substances'!G15,'Insert IL2 results'!D53)</f>
        <v>Present?</v>
      </c>
      <c r="G46" s="427" t="str">
        <f>IF('Insert IL2 results'!E53="",'Step6-Hg products-substances'!H15,'Insert IL2 results'!E53)</f>
        <v>Present?</v>
      </c>
      <c r="H46" s="427" t="str">
        <f>IF('Insert IL2 results'!F53="",'Step6-Hg products-substances'!I15,'Insert IL2 results'!F53)</f>
        <v>Present?</v>
      </c>
      <c r="I46" s="427" t="str">
        <f>IF('Insert IL2 results'!G53="",'Step6-Hg products-substances'!J15,'Insert IL2 results'!G53)</f>
        <v>Present?</v>
      </c>
      <c r="J46" s="427" t="str">
        <f>IF('Insert IL2 results'!H53="",'Step6-Hg products-substances'!K15,'Insert IL2 results'!H53)</f>
        <v>Present?</v>
      </c>
      <c r="K46" s="427" t="str">
        <f>IF('Insert IL2 results'!I53="",'Step6-Hg products-substances'!L15,'Insert IL2 results'!I53)</f>
        <v>Present?</v>
      </c>
      <c r="L46" s="272" t="str">
        <f>'Step6-Hg products-substances'!M15</f>
        <v>5.5.1</v>
      </c>
      <c r="M46" s="560"/>
    </row>
    <row r="47" spans="1:13">
      <c r="A47" s="263" t="str">
        <f>'Step6-Hg products-substances'!A20</f>
        <v>Electrical switches and relays with mercury</v>
      </c>
      <c r="B47" s="268" t="str">
        <f>IF(OR('Step6-Hg products-substances'!B20=yes,'Step6-Hg products-substances'!B20=no,'Step6-Hg products-substances'!B20=que),'Step6-Hg products-substances'!B20,  pres)</f>
        <v>Present?</v>
      </c>
      <c r="C47" s="375">
        <f>'Step6-Hg products-substances'!C20</f>
        <v>0</v>
      </c>
      <c r="D47" s="273" t="str">
        <f>'Step6-Hg products-substances'!D20</f>
        <v>Number of inhabitants</v>
      </c>
      <c r="E47" s="439" t="str">
        <f>IF('Insert IL2 results'!C54="",'Step6-Hg products-substances'!F20,'Insert IL2 results'!C54)</f>
        <v>Present?</v>
      </c>
      <c r="F47" s="427" t="str">
        <f>IF('Insert IL2 results'!D54="",'Step6-Hg products-substances'!G20,'Insert IL2 results'!D54)</f>
        <v>Present?</v>
      </c>
      <c r="G47" s="427" t="str">
        <f>IF('Insert IL2 results'!E54="",'Step6-Hg products-substances'!H20,'Insert IL2 results'!E54)</f>
        <v>Present?</v>
      </c>
      <c r="H47" s="427" t="str">
        <f>IF('Insert IL2 results'!F54="",'Step6-Hg products-substances'!I20,'Insert IL2 results'!F54)</f>
        <v>Present?</v>
      </c>
      <c r="I47" s="427" t="str">
        <f>IF('Insert IL2 results'!G54="",'Step6-Hg products-substances'!J20,'Insert IL2 results'!G54)</f>
        <v>Present?</v>
      </c>
      <c r="J47" s="427" t="str">
        <f>IF('Insert IL2 results'!H54="",'Step6-Hg products-substances'!K20,'Insert IL2 results'!H54)</f>
        <v>Present?</v>
      </c>
      <c r="K47" s="427" t="str">
        <f>IF('Insert IL2 results'!I54="",'Step6-Hg products-substances'!L20,'Insert IL2 results'!I54)</f>
        <v>Present?</v>
      </c>
      <c r="L47" s="272" t="str">
        <f>'Step6-Hg products-substances'!M20</f>
        <v>5.5.2</v>
      </c>
    </row>
    <row r="48" spans="1:13">
      <c r="A48" s="263" t="str">
        <f>'Step6-Hg products-substances'!A23</f>
        <v>Light sources with mercury</v>
      </c>
      <c r="B48" s="268" t="str">
        <f>IF(OR('Step6-Hg products-substances'!B23=yes,'Step6-Hg products-substances'!B23=no,'Step6-Hg products-substances'!B23=que),'Step6-Hg products-substances'!B23,  pres)</f>
        <v>Present?</v>
      </c>
      <c r="C48" s="375">
        <f>'Step6-Hg products-substances'!C23</f>
        <v>0</v>
      </c>
      <c r="D48" s="273" t="str">
        <f>'Step6-Hg products-substances'!D23</f>
        <v>Items sold/y</v>
      </c>
      <c r="E48" s="439" t="str">
        <f>IF('Insert IL2 results'!C55="",'Step6-Hg products-substances'!F23,'Insert IL2 results'!C55)</f>
        <v>Present?</v>
      </c>
      <c r="F48" s="427" t="str">
        <f>IF('Insert IL2 results'!D55="",'Step6-Hg products-substances'!G23,'Insert IL2 results'!D55)</f>
        <v>Present?</v>
      </c>
      <c r="G48" s="427" t="str">
        <f>IF('Insert IL2 results'!E55="",'Step6-Hg products-substances'!H23,'Insert IL2 results'!E55)</f>
        <v>Present?</v>
      </c>
      <c r="H48" s="427" t="str">
        <f>IF('Insert IL2 results'!F55="",'Step6-Hg products-substances'!I23,'Insert IL2 results'!F55)</f>
        <v>Present?</v>
      </c>
      <c r="I48" s="427" t="str">
        <f>IF('Insert IL2 results'!G55="",'Step6-Hg products-substances'!J23,'Insert IL2 results'!G55)</f>
        <v>Present?</v>
      </c>
      <c r="J48" s="427" t="str">
        <f>IF('Insert IL2 results'!H55="",'Step6-Hg products-substances'!K23,'Insert IL2 results'!H55)</f>
        <v>Present?</v>
      </c>
      <c r="K48" s="427" t="str">
        <f>IF('Insert IL2 results'!I55="",'Step6-Hg products-substances'!L23,'Insert IL2 results'!I55)</f>
        <v>Present?</v>
      </c>
      <c r="L48" s="272" t="str">
        <f>'Step6-Hg products-substances'!M23</f>
        <v>5.5.3</v>
      </c>
    </row>
    <row r="49" spans="1:12">
      <c r="A49" s="367" t="str">
        <f>'Step6-Hg products-substances'!A28</f>
        <v>Batteries with mercury</v>
      </c>
      <c r="B49" s="268" t="str">
        <f>IF(OR('Step6-Hg products-substances'!B28=yes,'Step6-Hg products-substances'!B28=no,'Step6-Hg products-substances'!B28=que),'Step6-Hg products-substances'!B28,  pres)</f>
        <v>Present?</v>
      </c>
      <c r="C49" s="375">
        <f>'Step6-Hg products-substances'!C28</f>
        <v>1</v>
      </c>
      <c r="D49" s="273" t="str">
        <f>'Step6-Hg products-substances'!D28</f>
        <v>t batteries sold/y</v>
      </c>
      <c r="E49" s="439" t="str">
        <f>IF('Insert IL2 results'!C56="",'Step6-Hg products-substances'!F28,'Insert IL2 results'!C56)</f>
        <v>Present?</v>
      </c>
      <c r="F49" s="427" t="str">
        <f>IF('Insert IL2 results'!D56="",'Step6-Hg products-substances'!G28,'Insert IL2 results'!D56)</f>
        <v>Present?</v>
      </c>
      <c r="G49" s="427" t="str">
        <f>IF('Insert IL2 results'!E56="",'Step6-Hg products-substances'!H28,'Insert IL2 results'!E56)</f>
        <v>Present?</v>
      </c>
      <c r="H49" s="427" t="str">
        <f>IF('Insert IL2 results'!F56="",'Step6-Hg products-substances'!I28,'Insert IL2 results'!F56)</f>
        <v>Present?</v>
      </c>
      <c r="I49" s="427" t="str">
        <f>IF('Insert IL2 results'!G56="",'Step6-Hg products-substances'!J28,'Insert IL2 results'!G56)</f>
        <v>Present?</v>
      </c>
      <c r="J49" s="427" t="str">
        <f>IF('Insert IL2 results'!H56="",'Step6-Hg products-substances'!K28,'Insert IL2 results'!H56)</f>
        <v>Present?</v>
      </c>
      <c r="K49" s="427" t="str">
        <f>IF('Insert IL2 results'!I56="",'Step6-Hg products-substances'!L28,'Insert IL2 results'!I56)</f>
        <v>Present?</v>
      </c>
      <c r="L49" s="272" t="str">
        <f>'Step6-Hg products-substances'!M28</f>
        <v>5.5.4</v>
      </c>
    </row>
    <row r="50" spans="1:12">
      <c r="A50" s="263" t="str">
        <f>'Step6-Hg products-substances'!A33</f>
        <v>Polyurethane (PU, PUR) produced with mercury catalyst</v>
      </c>
      <c r="B50" s="268" t="str">
        <f>IF(OR('Step6-Hg products-substances'!B33=yes,'Step6-Hg products-substances'!B33=no,'Step6-Hg products-substances'!B33=que),'Step6-Hg products-substances'!B33,  pres)</f>
        <v>Present?</v>
      </c>
      <c r="C50" s="375">
        <f>'Step6-Hg products-substances'!C33</f>
        <v>0</v>
      </c>
      <c r="D50" s="273" t="str">
        <f>'Step6-Hg products-substances'!D33</f>
        <v>Number of inhabitants</v>
      </c>
      <c r="E50" s="439" t="str">
        <f>IF('Insert IL2 results'!C57="",'Step6-Hg products-substances'!F33,'Insert IL2 results'!C57)</f>
        <v>Present?</v>
      </c>
      <c r="F50" s="427" t="str">
        <f>IF('Insert IL2 results'!D57="",'Step6-Hg products-substances'!G33,'Insert IL2 results'!D57)</f>
        <v>Present?</v>
      </c>
      <c r="G50" s="427" t="str">
        <f>IF('Insert IL2 results'!E57="",'Step6-Hg products-substances'!H33,'Insert IL2 results'!E57)</f>
        <v>Present?</v>
      </c>
      <c r="H50" s="427" t="str">
        <f>IF('Insert IL2 results'!F57="",'Step6-Hg products-substances'!I33,'Insert IL2 results'!F57)</f>
        <v>Present?</v>
      </c>
      <c r="I50" s="427" t="str">
        <f>IF('Insert IL2 results'!G57="",'Step6-Hg products-substances'!J33,'Insert IL2 results'!G57)</f>
        <v>Present?</v>
      </c>
      <c r="J50" s="427" t="str">
        <f>IF('Insert IL2 results'!H57="",'Step6-Hg products-substances'!K33,'Insert IL2 results'!H57)</f>
        <v>Present?</v>
      </c>
      <c r="K50" s="427" t="str">
        <f>IF('Insert IL2 results'!I57="",'Step6-Hg products-substances'!L33,'Insert IL2 results'!I57)</f>
        <v>Present?</v>
      </c>
      <c r="L50" s="272" t="str">
        <f>'Step6-Hg products-substances'!M33</f>
        <v>5.5.5.</v>
      </c>
    </row>
    <row r="51" spans="1:12">
      <c r="A51" s="263" t="str">
        <f>'Step6-Hg products-substances'!A36</f>
        <v>Paints with mercury preservatives</v>
      </c>
      <c r="B51" s="268" t="str">
        <f>IF(OR('Step6-Hg products-substances'!B36=yes,'Step6-Hg products-substances'!B36=no,'Step6-Hg products-substances'!B36=que),'Step6-Hg products-substances'!B36,  pres)</f>
        <v>Present?</v>
      </c>
      <c r="C51" s="375">
        <f>'Step6-Hg products-substances'!C36</f>
        <v>0</v>
      </c>
      <c r="D51" s="273" t="str">
        <f>'Step6-Hg products-substances'!D36</f>
        <v>Paint sold, t/y</v>
      </c>
      <c r="E51" s="439" t="str">
        <f>IF('Insert IL2 results'!C58="",'Step6-Hg products-substances'!F36,'Insert IL2 results'!C58)</f>
        <v>Present?</v>
      </c>
      <c r="F51" s="427" t="str">
        <f>IF('Insert IL2 results'!D58="",'Step6-Hg products-substances'!G36,'Insert IL2 results'!D58)</f>
        <v>Present?</v>
      </c>
      <c r="G51" s="427" t="str">
        <f>IF('Insert IL2 results'!E58="",'Step6-Hg products-substances'!H36,'Insert IL2 results'!E58)</f>
        <v>Present?</v>
      </c>
      <c r="H51" s="427" t="str">
        <f>IF('Insert IL2 results'!F58="",'Step6-Hg products-substances'!I36,'Insert IL2 results'!F58)</f>
        <v>Present?</v>
      </c>
      <c r="I51" s="427" t="str">
        <f>IF('Insert IL2 results'!G58="",'Step6-Hg products-substances'!J36,'Insert IL2 results'!G58)</f>
        <v>Present?</v>
      </c>
      <c r="J51" s="427" t="str">
        <f>IF('Insert IL2 results'!H58="",'Step6-Hg products-substances'!K36,'Insert IL2 results'!H58)</f>
        <v>Present?</v>
      </c>
      <c r="K51" s="427" t="str">
        <f>IF('Insert IL2 results'!I58="",'Step6-Hg products-substances'!L36,'Insert IL2 results'!I58)</f>
        <v>Present?</v>
      </c>
      <c r="L51" s="272" t="str">
        <f>'Step6-Hg products-substances'!M36</f>
        <v>5.5.7</v>
      </c>
    </row>
    <row r="52" spans="1:12" ht="25">
      <c r="A52" s="263" t="str">
        <f>'Step6-Hg products-substances'!A38</f>
        <v>Skin lightening creams and soaps with mercury chemicals</v>
      </c>
      <c r="B52" s="268" t="str">
        <f>IF(OR('Step6-Hg products-substances'!B38=yes,'Step6-Hg products-substances'!B38=no,'Step6-Hg products-substances'!B38=que),'Step6-Hg products-substances'!B38,  pres)</f>
        <v>Present?</v>
      </c>
      <c r="C52" s="375">
        <f>'Step6-Hg products-substances'!C38</f>
        <v>0</v>
      </c>
      <c r="D52" s="273" t="str">
        <f>'Step6-Hg products-substances'!D38</f>
        <v>Cream or soap sold, t/y</v>
      </c>
      <c r="E52" s="439" t="str">
        <f>IF('Insert IL2 results'!C59="",'Step6-Hg products-substances'!F38,'Insert IL2 results'!C59)</f>
        <v>Present?</v>
      </c>
      <c r="F52" s="427" t="str">
        <f>IF('Insert IL2 results'!D59="",'Step6-Hg products-substances'!G38,'Insert IL2 results'!D59)</f>
        <v>Present?</v>
      </c>
      <c r="G52" s="427" t="str">
        <f>IF('Insert IL2 results'!E59="",'Step6-Hg products-substances'!H38,'Insert IL2 results'!E59)</f>
        <v>Present?</v>
      </c>
      <c r="H52" s="427" t="str">
        <f>IF('Insert IL2 results'!F59="",'Step6-Hg products-substances'!I38,'Insert IL2 results'!F59)</f>
        <v>Present?</v>
      </c>
      <c r="I52" s="427" t="str">
        <f>IF('Insert IL2 results'!G59="",'Step6-Hg products-substances'!J38,'Insert IL2 results'!G59)</f>
        <v>Present?</v>
      </c>
      <c r="J52" s="427" t="str">
        <f>IF('Insert IL2 results'!H59="",'Step6-Hg products-substances'!K38,'Insert IL2 results'!H59)</f>
        <v>Present?</v>
      </c>
      <c r="K52" s="427" t="str">
        <f>IF('Insert IL2 results'!I59="",'Step6-Hg products-substances'!L38,'Insert IL2 results'!I59)</f>
        <v>Present?</v>
      </c>
      <c r="L52" s="272" t="str">
        <f>'Step6-Hg products-substances'!M38</f>
        <v>5.5.8</v>
      </c>
    </row>
    <row r="53" spans="1:12" ht="29.25" customHeight="1">
      <c r="A53" s="263" t="str">
        <f>'Step6-Hg products-substances'!A40</f>
        <v>Medical blood pressure gauges (mercury sphygmomanometers)</v>
      </c>
      <c r="B53" s="268" t="str">
        <f>IF(OR('Step6-Hg products-substances'!B40=yes,'Step6-Hg products-substances'!B40=no,'Step6-Hg products-substances'!B40=que),'Step6-Hg products-substances'!B40,  pres)</f>
        <v>Present?</v>
      </c>
      <c r="C53" s="375">
        <f>'Step6-Hg products-substances'!C40</f>
        <v>0</v>
      </c>
      <c r="D53" s="273" t="str">
        <f>'Step6-Hg products-substances'!D40</f>
        <v>Items sold/y</v>
      </c>
      <c r="E53" s="439" t="str">
        <f>IF('Insert IL2 results'!C60="",'Step6-Hg products-substances'!F40,'Insert IL2 results'!C60)</f>
        <v>Present?</v>
      </c>
      <c r="F53" s="427" t="str">
        <f>IF('Insert IL2 results'!D60="",'Step6-Hg products-substances'!G40,'Insert IL2 results'!D60)</f>
        <v>Present?</v>
      </c>
      <c r="G53" s="427" t="str">
        <f>IF('Insert IL2 results'!E60="",'Step6-Hg products-substances'!H40,'Insert IL2 results'!E60)</f>
        <v>Present?</v>
      </c>
      <c r="H53" s="427" t="str">
        <f>IF('Insert IL2 results'!F60="",'Step6-Hg products-substances'!I40,'Insert IL2 results'!F60)</f>
        <v>Present?</v>
      </c>
      <c r="I53" s="427" t="str">
        <f>IF('Insert IL2 results'!G60="",'Step6-Hg products-substances'!J40,'Insert IL2 results'!G60)</f>
        <v>Present?</v>
      </c>
      <c r="J53" s="427" t="str">
        <f>IF('Insert IL2 results'!H60="",'Step6-Hg products-substances'!K40,'Insert IL2 results'!H60)</f>
        <v>Present?</v>
      </c>
      <c r="K53" s="427" t="str">
        <f>IF('Insert IL2 results'!I60="",'Step6-Hg products-substances'!L40,'Insert IL2 results'!I60)</f>
        <v>Present?</v>
      </c>
      <c r="L53" s="272" t="str">
        <f>'Step6-Hg products-substances'!M40</f>
        <v>5.6.2</v>
      </c>
    </row>
    <row r="54" spans="1:12">
      <c r="A54" s="263" t="str">
        <f>'Step6-Hg products-substances'!A42</f>
        <v>Other manometers and gauges with mercury</v>
      </c>
      <c r="B54" s="268" t="str">
        <f>IF(OR('Step6-Hg products-substances'!B42=yes,'Step6-Hg products-substances'!B42=no,'Step6-Hg products-substances'!B42=que),'Step6-Hg products-substances'!B42,  pres)</f>
        <v>Present?</v>
      </c>
      <c r="C54" s="375">
        <f>'Step6-Hg products-substances'!C42</f>
        <v>0</v>
      </c>
      <c r="D54" s="273" t="str">
        <f>'Step6-Hg products-substances'!D42</f>
        <v>Number of inhabitants</v>
      </c>
      <c r="E54" s="439" t="str">
        <f>IF('Insert IL2 results'!C61="",'Step6-Hg products-substances'!F42,'Insert IL2 results'!C61)</f>
        <v>Present?</v>
      </c>
      <c r="F54" s="427" t="str">
        <f>IF('Insert IL2 results'!D61="",'Step6-Hg products-substances'!G42,'Insert IL2 results'!D61)</f>
        <v>Present?</v>
      </c>
      <c r="G54" s="427" t="str">
        <f>IF('Insert IL2 results'!E61="",'Step6-Hg products-substances'!H42,'Insert IL2 results'!E61)</f>
        <v>Present?</v>
      </c>
      <c r="H54" s="427" t="str">
        <f>IF('Insert IL2 results'!F61="",'Step6-Hg products-substances'!I42,'Insert IL2 results'!F61)</f>
        <v>Present?</v>
      </c>
      <c r="I54" s="427" t="str">
        <f>IF('Insert IL2 results'!G61="",'Step6-Hg products-substances'!J42,'Insert IL2 results'!G61)</f>
        <v>Present?</v>
      </c>
      <c r="J54" s="427" t="str">
        <f>IF('Insert IL2 results'!H61="",'Step6-Hg products-substances'!K42,'Insert IL2 results'!H61)</f>
        <v>Present?</v>
      </c>
      <c r="K54" s="427" t="str">
        <f>IF('Insert IL2 results'!I61="",'Step6-Hg products-substances'!L42,'Insert IL2 results'!I61)</f>
        <v>Present?</v>
      </c>
      <c r="L54" s="272" t="str">
        <f>'Step6-Hg products-substances'!M42</f>
        <v>5.6.2</v>
      </c>
    </row>
    <row r="55" spans="1:12">
      <c r="A55" s="263" t="str">
        <f>'Step6-Hg products-substances'!A45</f>
        <v>Laboratory chemicals</v>
      </c>
      <c r="B55" s="268" t="str">
        <f>IF(OR('Step6-Hg products-substances'!B45=yes,'Step6-Hg products-substances'!B45=no,'Step6-Hg products-substances'!B45=que),'Step6-Hg products-substances'!B45,  pres)</f>
        <v>Present?</v>
      </c>
      <c r="C55" s="375">
        <f>'Step6-Hg products-substances'!C45</f>
        <v>0</v>
      </c>
      <c r="D55" s="273" t="str">
        <f>'Step6-Hg products-substances'!D45</f>
        <v>Number of inhabitants</v>
      </c>
      <c r="E55" s="439" t="str">
        <f>IF('Insert IL2 results'!C62="",'Step6-Hg products-substances'!F45,'Insert IL2 results'!C62)</f>
        <v>Present?</v>
      </c>
      <c r="F55" s="427" t="str">
        <f>IF('Insert IL2 results'!D62="",'Step6-Hg products-substances'!G45,'Insert IL2 results'!D62)</f>
        <v>Present?</v>
      </c>
      <c r="G55" s="427" t="str">
        <f>IF('Insert IL2 results'!E62="",'Step6-Hg products-substances'!H45,'Insert IL2 results'!E62)</f>
        <v>Present?</v>
      </c>
      <c r="H55" s="427" t="str">
        <f>IF('Insert IL2 results'!F62="",'Step6-Hg products-substances'!I45,'Insert IL2 results'!F62)</f>
        <v>Present?</v>
      </c>
      <c r="I55" s="427" t="str">
        <f>IF('Insert IL2 results'!G62="",'Step6-Hg products-substances'!J45,'Insert IL2 results'!G62)</f>
        <v>Present?</v>
      </c>
      <c r="J55" s="427" t="str">
        <f>IF('Insert IL2 results'!H62="",'Step6-Hg products-substances'!K45,'Insert IL2 results'!H62)</f>
        <v>Present?</v>
      </c>
      <c r="K55" s="427" t="str">
        <f>IF('Insert IL2 results'!I62="",'Step6-Hg products-substances'!L45,'Insert IL2 results'!I62)</f>
        <v>Present?</v>
      </c>
      <c r="L55" s="272" t="str">
        <f>'Step6-Hg products-substances'!M45</f>
        <v>5.6.3</v>
      </c>
    </row>
    <row r="56" spans="1:12">
      <c r="A56" s="263" t="str">
        <f>'Step6-Hg products-substances'!A48</f>
        <v xml:space="preserve">Other laboratory and medical equipment with mercury </v>
      </c>
      <c r="B56" s="268" t="str">
        <f>IF(OR('Step6-Hg products-substances'!B48=yes,'Step6-Hg products-substances'!B48=no,'Step6-Hg products-substances'!B48=que),'Step6-Hg products-substances'!B48,  pres)</f>
        <v>Present?</v>
      </c>
      <c r="C56" s="375">
        <f>'Step6-Hg products-substances'!C48</f>
        <v>0</v>
      </c>
      <c r="D56" s="273" t="str">
        <f>'Step6-Hg products-substances'!D48</f>
        <v>Number of inhabitants</v>
      </c>
      <c r="E56" s="439" t="str">
        <f>IF('Insert IL2 results'!C63="",'Step6-Hg products-substances'!F48,'Insert IL2 results'!C63)</f>
        <v>Present?</v>
      </c>
      <c r="F56" s="427" t="str">
        <f>IF('Insert IL2 results'!D63="",'Step6-Hg products-substances'!G48,'Insert IL2 results'!D63)</f>
        <v>Present?</v>
      </c>
      <c r="G56" s="427" t="str">
        <f>IF('Insert IL2 results'!E63="",'Step6-Hg products-substances'!H48,'Insert IL2 results'!E63)</f>
        <v>Present?</v>
      </c>
      <c r="H56" s="427" t="str">
        <f>IF('Insert IL2 results'!F63="",'Step6-Hg products-substances'!I48,'Insert IL2 results'!F63)</f>
        <v>Present?</v>
      </c>
      <c r="I56" s="427" t="str">
        <f>IF('Insert IL2 results'!G63="",'Step6-Hg products-substances'!J48,'Insert IL2 results'!G63)</f>
        <v>Present?</v>
      </c>
      <c r="J56" s="427" t="str">
        <f>IF('Insert IL2 results'!H63="",'Step6-Hg products-substances'!K48,'Insert IL2 results'!H63)</f>
        <v>Present?</v>
      </c>
      <c r="K56" s="427" t="str">
        <f>IF('Insert IL2 results'!I63="",'Step6-Hg products-substances'!L48,'Insert IL2 results'!I63)</f>
        <v>Present?</v>
      </c>
      <c r="L56" s="272" t="str">
        <f>'Step6-Hg products-substances'!M48</f>
        <v>5.6.3, 5.6.5</v>
      </c>
    </row>
    <row r="57" spans="1:12" ht="13">
      <c r="A57" s="393" t="str">
        <f>'Step5-Waste treatment+recycling'!A8</f>
        <v>Production of recycled of metals</v>
      </c>
      <c r="B57" s="304"/>
      <c r="C57" s="276"/>
      <c r="D57" s="305"/>
      <c r="E57" s="305"/>
      <c r="F57" s="437"/>
      <c r="G57" s="437"/>
      <c r="H57" s="437"/>
      <c r="I57" s="437"/>
      <c r="J57" s="437"/>
      <c r="K57" s="437"/>
      <c r="L57" s="306"/>
    </row>
    <row r="58" spans="1:12">
      <c r="A58" s="263" t="str">
        <f>'Step5-Waste treatment+recycling'!A9</f>
        <v>Production of recycled mercury ("secondary production”)</v>
      </c>
      <c r="B58" s="268" t="str">
        <f>IF(OR('Step5-Waste treatment+recycling'!B9=yes,'Step5-Waste treatment+recycling'!B9=no,'Step5-Waste treatment+recycling'!B9=que),'Step5-Waste treatment+recycling'!B9,  pres)</f>
        <v>Present?</v>
      </c>
      <c r="C58" s="375">
        <f>'Step5-Waste treatment+recycling'!C9</f>
        <v>0</v>
      </c>
      <c r="D58" s="273" t="str">
        <f>'Step5-Waste treatment+recycling'!D9</f>
        <v xml:space="preserve">Mercury produced, kg/y </v>
      </c>
      <c r="E58" s="439" t="str">
        <f>IF('Insert IL2 results'!C65="",'Step5-Waste treatment+recycling'!F9,'Insert IL2 results'!C65)</f>
        <v>Present?</v>
      </c>
      <c r="F58" s="427" t="str">
        <f>IF('Insert IL2 results'!D65="",'Step5-Waste treatment+recycling'!G9,'Insert IL2 results'!D65)</f>
        <v>Present?</v>
      </c>
      <c r="G58" s="427" t="str">
        <f>IF('Insert IL2 results'!E65="",'Step5-Waste treatment+recycling'!H9,'Insert IL2 results'!E65)</f>
        <v>Present?</v>
      </c>
      <c r="H58" s="427" t="str">
        <f>IF('Insert IL2 results'!F65="",'Step5-Waste treatment+recycling'!I9,'Insert IL2 results'!F65)</f>
        <v>Present?</v>
      </c>
      <c r="I58" s="427" t="str">
        <f>IF('Insert IL2 results'!G65="",'Step5-Waste treatment+recycling'!J9,'Insert IL2 results'!G65)</f>
        <v>Present?</v>
      </c>
      <c r="J58" s="427" t="str">
        <f>IF('Insert IL2 results'!H65="",'Step5-Waste treatment+recycling'!K9,'Insert IL2 results'!H65)</f>
        <v>Present?</v>
      </c>
      <c r="K58" s="427" t="str">
        <f>IF('Insert IL2 results'!I65="",'Step5-Waste treatment+recycling'!L9,'Insert IL2 results'!I65)</f>
        <v>Present?</v>
      </c>
      <c r="L58" s="272" t="str">
        <f>'Step5-Waste treatment+recycling'!M9</f>
        <v>5.7.1</v>
      </c>
    </row>
    <row r="59" spans="1:12">
      <c r="A59" s="263" t="str">
        <f>'Step5-Waste treatment+recycling'!A10</f>
        <v>Production of recycled ferrous metals (iron and steel)</v>
      </c>
      <c r="B59" s="268" t="str">
        <f>IF(OR('Step5-Waste treatment+recycling'!B10=yes,'Step5-Waste treatment+recycling'!B10=no,'Step5-Waste treatment+recycling'!B10=que),'Step5-Waste treatment+recycling'!B10,  pres)</f>
        <v>Present?</v>
      </c>
      <c r="C59" s="375">
        <f>'Step5-Waste treatment+recycling'!C10</f>
        <v>0</v>
      </c>
      <c r="D59" s="273" t="str">
        <f>'Step5-Waste treatment+recycling'!D10</f>
        <v>Number of vehicles recycled/y</v>
      </c>
      <c r="E59" s="439" t="str">
        <f>IF('Insert IL2 results'!C66="",'Step5-Waste treatment+recycling'!F10,'Insert IL2 results'!C66)</f>
        <v>Present?</v>
      </c>
      <c r="F59" s="427" t="str">
        <f>IF('Insert IL2 results'!D66="",'Step5-Waste treatment+recycling'!G10,'Insert IL2 results'!D66)</f>
        <v>Present?</v>
      </c>
      <c r="G59" s="427" t="str">
        <f>IF('Insert IL2 results'!E66="",'Step5-Waste treatment+recycling'!H10,'Insert IL2 results'!E66)</f>
        <v>Present?</v>
      </c>
      <c r="H59" s="427" t="str">
        <f>IF('Insert IL2 results'!F66="",'Step5-Waste treatment+recycling'!I10,'Insert IL2 results'!F66)</f>
        <v>Present?</v>
      </c>
      <c r="I59" s="427" t="str">
        <f>IF('Insert IL2 results'!G66="",'Step5-Waste treatment+recycling'!J10,'Insert IL2 results'!G66)</f>
        <v>Present?</v>
      </c>
      <c r="J59" s="427" t="str">
        <f>IF('Insert IL2 results'!H66="",'Step5-Waste treatment+recycling'!K10,'Insert IL2 results'!H66)</f>
        <v>Present?</v>
      </c>
      <c r="K59" s="427" t="str">
        <f>IF('Insert IL2 results'!I66="",'Step5-Waste treatment+recycling'!L10,'Insert IL2 results'!I66)</f>
        <v>Present?</v>
      </c>
      <c r="L59" s="272" t="str">
        <f>'Step5-Waste treatment+recycling'!M10</f>
        <v>5.7.2</v>
      </c>
    </row>
    <row r="60" spans="1:12" ht="13">
      <c r="A60" s="393" t="str">
        <f>'Step5-Waste treatment+recycling'!A12</f>
        <v>Waste incineration</v>
      </c>
      <c r="B60" s="304"/>
      <c r="C60" s="276"/>
      <c r="D60" s="305"/>
      <c r="E60" s="439"/>
      <c r="F60" s="437"/>
      <c r="G60" s="437"/>
      <c r="H60" s="437"/>
      <c r="I60" s="437"/>
      <c r="J60" s="437"/>
      <c r="K60" s="437"/>
      <c r="L60" s="306"/>
    </row>
    <row r="61" spans="1:12">
      <c r="A61" s="367" t="s">
        <v>561</v>
      </c>
      <c r="B61" s="268" t="str">
        <f>IF(OR('Step5-Waste treatment+recycling'!B13=yes,'Step5-Waste treatment+recycling'!B13=no,'Step5-Waste treatment+recycling'!B13=que),'Step5-Waste treatment+recycling'!B13,  pres)</f>
        <v>Present?</v>
      </c>
      <c r="C61" s="375">
        <f>'Step5-Waste treatment+recycling'!C13</f>
        <v>0</v>
      </c>
      <c r="D61" s="273" t="str">
        <f>'Step5-Waste treatment+recycling'!D13</f>
        <v xml:space="preserve">Waste incinerated, t/y </v>
      </c>
      <c r="E61" s="439" t="str">
        <f>IF('Insert IL2 results'!C68="",'Step5-Waste treatment+recycling'!F13,'Insert IL2 results'!C68)</f>
        <v>Present?</v>
      </c>
      <c r="F61" s="427" t="str">
        <f>IF('Insert IL2 results'!D68="",'Step5-Waste treatment+recycling'!G13,'Insert IL2 results'!D68)</f>
        <v>Present?</v>
      </c>
      <c r="G61" s="427" t="str">
        <f>IF('Insert IL2 results'!E68="",'Step5-Waste treatment+recycling'!H13,'Insert IL2 results'!E68)</f>
        <v>Present?</v>
      </c>
      <c r="H61" s="427" t="str">
        <f>IF('Insert IL2 results'!F68="",'Step5-Waste treatment+recycling'!I13,'Insert IL2 results'!F68)</f>
        <v>Present?</v>
      </c>
      <c r="I61" s="427" t="str">
        <f>IF('Insert IL2 results'!G68="",'Step5-Waste treatment+recycling'!J13,'Insert IL2 results'!G68)</f>
        <v>Present?</v>
      </c>
      <c r="J61" s="427" t="str">
        <f>IF('Insert IL2 results'!H68="",'Step5-Waste treatment+recycling'!K13,'Insert IL2 results'!H68)</f>
        <v>Present?</v>
      </c>
      <c r="K61" s="427" t="str">
        <f>IF('Insert IL2 results'!I68="",'Step5-Waste treatment+recycling'!L13,'Insert IL2 results'!I68)</f>
        <v>Present?</v>
      </c>
      <c r="L61" s="272" t="str">
        <f>'Step5-Waste treatment+recycling'!M13</f>
        <v>5.8.1</v>
      </c>
    </row>
    <row r="62" spans="1:12">
      <c r="A62" s="367" t="s">
        <v>562</v>
      </c>
      <c r="B62" s="268" t="str">
        <f>IF(OR('Step5-Waste treatment+recycling'!B16=yes,'Step5-Waste treatment+recycling'!B16=no,'Step5-Waste treatment+recycling'!B16=que),'Step5-Waste treatment+recycling'!B16,  pres)</f>
        <v>Present?</v>
      </c>
      <c r="C62" s="375">
        <f>'Step5-Waste treatment+recycling'!C16</f>
        <v>0</v>
      </c>
      <c r="D62" s="273" t="str">
        <f>'Step5-Waste treatment+recycling'!D16</f>
        <v>Waste incinerated, t/y</v>
      </c>
      <c r="E62" s="439" t="str">
        <f>IF('Insert IL2 results'!C69="",'Step5-Waste treatment+recycling'!F16,'Insert IL2 results'!C69)</f>
        <v>Present?</v>
      </c>
      <c r="F62" s="427" t="str">
        <f>IF('Insert IL2 results'!D69="",'Step5-Waste treatment+recycling'!G16,'Insert IL2 results'!D69)</f>
        <v>Present?</v>
      </c>
      <c r="G62" s="427" t="str">
        <f>IF('Insert IL2 results'!E69="",'Step5-Waste treatment+recycling'!H16,'Insert IL2 results'!E69)</f>
        <v>Present?</v>
      </c>
      <c r="H62" s="427" t="str">
        <f>IF('Insert IL2 results'!F69="",'Step5-Waste treatment+recycling'!I16,'Insert IL2 results'!F69)</f>
        <v>Present?</v>
      </c>
      <c r="I62" s="427" t="str">
        <f>IF('Insert IL2 results'!G69="",'Step5-Waste treatment+recycling'!J16,'Insert IL2 results'!G69)</f>
        <v>Present?</v>
      </c>
      <c r="J62" s="427" t="str">
        <f>IF('Insert IL2 results'!H69="",'Step5-Waste treatment+recycling'!K16,'Insert IL2 results'!H69)</f>
        <v>Present?</v>
      </c>
      <c r="K62" s="427" t="str">
        <f>IF('Insert IL2 results'!I69="",'Step5-Waste treatment+recycling'!L16,'Insert IL2 results'!I69)</f>
        <v>Present?</v>
      </c>
      <c r="L62" s="272" t="str">
        <f>'Step5-Waste treatment+recycling'!M16</f>
        <v>5.8.2</v>
      </c>
    </row>
    <row r="63" spans="1:12">
      <c r="A63" s="367" t="s">
        <v>840</v>
      </c>
      <c r="B63" s="268" t="str">
        <f>IF(OR('Step5-Waste treatment+recycling'!B19=yes,'Step5-Waste treatment+recycling'!B19=no,'Step5-Waste treatment+recycling'!B19=que),'Step5-Waste treatment+recycling'!B19,  pres)</f>
        <v>Present?</v>
      </c>
      <c r="C63" s="375">
        <f>'Step5-Waste treatment+recycling'!C19</f>
        <v>0</v>
      </c>
      <c r="D63" s="273" t="str">
        <f>'Step5-Waste treatment+recycling'!D19</f>
        <v xml:space="preserve">Waste incinerated, t/y </v>
      </c>
      <c r="E63" s="439" t="str">
        <f>IF('Insert IL2 results'!C70="",'Step5-Waste treatment+recycling'!F19,'Insert IL2 results'!C70)</f>
        <v>Present?</v>
      </c>
      <c r="F63" s="427" t="str">
        <f>IF('Insert IL2 results'!D70="",'Step5-Waste treatment+recycling'!G19,'Insert IL2 results'!D70)</f>
        <v>Present?</v>
      </c>
      <c r="G63" s="427" t="str">
        <f>IF('Insert IL2 results'!E70="",'Step5-Waste treatment+recycling'!H19,'Insert IL2 results'!E70)</f>
        <v>Present?</v>
      </c>
      <c r="H63" s="427" t="str">
        <f>IF('Insert IL2 results'!F70="",'Step5-Waste treatment+recycling'!I19,'Insert IL2 results'!F70)</f>
        <v>Present?</v>
      </c>
      <c r="I63" s="427" t="str">
        <f>IF('Insert IL2 results'!G70="",'Step5-Waste treatment+recycling'!J19,'Insert IL2 results'!G70)</f>
        <v>Present?</v>
      </c>
      <c r="J63" s="427" t="str">
        <f>IF('Insert IL2 results'!H70="",'Step5-Waste treatment+recycling'!K19,'Insert IL2 results'!H70)</f>
        <v>Present?</v>
      </c>
      <c r="K63" s="427" t="str">
        <f>IF('Insert IL2 results'!I70="",'Step5-Waste treatment+recycling'!L19,'Insert IL2 results'!I70)</f>
        <v>Present?</v>
      </c>
      <c r="L63" s="272" t="str">
        <f>'Step5-Waste treatment+recycling'!M19</f>
        <v>5.8.3</v>
      </c>
    </row>
    <row r="64" spans="1:12">
      <c r="A64" s="367" t="s">
        <v>564</v>
      </c>
      <c r="B64" s="268" t="str">
        <f>IF(OR('Step5-Waste treatment+recycling'!B22=yes,'Step5-Waste treatment+recycling'!B22=no,'Step5-Waste treatment+recycling'!B22=que),'Step5-Waste treatment+recycling'!B22,  pres)</f>
        <v>Present?</v>
      </c>
      <c r="C64" s="375">
        <f>'Step5-Waste treatment+recycling'!C22</f>
        <v>0</v>
      </c>
      <c r="D64" s="273" t="str">
        <f>'Step5-Waste treatment+recycling'!D22</f>
        <v xml:space="preserve">Waste incinerated, t/y </v>
      </c>
      <c r="E64" s="439" t="str">
        <f>IF('Insert IL2 results'!C71="",'Step5-Waste treatment+recycling'!F22,'Insert IL2 results'!C71)</f>
        <v>Present?</v>
      </c>
      <c r="F64" s="427" t="str">
        <f>IF('Insert IL2 results'!D71="",'Step5-Waste treatment+recycling'!G22,'Insert IL2 results'!D71)</f>
        <v>Present?</v>
      </c>
      <c r="G64" s="427" t="str">
        <f>IF('Insert IL2 results'!E71="",'Step5-Waste treatment+recycling'!H22,'Insert IL2 results'!E71)</f>
        <v>Present?</v>
      </c>
      <c r="H64" s="427" t="str">
        <f>IF('Insert IL2 results'!F71="",'Step5-Waste treatment+recycling'!I22,'Insert IL2 results'!F71)</f>
        <v>Present?</v>
      </c>
      <c r="I64" s="427" t="str">
        <f>IF('Insert IL2 results'!G71="",'Step5-Waste treatment+recycling'!J22,'Insert IL2 results'!G71)</f>
        <v>Present?</v>
      </c>
      <c r="J64" s="427" t="str">
        <f>IF('Insert IL2 results'!H71="",'Step5-Waste treatment+recycling'!K22,'Insert IL2 results'!H71)</f>
        <v>Present?</v>
      </c>
      <c r="K64" s="427" t="str">
        <f>IF('Insert IL2 results'!I71="",'Step5-Waste treatment+recycling'!L22,'Insert IL2 results'!I71)</f>
        <v>Present?</v>
      </c>
      <c r="L64" s="272" t="str">
        <f>'Step5-Waste treatment+recycling'!M22</f>
        <v>5.8.4</v>
      </c>
    </row>
    <row r="65" spans="1:12">
      <c r="A65" s="367" t="s">
        <v>565</v>
      </c>
      <c r="B65" s="268" t="str">
        <f>IF(OR('Step5-Waste treatment+recycling'!B23=yes,'Step5-Waste treatment+recycling'!B23=no,'Step5-Waste treatment+recycling'!B23=que),'Step5-Waste treatment+recycling'!B23,  pres)</f>
        <v>Present?</v>
      </c>
      <c r="C65" s="375">
        <f>'Step5-Waste treatment+recycling'!C23</f>
        <v>0</v>
      </c>
      <c r="D65" s="273" t="str">
        <f>'Step5-Waste treatment+recycling'!D23</f>
        <v xml:space="preserve">Waste burned, t/y </v>
      </c>
      <c r="E65" s="439" t="str">
        <f>IF('Insert IL2 results'!C72="",'Step5-Waste treatment+recycling'!F23,'Insert IL2 results'!C72)</f>
        <v>Present?</v>
      </c>
      <c r="F65" s="427" t="str">
        <f>IF('Insert IL2 results'!D72="",'Step5-Waste treatment+recycling'!G23,'Insert IL2 results'!D72)</f>
        <v>Present?</v>
      </c>
      <c r="G65" s="427" t="str">
        <f>IF('Insert IL2 results'!E72="",'Step5-Waste treatment+recycling'!H23,'Insert IL2 results'!E72)</f>
        <v>Present?</v>
      </c>
      <c r="H65" s="427" t="str">
        <f>IF('Insert IL2 results'!F72="",'Step5-Waste treatment+recycling'!I23,'Insert IL2 results'!F72)</f>
        <v>Present?</v>
      </c>
      <c r="I65" s="427" t="str">
        <f>IF('Insert IL2 results'!G72="",'Step5-Waste treatment+recycling'!J23,'Insert IL2 results'!G72)</f>
        <v>Present?</v>
      </c>
      <c r="J65" s="427" t="str">
        <f>IF('Insert IL2 results'!H72="",'Step5-Waste treatment+recycling'!K23,'Insert IL2 results'!H72)</f>
        <v>Present?</v>
      </c>
      <c r="K65" s="427" t="str">
        <f>IF('Insert IL2 results'!I72="",'Step5-Waste treatment+recycling'!L23,'Insert IL2 results'!I72)</f>
        <v>Present?</v>
      </c>
      <c r="L65" s="272" t="str">
        <f>'Step5-Waste treatment+recycling'!M23</f>
        <v>5.8.5</v>
      </c>
    </row>
    <row r="66" spans="1:12" ht="26">
      <c r="A66" s="393" t="str">
        <f>'Step5-Waste treatment+recycling'!A25</f>
        <v>Waste deposition/landfilling and waste water treatment</v>
      </c>
      <c r="B66" s="304"/>
      <c r="C66" s="276"/>
      <c r="D66" s="305"/>
      <c r="E66" s="305"/>
      <c r="F66" s="437"/>
      <c r="G66" s="437"/>
      <c r="H66" s="437"/>
      <c r="I66" s="437"/>
      <c r="J66" s="437"/>
      <c r="K66" s="437"/>
      <c r="L66" s="306"/>
    </row>
    <row r="67" spans="1:12">
      <c r="A67" s="367" t="s">
        <v>537</v>
      </c>
      <c r="B67" s="268" t="str">
        <f>IF(OR('Step5-Waste treatment+recycling'!B26=yes,'Step5-Waste treatment+recycling'!B26=no,'Step5-Waste treatment+recycling'!B26=que),'Step5-Waste treatment+recycling'!B26,  pres)</f>
        <v>Present?</v>
      </c>
      <c r="C67" s="375">
        <f>'Step5-Waste treatment+recycling'!C26</f>
        <v>0</v>
      </c>
      <c r="D67" s="273" t="str">
        <f>'Step5-Waste treatment+recycling'!D26</f>
        <v>Waste landfilled, t/y</v>
      </c>
      <c r="E67" s="439" t="str">
        <f>IF('Insert IL2 results'!C74="",'Step5-Waste treatment+recycling'!F26,'Insert IL2 results'!C74)</f>
        <v>Present?</v>
      </c>
      <c r="F67" s="427" t="str">
        <f>IF('Insert IL2 results'!D74="",'Step5-Waste treatment+recycling'!G26,'Insert IL2 results'!D74)</f>
        <v>Present?</v>
      </c>
      <c r="G67" s="427" t="str">
        <f>IF('Insert IL2 results'!E74="",'Step5-Waste treatment+recycling'!H26,'Insert IL2 results'!E74)</f>
        <v>Present?</v>
      </c>
      <c r="H67" s="427" t="str">
        <f>IF('Insert IL2 results'!F74="",'Step5-Waste treatment+recycling'!I26,'Insert IL2 results'!F74)</f>
        <v>Present?</v>
      </c>
      <c r="I67" s="427" t="str">
        <f>IF('Insert IL2 results'!G74="",'Step5-Waste treatment+recycling'!J26,'Insert IL2 results'!G74)</f>
        <v>Present?</v>
      </c>
      <c r="J67" s="427" t="str">
        <f>IF('Insert IL2 results'!H74="",'Step5-Waste treatment+recycling'!K26,'Insert IL2 results'!H74)</f>
        <v>Present?</v>
      </c>
      <c r="K67" s="427" t="str">
        <f>IF('Insert IL2 results'!I74="",'Step5-Waste treatment+recycling'!L26,'Insert IL2 results'!I74)</f>
        <v>Present?</v>
      </c>
      <c r="L67" s="272" t="str">
        <f>'Step5-Waste treatment+recycling'!M26</f>
        <v>5.9.1</v>
      </c>
    </row>
    <row r="68" spans="1:12">
      <c r="A68" s="367" t="s">
        <v>557</v>
      </c>
      <c r="B68" s="268" t="str">
        <f>IF(OR('Step5-Waste treatment+recycling'!B27=yes,'Step5-Waste treatment+recycling'!B27=no,'Step5-Waste treatment+recycling'!B27=que),'Step5-Waste treatment+recycling'!B27,  pres)</f>
        <v>Present?</v>
      </c>
      <c r="C68" s="375">
        <f>'Step5-Waste treatment+recycling'!C27</f>
        <v>0</v>
      </c>
      <c r="D68" s="273" t="str">
        <f>'Step5-Waste treatment+recycling'!D27</f>
        <v>Waste dumped, t/y</v>
      </c>
      <c r="E68" s="439" t="str">
        <f>IF('Insert IL2 results'!C75="",'Step5-Waste treatment+recycling'!F27,'Insert IL2 results'!C75)</f>
        <v>Present?</v>
      </c>
      <c r="F68" s="427" t="str">
        <f>IF('Insert IL2 results'!D75="",'Step5-Waste treatment+recycling'!G27,'Insert IL2 results'!D75)</f>
        <v>Present?</v>
      </c>
      <c r="G68" s="427" t="str">
        <f>IF('Insert IL2 results'!E75="",'Step5-Waste treatment+recycling'!H27,'Insert IL2 results'!E75)</f>
        <v>Present?</v>
      </c>
      <c r="H68" s="427" t="str">
        <f>IF('Insert IL2 results'!F75="",'Step5-Waste treatment+recycling'!I27,'Insert IL2 results'!F75)</f>
        <v>Present?</v>
      </c>
      <c r="I68" s="427" t="str">
        <f>IF('Insert IL2 results'!G75="",'Step5-Waste treatment+recycling'!J27,'Insert IL2 results'!G75)</f>
        <v>Present?</v>
      </c>
      <c r="J68" s="427" t="str">
        <f>IF('Insert IL2 results'!H75="",'Step5-Waste treatment+recycling'!K27,'Insert IL2 results'!H75)</f>
        <v>Present?</v>
      </c>
      <c r="K68" s="427" t="str">
        <f>IF('Insert IL2 results'!I75="",'Step5-Waste treatment+recycling'!L27,'Insert IL2 results'!I75)</f>
        <v>Present?</v>
      </c>
      <c r="L68" s="272" t="str">
        <f>'Step5-Waste treatment+recycling'!M27</f>
        <v>5.9.4</v>
      </c>
    </row>
    <row r="69" spans="1:12">
      <c r="A69" s="367" t="s">
        <v>536</v>
      </c>
      <c r="B69" s="268" t="str">
        <f>IF(OR('Step5-Waste treatment+recycling'!B29=yes,'Step5-Waste treatment+recycling'!B29=no,'Step5-Waste treatment+recycling'!B29=que),'Step5-Waste treatment+recycling'!B29,  pres)</f>
        <v>Present?</v>
      </c>
      <c r="C69" s="375">
        <f>'Step5-Waste treatment+recycling'!C29</f>
        <v>0</v>
      </c>
      <c r="D69" s="273" t="str">
        <f>'Step5-Waste treatment+recycling'!D29</f>
        <v xml:space="preserve">Waste water, m3/y </v>
      </c>
      <c r="E69" s="439" t="str">
        <f>IF('Insert IL2 results'!C76="",'Step5-Waste treatment+recycling'!F29,'Insert IL2 results'!C76)</f>
        <v>Present?</v>
      </c>
      <c r="F69" s="427" t="str">
        <f>IF('Insert IL2 results'!D76="",'Step5-Waste treatment+recycling'!G29,'Insert IL2 results'!D76)</f>
        <v>Present?</v>
      </c>
      <c r="G69" s="427" t="str">
        <f>IF('Insert IL2 results'!E76="",'Step5-Waste treatment+recycling'!H29,'Insert IL2 results'!E76)</f>
        <v>Present?</v>
      </c>
      <c r="H69" s="427" t="str">
        <f>IF('Insert IL2 results'!F76="",'Step5-Waste treatment+recycling'!I29,'Insert IL2 results'!F76)</f>
        <v>Present?</v>
      </c>
      <c r="I69" s="427" t="str">
        <f>IF('Insert IL2 results'!G76="",'Step5-Waste treatment+recycling'!J29,'Insert IL2 results'!G76)</f>
        <v>Present?</v>
      </c>
      <c r="J69" s="427" t="str">
        <f>IF('Insert IL2 results'!H76="",'Step5-Waste treatment+recycling'!K29,'Insert IL2 results'!H76)</f>
        <v>Present?</v>
      </c>
      <c r="K69" s="427" t="str">
        <f>IF('Insert IL2 results'!I76="",'Step5-Waste treatment+recycling'!L29,'Insert IL2 results'!I76)</f>
        <v>Present?</v>
      </c>
      <c r="L69" s="272" t="str">
        <f>'Step5-Waste treatment+recycling'!M29</f>
        <v>5.9.5</v>
      </c>
    </row>
    <row r="70" spans="1:12" ht="13">
      <c r="A70" s="393" t="str">
        <f>'Step7-Crematoria-cemetaries'!A4</f>
        <v>Crematoria and cemeteries</v>
      </c>
      <c r="B70" s="304"/>
      <c r="C70" s="276"/>
      <c r="D70" s="305"/>
      <c r="E70" s="305"/>
      <c r="F70" s="437"/>
      <c r="G70" s="437"/>
      <c r="H70" s="437"/>
      <c r="I70" s="437"/>
      <c r="J70" s="437"/>
      <c r="K70" s="437"/>
      <c r="L70" s="306"/>
    </row>
    <row r="71" spans="1:12">
      <c r="A71" s="263" t="str">
        <f>'Step7-Crematoria-cemetaries'!A5</f>
        <v>Crematoria</v>
      </c>
      <c r="B71" s="268" t="str">
        <f>IF(OR('Step7-Crematoria-cemetaries'!B5=yes,'Step7-Crematoria-cemetaries'!B5=no,'Step7-Crematoria-cemetaries'!B5=que),'Step7-Crematoria-cemetaries'!B5,  pres)</f>
        <v>Present?</v>
      </c>
      <c r="C71" s="375">
        <f>'Step7-Crematoria-cemetaries'!C5</f>
        <v>0</v>
      </c>
      <c r="D71" s="273" t="str">
        <f>'Step7-Crematoria-cemetaries'!D5</f>
        <v>Corpses cremated/y</v>
      </c>
      <c r="E71" s="439" t="str">
        <f>IF('Insert IL2 results'!C78="",'Step7-Crematoria-cemetaries'!E5,'Insert IL2 results'!C78)</f>
        <v>Present?</v>
      </c>
      <c r="F71" s="427" t="str">
        <f>IF('Insert IL2 results'!D78="",'Step7-Crematoria-cemetaries'!F5,'Insert IL2 results'!D78)</f>
        <v>Present?</v>
      </c>
      <c r="G71" s="427" t="str">
        <f>IF('Insert IL2 results'!E78="",'Step7-Crematoria-cemetaries'!G5,'Insert IL2 results'!E78)</f>
        <v>Present?</v>
      </c>
      <c r="H71" s="427" t="str">
        <f>IF('Insert IL2 results'!F78="",'Step7-Crematoria-cemetaries'!H5,'Insert IL2 results'!F78)</f>
        <v>Present?</v>
      </c>
      <c r="I71" s="427" t="str">
        <f>IF('Insert IL2 results'!G78="",'Step7-Crematoria-cemetaries'!I5,'Insert IL2 results'!G78)</f>
        <v>Present?</v>
      </c>
      <c r="J71" s="427" t="str">
        <f>IF('Insert IL2 results'!H78="",'Step7-Crematoria-cemetaries'!J5,'Insert IL2 results'!H78)</f>
        <v>Present?</v>
      </c>
      <c r="K71" s="427" t="str">
        <f>IF('Insert IL2 results'!I78="",'Step7-Crematoria-cemetaries'!K5,'Insert IL2 results'!I78)</f>
        <v>Present?</v>
      </c>
      <c r="L71" s="272" t="str">
        <f>'Step7-Crematoria-cemetaries'!L5</f>
        <v>5.10.1</v>
      </c>
    </row>
    <row r="72" spans="1:12">
      <c r="A72" s="263" t="str">
        <f>'Step7-Crematoria-cemetaries'!A6</f>
        <v>Cemeteries</v>
      </c>
      <c r="B72" s="268" t="str">
        <f>IF(OR('Step7-Crematoria-cemetaries'!B6=yes,'Step7-Crematoria-cemetaries'!B6=no,'Step7-Crematoria-cemetaries'!B6=que),'Step7-Crematoria-cemetaries'!B6,  pres)</f>
        <v>Present?</v>
      </c>
      <c r="C72" s="375">
        <f>'Step7-Crematoria-cemetaries'!C6</f>
        <v>0</v>
      </c>
      <c r="D72" s="273" t="str">
        <f>'Step7-Crematoria-cemetaries'!D6</f>
        <v>Corpses buried/y</v>
      </c>
      <c r="E72" s="439" t="str">
        <f>IF('Insert IL2 results'!C79="",'Step7-Crematoria-cemetaries'!E6,'Insert IL2 results'!C79)</f>
        <v>Present?</v>
      </c>
      <c r="F72" s="427" t="str">
        <f>IF('Insert IL2 results'!D79="",'Step7-Crematoria-cemetaries'!F6,'Insert IL2 results'!D79)</f>
        <v>Present?</v>
      </c>
      <c r="G72" s="427" t="str">
        <f>IF('Insert IL2 results'!E79="",'Step7-Crematoria-cemetaries'!G6,'Insert IL2 results'!E79)</f>
        <v>Present?</v>
      </c>
      <c r="H72" s="427" t="str">
        <f>IF('Insert IL2 results'!F79="",'Step7-Crematoria-cemetaries'!H6,'Insert IL2 results'!F79)</f>
        <v>Present?</v>
      </c>
      <c r="I72" s="427" t="str">
        <f>IF('Insert IL2 results'!G79="",'Step7-Crematoria-cemetaries'!I6,'Insert IL2 results'!G79)</f>
        <v>Present?</v>
      </c>
      <c r="J72" s="427" t="str">
        <f>IF('Insert IL2 results'!H79="",'Step7-Crematoria-cemetaries'!J6,'Insert IL2 results'!H79)</f>
        <v>Present?</v>
      </c>
      <c r="K72" s="427" t="str">
        <f>IF('Insert IL2 results'!I79="",'Step7-Crematoria-cemetaries'!K6,'Insert IL2 results'!I79)</f>
        <v>Present?</v>
      </c>
      <c r="L72" s="272" t="str">
        <f>'Step7-Crematoria-cemetaries'!L6</f>
        <v>5.10.2</v>
      </c>
    </row>
    <row r="73" spans="1:12" s="356" customFormat="1" ht="13">
      <c r="A73" s="265" t="s">
        <v>1097</v>
      </c>
      <c r="B73" s="428"/>
      <c r="C73" s="375"/>
      <c r="D73" s="374"/>
      <c r="E73" s="430">
        <f>ROUND((SUM(E5:E72)-0.9*(SUM(E61:E61)+SUM(E62:E62)+SUM(E63:E63)+SUM(E64:E64)+SUM(E65:E65)+SUM(E67:E67)+SUM(E68:E68))-IF(OR(E69=0,E69=que),0,SUM(E69:E69))+(-IF(OR(E36=0,E36=que),0,SUM(E36:E36))+SUM(F36:K36))+(-IF(OR(E37=0,E37=que),0,SUM(E37:E37))+SUM(F37:K37))+(-IF(OR(E38=0,E38=que),0,SUM(E38:E38))+SUM(F38:K38))+(-IF(OR(E39=0,E39=que),0,SUM(E39:E39))+SUM(F39:K39))+(-IF(OR(E40=0,E40=que),0,SUM(E40:E40))+SUM(F40:K40))+(-IF(OR(E41=0,E41=que),0,SUM(E41:E41))+SUM(F41:K41))+(-IF(OR(E42=0,E42=que),0,SUM(E42:E42))+SUM(F42:K42))+(-IF(OR(E43=0,E43=que),0,SUM(E43:E43))+SUM(F43:K43))+(-IF(OR(E15=0,E15=que),0,SUM(E15:E15))+SUM(F15:K15))+(-IF(OR(E16=0,E16=que),0,SUM(E16:E16))+SUM(F16:K16))+(-IF(OR(E17=0,E17=que),0,SUM(E17:E17))+SUM(F17:K17))-(IF(OR(E29=0,E29=que),0,SUM('5-3 Other min + mat'!AG6:AG6)))),-1)</f>
        <v>0</v>
      </c>
      <c r="F73" s="438">
        <f>ROUND(SUM(F5:F72)-(IF(OR(E29=0,E29=que,E29=pres, E29="-"),0,'5-3 Other min + mat'!AH6)),-1)</f>
        <v>0</v>
      </c>
      <c r="G73" s="438" t="e">
        <f>ROUND(SUM(G5:G72)-IF(OR(G69="-",G69=que),0,G69)-(IF(OR(E29=0,E29=que,E29=pres, E29="-"),0,'5-3 Other min + mat'!AI6)),-1)</f>
        <v>#VALUE!</v>
      </c>
      <c r="H73" s="438">
        <f>ROUND(SUM(H5:H72)-IF(OR(H68="-",H68=que,H68=pres),0,SUM(H68:H68))-(IF(OR(EE29=0,E29=que,E29=pres, E29="-"),0,SUM('5-3 Other min + mat'!AJ6:AJ6))),-1)</f>
        <v>0</v>
      </c>
      <c r="I73" s="438">
        <f>ROUND(SUM(I5:I72)-(IF(OR(E29=0,E29=que,E29=pres, E29="-"),0,SUM('5-3 Other min + mat'!AK6:AK6))),-1)</f>
        <v>0</v>
      </c>
      <c r="J73" s="438">
        <f>ROUND(SUM(J5:J72)-(IF(OR(E29=0,E29=que,E29=pres, E29="-"),0,SUM('5-3 Other min + mat'!AL6:AL6))),-1)</f>
        <v>0</v>
      </c>
      <c r="K73" s="438">
        <f>ROUND(SUM(K5:K72)-(IF(OR(E29=0,E29=que,E29=pres, E29="-"),0,SUM('5-3 Other min + mat'!AM6:AM6))),-1)</f>
        <v>0</v>
      </c>
      <c r="L73" s="374"/>
    </row>
    <row r="74" spans="1:12">
      <c r="A74" s="323" t="s">
        <v>56</v>
      </c>
      <c r="B74" s="359"/>
      <c r="E74" s="3"/>
      <c r="F74" s="472"/>
    </row>
    <row r="75" spans="1:12">
      <c r="A75" s="323" t="s">
        <v>560</v>
      </c>
    </row>
    <row r="76" spans="1:12">
      <c r="A76" s="339" t="s">
        <v>534</v>
      </c>
    </row>
    <row r="77" spans="1:12">
      <c r="A77" s="339" t="s">
        <v>553</v>
      </c>
    </row>
    <row r="78" spans="1:12">
      <c r="A78" s="339" t="s">
        <v>535</v>
      </c>
      <c r="L78" s="836">
        <f>ROUND((SUM(E5:E72)-0.9*(SUM(E61:E61)+SUM(E62:E62)+SUM(E63:E63)+SUM(E64:E64)+SUM(E65:E65)+SUM(E67:E67)+SUM(E68:E68))-IF(OR(E69=0,E69=que),0,SUM(E69:E69))+(-IF(OR(E36=0,E36=que),0,SUM(E36:E36))+SUM(F36:K36))+(-IF(OR(E37=0,E37=que),0,SUM(E37:E37))+SUM(F37:K37))+(-IF(OR(E38=0,E38=que),0,SUM(E38:E38))+SUM(F38:K38))+(-IF(OR(E39=0,E39=que),0,SUM(E39:E39))+SUM(F39:K39))+(-IF(OR(E40=0,E40=que),0,SUM(E40:E40))+SUM(F40:K40))+(-IF(OR(E41=0,E41=que),0,SUM(E41:E41)+SUM(F41:K41))+(-IF(OR(E42=0,E42=que),0,SUM(E42:E42))+SUM(F42:K42))+(-IF(OR(E43=0,E43=que),0,SUM(E43:E43))+SUM(F43:K43)))+(-IF(OR(E15=0,E15=que),0,SUM(E15:E15))+SUM(F15:K15))+(-IF(OR(E16=0,E16=que),0,SUM(E16:E16))+SUM(F16:K16))+(-IF(OR(E17=0,E17=que),0,SUM(E17:E17))+SUM(F17:K17))-(IF(OR(E29=0,E29=que),0,SUM('5-3 Other min + mat'!AG6:AG6)))),-1)</f>
        <v>0</v>
      </c>
    </row>
    <row r="79" spans="1:12">
      <c r="A79" s="323" t="s">
        <v>554</v>
      </c>
    </row>
    <row r="80" spans="1:12">
      <c r="A80" s="323" t="s">
        <v>538</v>
      </c>
    </row>
    <row r="81" spans="1:1">
      <c r="A81" s="323" t="s">
        <v>542</v>
      </c>
    </row>
    <row r="82" spans="1:1" ht="13">
      <c r="A82" s="323" t="s">
        <v>884</v>
      </c>
    </row>
    <row r="83" spans="1:1">
      <c r="A83" s="587" t="s">
        <v>1098</v>
      </c>
    </row>
    <row r="85" spans="1:1">
      <c r="A85" s="586" t="s">
        <v>978</v>
      </c>
    </row>
    <row r="86" spans="1:1">
      <c r="A86" s="586" t="s">
        <v>977</v>
      </c>
    </row>
  </sheetData>
  <sheetProtection algorithmName="SHA-512" hashValue="eUKQQEnldwR5bKA4qi7EKrSGs+VnfeTBGFOWWG3hmzAud90V7LtnoAjWCbfnh/l6yc99bl7dUXkRPFg79wIYJA==" saltValue="SB5ZpXJ9Iy8VoT+aEuOafQ==" spinCount="100000" sheet="1" objects="1" scenarios="1"/>
  <customSheetViews>
    <customSheetView guid="{EB7FE26D-7077-48F2-8515-D783BE87A220}" fitToPage="1" topLeftCell="A70">
      <selection activeCell="E104" sqref="E104"/>
      <pageMargins left="0.39370078740157483" right="0.39370078740157483" top="0.74803149606299213" bottom="0.74803149606299213" header="0.31496062992125984" footer="0.31496062992125984"/>
      <pageSetup paperSize="9" scale="86" fitToHeight="2" orientation="landscape" r:id="rId1"/>
      <headerFooter>
        <oddFooter>&amp;L&amp;A
Printed &amp;D</oddFooter>
      </headerFooter>
    </customSheetView>
  </customSheetViews>
  <mergeCells count="1">
    <mergeCell ref="F2:K2"/>
  </mergeCells>
  <pageMargins left="0.39370078740157483" right="0.39370078740157483" top="0.74803149606299213" bottom="0.74803149606299213" header="0.31496062992125984" footer="0.31496062992125984"/>
  <pageSetup paperSize="9" scale="86" fitToHeight="2" orientation="landscape" r:id="rId2"/>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26" stopIfTrue="1" id="{38038F7B-76CB-41A7-8003-A795F54220A9}">
            <xm:f>'Insert IL2 results'!C12&lt;&gt;""</xm:f>
            <x14:dxf>
              <font>
                <color rgb="FF00B050"/>
              </font>
            </x14:dxf>
          </x14:cfRule>
          <xm:sqref>E58:E65 E15:K17 E19:K27 E29:K30 E32:K34 E36:K43 E45:K56 F58:K59 F61:K65 E67:K69 E71:K72 E5:K6</xm:sqref>
        </x14:conditionalFormatting>
        <x14:conditionalFormatting xmlns:xm="http://schemas.microsoft.com/office/excel/2006/main">
          <x14:cfRule type="expression" priority="42" stopIfTrue="1" id="{38038F7B-76CB-41A7-8003-A795F54220A9}">
            <xm:f>'Insert IL2 results'!C13&lt;&gt;""</xm:f>
            <x14:dxf>
              <font>
                <color rgb="FF00B050"/>
              </font>
            </x14:dxf>
          </x14:cfRule>
          <xm:sqref>E7:K13</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52"/>
  <sheetViews>
    <sheetView workbookViewId="0"/>
  </sheetViews>
  <sheetFormatPr defaultColWidth="9.1796875" defaultRowHeight="12.5"/>
  <cols>
    <col min="1" max="1" width="96.81640625" style="207" customWidth="1"/>
    <col min="2" max="16384" width="9.1796875" style="202"/>
  </cols>
  <sheetData>
    <row r="1" spans="1:1" ht="18">
      <c r="A1" s="209" t="s">
        <v>415</v>
      </c>
    </row>
    <row r="2" spans="1:1" ht="63">
      <c r="A2" s="203" t="s">
        <v>3</v>
      </c>
    </row>
    <row r="4" spans="1:1" ht="25.5">
      <c r="A4" s="203" t="s">
        <v>4</v>
      </c>
    </row>
    <row r="6" spans="1:1" ht="25.5">
      <c r="A6" s="203" t="s">
        <v>5</v>
      </c>
    </row>
    <row r="7" spans="1:1" ht="13">
      <c r="A7" s="203"/>
    </row>
    <row r="8" spans="1:1" ht="13">
      <c r="A8" s="212" t="s">
        <v>26</v>
      </c>
    </row>
    <row r="9" spans="1:1" ht="62.5">
      <c r="A9" s="213" t="s">
        <v>27</v>
      </c>
    </row>
    <row r="10" spans="1:1" ht="37.5">
      <c r="A10" s="213" t="s">
        <v>28</v>
      </c>
    </row>
    <row r="12" spans="1:1" ht="15.5">
      <c r="A12" s="210" t="s">
        <v>0</v>
      </c>
    </row>
    <row r="13" spans="1:1" ht="13">
      <c r="A13" s="203" t="s">
        <v>6</v>
      </c>
    </row>
    <row r="15" spans="1:1" ht="13">
      <c r="A15" s="203" t="s">
        <v>7</v>
      </c>
    </row>
    <row r="17" spans="1:1" ht="25.5">
      <c r="A17" s="204" t="s">
        <v>8</v>
      </c>
    </row>
    <row r="19" spans="1:1" ht="38">
      <c r="A19" s="204" t="s">
        <v>9</v>
      </c>
    </row>
    <row r="20" spans="1:1" ht="37.5">
      <c r="A20" s="205" t="s">
        <v>10</v>
      </c>
    </row>
    <row r="22" spans="1:1" s="206" customFormat="1" ht="25.5">
      <c r="A22" s="204" t="s">
        <v>11</v>
      </c>
    </row>
    <row r="24" spans="1:1" ht="63">
      <c r="A24" s="203" t="s">
        <v>12</v>
      </c>
    </row>
    <row r="26" spans="1:1" ht="50.5">
      <c r="A26" s="203" t="s">
        <v>13</v>
      </c>
    </row>
    <row r="28" spans="1:1" ht="100.5">
      <c r="A28" s="203" t="s">
        <v>14</v>
      </c>
    </row>
    <row r="30" spans="1:1" ht="50.5">
      <c r="A30" s="203" t="s">
        <v>15</v>
      </c>
    </row>
    <row r="32" spans="1:1" ht="50.5">
      <c r="A32" s="203" t="s">
        <v>16</v>
      </c>
    </row>
    <row r="33" spans="1:1" ht="100">
      <c r="A33" s="208" t="s">
        <v>2</v>
      </c>
    </row>
    <row r="34" spans="1:1">
      <c r="A34" s="208"/>
    </row>
    <row r="35" spans="1:1" ht="100.5">
      <c r="A35" s="203" t="s">
        <v>17</v>
      </c>
    </row>
    <row r="37" spans="1:1" ht="63">
      <c r="A37" s="203" t="s">
        <v>18</v>
      </c>
    </row>
    <row r="39" spans="1:1" ht="38">
      <c r="A39" s="203" t="s">
        <v>19</v>
      </c>
    </row>
    <row r="41" spans="1:1" ht="14">
      <c r="A41" s="211" t="s">
        <v>1</v>
      </c>
    </row>
    <row r="42" spans="1:1" ht="50.5">
      <c r="A42" s="203" t="s">
        <v>20</v>
      </c>
    </row>
    <row r="44" spans="1:1" ht="75.5">
      <c r="A44" s="203" t="s">
        <v>21</v>
      </c>
    </row>
    <row r="46" spans="1:1" ht="63">
      <c r="A46" s="203" t="s">
        <v>22</v>
      </c>
    </row>
    <row r="48" spans="1:1" ht="50.5">
      <c r="A48" s="203" t="s">
        <v>23</v>
      </c>
    </row>
    <row r="50" spans="1:1" ht="50.5">
      <c r="A50" s="203" t="s">
        <v>24</v>
      </c>
    </row>
    <row r="52" spans="1:1" ht="50.5">
      <c r="A52" s="203" t="s">
        <v>25</v>
      </c>
    </row>
  </sheetData>
  <sheetProtection password="83AF" sheet="1"/>
  <customSheetViews>
    <customSheetView guid="{EB7FE26D-7077-48F2-8515-D783BE87A220}" state="hidden">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E74"/>
  <sheetViews>
    <sheetView workbookViewId="0"/>
  </sheetViews>
  <sheetFormatPr defaultColWidth="8.81640625" defaultRowHeight="12.5"/>
  <cols>
    <col min="1" max="1" width="4.81640625" customWidth="1"/>
    <col min="2" max="2" width="7.1796875" customWidth="1"/>
    <col min="3" max="3" width="56.453125" customWidth="1"/>
    <col min="4" max="4" width="9.1796875" style="44"/>
    <col min="5" max="5" width="12.6328125" customWidth="1"/>
    <col min="8" max="8" width="11" customWidth="1"/>
    <col min="10" max="10" width="22.36328125" customWidth="1"/>
    <col min="11" max="11" width="109.36328125" style="9" customWidth="1"/>
  </cols>
  <sheetData>
    <row r="1" spans="1:31" ht="18">
      <c r="A1" s="1" t="s">
        <v>34</v>
      </c>
      <c r="L1" s="48"/>
    </row>
    <row r="2" spans="1:31" ht="18">
      <c r="A2" s="1" t="s">
        <v>29</v>
      </c>
      <c r="L2" s="48"/>
    </row>
    <row r="3" spans="1:31">
      <c r="A3" t="s">
        <v>30</v>
      </c>
    </row>
    <row r="4" spans="1:31">
      <c r="A4" s="3"/>
      <c r="B4" s="2"/>
      <c r="C4" s="2"/>
    </row>
    <row r="5" spans="1:31">
      <c r="A5" t="s">
        <v>301</v>
      </c>
    </row>
    <row r="6" spans="1:31">
      <c r="A6" s="3"/>
      <c r="B6" s="2"/>
      <c r="C6" s="2"/>
    </row>
    <row r="7" spans="1:31">
      <c r="A7" s="6" t="s">
        <v>313</v>
      </c>
    </row>
    <row r="8" spans="1:31">
      <c r="A8" s="3"/>
      <c r="B8" s="2"/>
      <c r="C8" s="2"/>
    </row>
    <row r="9" spans="1:31" ht="26">
      <c r="A9" s="56" t="s">
        <v>52</v>
      </c>
      <c r="B9" s="56" t="s">
        <v>320</v>
      </c>
      <c r="C9" s="57" t="s">
        <v>312</v>
      </c>
      <c r="D9" s="214" t="s">
        <v>153</v>
      </c>
      <c r="E9" s="81" t="s">
        <v>54</v>
      </c>
      <c r="F9" s="79"/>
      <c r="G9" s="79"/>
      <c r="H9" s="80"/>
      <c r="I9" s="80"/>
      <c r="J9" s="82"/>
      <c r="K9" s="215" t="s">
        <v>87</v>
      </c>
    </row>
    <row r="10" spans="1:31" ht="38.25" customHeight="1">
      <c r="A10" s="58"/>
      <c r="B10" s="58"/>
      <c r="C10" s="58"/>
      <c r="D10" s="76"/>
      <c r="E10" s="77" t="s">
        <v>38</v>
      </c>
      <c r="F10" s="77" t="s">
        <v>39</v>
      </c>
      <c r="G10" s="77" t="s">
        <v>40</v>
      </c>
      <c r="H10" s="78" t="s">
        <v>356</v>
      </c>
      <c r="I10" s="78" t="s">
        <v>42</v>
      </c>
      <c r="J10" s="78" t="s">
        <v>227</v>
      </c>
      <c r="K10" s="216"/>
      <c r="M10" s="48"/>
      <c r="N10" s="48"/>
      <c r="O10" s="48"/>
      <c r="P10" s="48"/>
      <c r="Q10" s="48"/>
      <c r="R10" s="48"/>
      <c r="S10" s="48"/>
      <c r="T10" s="48"/>
      <c r="U10" s="48"/>
      <c r="V10" s="48"/>
      <c r="W10" s="48"/>
      <c r="X10" s="48"/>
      <c r="Y10" s="48"/>
      <c r="Z10" s="48"/>
      <c r="AA10" s="48"/>
      <c r="AB10" s="48"/>
      <c r="AC10" s="48"/>
      <c r="AD10" s="48"/>
      <c r="AE10" s="48"/>
    </row>
    <row r="11" spans="1:31" ht="13">
      <c r="A11" s="57" t="str">
        <f>'5-1 Fuels'!A5</f>
        <v>5.1</v>
      </c>
      <c r="B11" s="57"/>
      <c r="C11" s="57" t="str">
        <f>'5-1 Fuels'!C5</f>
        <v>Source category: Extraction and use of fuels/energy sources</v>
      </c>
      <c r="D11" s="76"/>
      <c r="E11" s="76"/>
      <c r="F11" s="76"/>
      <c r="G11" s="76"/>
      <c r="H11" s="76"/>
      <c r="I11" s="76"/>
      <c r="J11" s="76"/>
      <c r="K11" s="216"/>
      <c r="M11" s="48"/>
      <c r="N11" s="48"/>
      <c r="O11" s="48"/>
      <c r="P11" s="48"/>
      <c r="Q11" s="48"/>
      <c r="R11" s="48"/>
      <c r="S11" s="48"/>
      <c r="T11" s="48"/>
      <c r="U11" s="48"/>
      <c r="V11" s="48"/>
      <c r="W11" s="48"/>
      <c r="X11" s="48"/>
      <c r="Y11" s="48"/>
      <c r="Z11" s="48"/>
      <c r="AA11" s="48"/>
      <c r="AB11" s="48"/>
      <c r="AC11" s="48"/>
      <c r="AD11" s="48"/>
      <c r="AE11" s="48"/>
    </row>
    <row r="12" spans="1:31" ht="13">
      <c r="A12" s="57"/>
      <c r="B12" s="281" t="str">
        <f>'5-1 Fuels'!B6</f>
        <v>5.1.1</v>
      </c>
      <c r="C12" s="281" t="str">
        <f>'5-1 Fuels'!C6</f>
        <v>Coal combustion in large power plants</v>
      </c>
      <c r="D12" s="76">
        <f>'5-1 Fuels'!D6</f>
        <v>0</v>
      </c>
      <c r="E12" s="86">
        <f>'5-1 Fuels'!V6</f>
        <v>0</v>
      </c>
      <c r="F12" s="84">
        <f>'5-1 Fuels'!W6</f>
        <v>0</v>
      </c>
      <c r="G12" s="84">
        <f>'5-1 Fuels'!X6</f>
        <v>0</v>
      </c>
      <c r="H12" s="84">
        <f>'5-1 Fuels'!Y6</f>
        <v>0</v>
      </c>
      <c r="I12" s="86">
        <f>'5-1 Fuels'!Z6</f>
        <v>0</v>
      </c>
      <c r="J12" s="84">
        <f>'5-1 Fuels'!AA6</f>
        <v>0</v>
      </c>
      <c r="K12" s="216"/>
      <c r="M12" s="48"/>
      <c r="N12" s="48"/>
      <c r="O12" s="48"/>
      <c r="P12" s="48"/>
      <c r="Q12" s="48"/>
      <c r="R12" s="48"/>
      <c r="S12" s="48"/>
      <c r="T12" s="48"/>
      <c r="U12" s="48"/>
      <c r="V12" s="48"/>
      <c r="W12" s="48"/>
      <c r="X12" s="48"/>
      <c r="Y12" s="48"/>
      <c r="Z12" s="48"/>
      <c r="AA12" s="48"/>
      <c r="AB12" s="48"/>
      <c r="AC12" s="48"/>
      <c r="AD12" s="48"/>
      <c r="AE12" s="48"/>
    </row>
    <row r="13" spans="1:31" ht="13">
      <c r="A13" s="57"/>
      <c r="B13" s="281" t="str">
        <f>'5-1 Fuels'!B16</f>
        <v>5.1.2.1</v>
      </c>
      <c r="C13" s="281" t="str">
        <f>'5-1 Fuels'!C16</f>
        <v>Coal combustion in coal fired industrial boilers</v>
      </c>
      <c r="D13" s="76">
        <f>'5-1 Fuels'!D16</f>
        <v>0</v>
      </c>
      <c r="E13" s="84">
        <f>'5-1 Fuels'!V16</f>
        <v>0</v>
      </c>
      <c r="F13" s="84">
        <f>'5-1 Fuels'!W16</f>
        <v>0</v>
      </c>
      <c r="G13" s="84">
        <f>'5-1 Fuels'!X16</f>
        <v>0</v>
      </c>
      <c r="H13" s="84">
        <f>'5-1 Fuels'!Y16</f>
        <v>0</v>
      </c>
      <c r="I13" s="84">
        <f>'5-1 Fuels'!Z16</f>
        <v>0</v>
      </c>
      <c r="J13" s="84">
        <f>'5-1 Fuels'!AA16</f>
        <v>0</v>
      </c>
      <c r="K13" s="216"/>
      <c r="M13" s="48"/>
      <c r="N13" s="48"/>
      <c r="O13" s="48"/>
      <c r="P13" s="48"/>
      <c r="Q13" s="48"/>
      <c r="R13" s="48"/>
      <c r="S13" s="48"/>
      <c r="T13" s="48"/>
      <c r="U13" s="48"/>
      <c r="V13" s="48"/>
      <c r="W13" s="48"/>
      <c r="X13" s="48"/>
      <c r="Y13" s="48"/>
      <c r="Z13" s="48"/>
      <c r="AA13" s="48"/>
      <c r="AB13" s="48"/>
      <c r="AC13" s="48"/>
      <c r="AD13" s="48"/>
      <c r="AE13" s="48"/>
    </row>
    <row r="14" spans="1:31" ht="13">
      <c r="A14" s="57"/>
      <c r="B14" s="281" t="str">
        <f>'5-1 Fuels'!B34</f>
        <v>5.1.3</v>
      </c>
      <c r="C14" s="281" t="str">
        <f>'5-1 Fuels'!C34</f>
        <v>Mineral oils - extraction, refining and use</v>
      </c>
      <c r="D14" s="76">
        <f>'5-1 Fuels'!D34</f>
        <v>0</v>
      </c>
      <c r="E14" s="84">
        <f>'5-1 Fuels'!V34</f>
        <v>0</v>
      </c>
      <c r="F14" s="84">
        <f>'5-1 Fuels'!W34</f>
        <v>0</v>
      </c>
      <c r="G14" s="84">
        <f>'5-1 Fuels'!X34</f>
        <v>0</v>
      </c>
      <c r="H14" s="84">
        <f>'5-1 Fuels'!Y34</f>
        <v>0</v>
      </c>
      <c r="I14" s="84">
        <f>'5-1 Fuels'!Z34</f>
        <v>0</v>
      </c>
      <c r="J14" s="84">
        <f>'5-1 Fuels'!AA34</f>
        <v>0</v>
      </c>
      <c r="K14" s="216"/>
      <c r="M14" s="48"/>
      <c r="N14" s="48"/>
      <c r="O14" s="48"/>
      <c r="P14" s="48"/>
      <c r="Q14" s="48"/>
      <c r="R14" s="48"/>
      <c r="S14" s="48"/>
      <c r="T14" s="48"/>
      <c r="U14" s="48"/>
      <c r="V14" s="48"/>
      <c r="W14" s="48"/>
      <c r="X14" s="48"/>
      <c r="Y14" s="48"/>
      <c r="Z14" s="48"/>
      <c r="AA14" s="48"/>
      <c r="AB14" s="48"/>
      <c r="AC14" s="48"/>
      <c r="AD14" s="48"/>
      <c r="AE14" s="48"/>
    </row>
    <row r="15" spans="1:31" ht="13">
      <c r="A15" s="57"/>
      <c r="B15" s="281" t="str">
        <f>'5-1 Fuels'!B49</f>
        <v>5.1.4</v>
      </c>
      <c r="C15" s="281" t="str">
        <f>'5-1 Fuels'!C49</f>
        <v>Natural gas - extraction, refining and use</v>
      </c>
      <c r="D15" s="76">
        <f>'5-1 Fuels'!D49</f>
        <v>0</v>
      </c>
      <c r="E15" s="84">
        <f>'5-1 Fuels'!V49</f>
        <v>0</v>
      </c>
      <c r="F15" s="84">
        <f>'5-1 Fuels'!W49</f>
        <v>0</v>
      </c>
      <c r="G15" s="84">
        <f>'5-1 Fuels'!X49</f>
        <v>0</v>
      </c>
      <c r="H15" s="84">
        <f>'5-1 Fuels'!Y49</f>
        <v>0</v>
      </c>
      <c r="I15" s="84">
        <f>'5-1 Fuels'!Z49</f>
        <v>0</v>
      </c>
      <c r="J15" s="84">
        <f>'5-1 Fuels'!AA49</f>
        <v>0</v>
      </c>
      <c r="K15" s="216"/>
      <c r="M15" s="48"/>
      <c r="N15" s="48"/>
      <c r="O15" s="48"/>
      <c r="P15" s="48"/>
      <c r="Q15" s="48"/>
      <c r="R15" s="48"/>
      <c r="S15" s="48"/>
      <c r="T15" s="48"/>
      <c r="U15" s="48"/>
      <c r="V15" s="48"/>
      <c r="W15" s="48"/>
      <c r="X15" s="48"/>
      <c r="Y15" s="48"/>
      <c r="Z15" s="48"/>
      <c r="AA15" s="48"/>
      <c r="AB15" s="48"/>
      <c r="AC15" s="48"/>
      <c r="AD15" s="48"/>
      <c r="AE15" s="48"/>
    </row>
    <row r="16" spans="1:31" ht="13">
      <c r="A16" s="57"/>
      <c r="B16" s="281" t="str">
        <f>'5-1 Fuels'!B56</f>
        <v>5.1.5</v>
      </c>
      <c r="C16" s="281" t="str">
        <f>'5-1 Fuels'!C56</f>
        <v>Other fossil fuels - extraction and use</v>
      </c>
      <c r="D16" s="76">
        <f>'5-1 Fuels'!D56</f>
        <v>0</v>
      </c>
      <c r="E16" s="84">
        <f>'5-1 Fuels'!V56</f>
        <v>0</v>
      </c>
      <c r="F16" s="84">
        <f>'5-1 Fuels'!W56</f>
        <v>0</v>
      </c>
      <c r="G16" s="84">
        <f>'5-1 Fuels'!X56</f>
        <v>0</v>
      </c>
      <c r="H16" s="84">
        <f>'5-1 Fuels'!Y56</f>
        <v>0</v>
      </c>
      <c r="I16" s="84">
        <f>'5-1 Fuels'!Z56</f>
        <v>0</v>
      </c>
      <c r="J16" s="84">
        <f>'5-1 Fuels'!AA56</f>
        <v>0</v>
      </c>
      <c r="K16" s="216"/>
      <c r="M16" s="48"/>
      <c r="N16" s="48"/>
      <c r="O16" s="48"/>
      <c r="P16" s="48"/>
      <c r="Q16" s="48"/>
      <c r="R16" s="48"/>
      <c r="S16" s="48"/>
      <c r="T16" s="48"/>
      <c r="U16" s="48"/>
      <c r="V16" s="48"/>
      <c r="W16" s="48"/>
      <c r="X16" s="48"/>
      <c r="Y16" s="48"/>
      <c r="Z16" s="48"/>
      <c r="AA16" s="48"/>
      <c r="AB16" s="48"/>
      <c r="AC16" s="48"/>
      <c r="AD16" s="48"/>
      <c r="AE16" s="48"/>
    </row>
    <row r="17" spans="1:31" ht="13">
      <c r="A17" s="57"/>
      <c r="B17" s="281" t="str">
        <f>'5-1 Fuels'!B62</f>
        <v>5.1.6</v>
      </c>
      <c r="C17" s="281" t="str">
        <f>'5-1 Fuels'!C62</f>
        <v>Biomass fired power and heat production</v>
      </c>
      <c r="D17" s="76">
        <f>'5-1 Fuels'!D62</f>
        <v>0</v>
      </c>
      <c r="E17" s="84">
        <f>'5-1 Fuels'!V62</f>
        <v>0</v>
      </c>
      <c r="F17" s="84">
        <f>'5-1 Fuels'!W62</f>
        <v>0</v>
      </c>
      <c r="G17" s="84">
        <f>'5-1 Fuels'!X62</f>
        <v>0</v>
      </c>
      <c r="H17" s="84">
        <f>'5-1 Fuels'!Y62</f>
        <v>0</v>
      </c>
      <c r="I17" s="84">
        <f>'5-1 Fuels'!Z62</f>
        <v>0</v>
      </c>
      <c r="J17" s="84">
        <f>'5-1 Fuels'!AA62</f>
        <v>0</v>
      </c>
      <c r="K17" s="216"/>
      <c r="M17" s="48"/>
      <c r="N17" s="48"/>
      <c r="O17" s="48"/>
      <c r="P17" s="48"/>
      <c r="Q17" s="48"/>
      <c r="R17" s="48"/>
      <c r="S17" s="48"/>
      <c r="T17" s="48"/>
      <c r="U17" s="48"/>
      <c r="V17" s="48"/>
      <c r="W17" s="48"/>
      <c r="X17" s="48"/>
      <c r="Y17" s="48"/>
      <c r="Z17" s="48"/>
      <c r="AA17" s="48"/>
      <c r="AB17" s="48"/>
      <c r="AC17" s="48"/>
      <c r="AD17" s="48"/>
      <c r="AE17" s="48"/>
    </row>
    <row r="18" spans="1:31" s="55" customFormat="1" ht="13">
      <c r="A18" s="57"/>
      <c r="B18" s="281" t="str">
        <f>'5-1 Fuels'!B65</f>
        <v>5.1.7</v>
      </c>
      <c r="C18" s="281" t="str">
        <f>'5-1 Fuels'!C65</f>
        <v>Geothermal power production</v>
      </c>
      <c r="D18" s="76">
        <f>'5-1 Fuels'!D65</f>
        <v>0</v>
      </c>
      <c r="E18" s="84">
        <f>'5-1 Fuels'!V65</f>
        <v>0</v>
      </c>
      <c r="F18" s="84">
        <f>'5-1 Fuels'!W65</f>
        <v>0</v>
      </c>
      <c r="G18" s="84">
        <f>'5-1 Fuels'!X65</f>
        <v>0</v>
      </c>
      <c r="H18" s="84">
        <f>'5-1 Fuels'!Y65</f>
        <v>0</v>
      </c>
      <c r="I18" s="84">
        <f>'5-1 Fuels'!Z65</f>
        <v>0</v>
      </c>
      <c r="J18" s="84">
        <f>'5-1 Fuels'!AA65</f>
        <v>0</v>
      </c>
      <c r="K18" s="216"/>
      <c r="L18" s="13"/>
      <c r="M18" s="48"/>
      <c r="N18" s="48"/>
      <c r="O18" s="48"/>
      <c r="P18" s="48"/>
      <c r="Q18" s="48"/>
      <c r="R18" s="48"/>
      <c r="S18" s="48"/>
      <c r="T18" s="48"/>
      <c r="U18" s="48"/>
      <c r="V18" s="48"/>
      <c r="W18" s="48"/>
      <c r="X18" s="48"/>
      <c r="Y18" s="48"/>
      <c r="Z18" s="48"/>
      <c r="AA18" s="48"/>
      <c r="AB18" s="48"/>
      <c r="AC18" s="48"/>
      <c r="AD18" s="48"/>
      <c r="AE18" s="48"/>
    </row>
    <row r="19" spans="1:31" ht="13">
      <c r="A19" s="56" t="str">
        <f>'5-2 Prim metal'!A5</f>
        <v>5.2</v>
      </c>
      <c r="B19" s="56"/>
      <c r="C19" s="57" t="str">
        <f>'5-2 Prim metal'!C5</f>
        <v>Source category: Primary (virgin) metal production</v>
      </c>
      <c r="D19" s="76"/>
      <c r="E19" s="84"/>
      <c r="F19" s="84"/>
      <c r="G19" s="84"/>
      <c r="H19" s="84"/>
      <c r="I19" s="84"/>
      <c r="J19" s="84"/>
      <c r="K19" s="217"/>
      <c r="L19" s="13"/>
      <c r="M19" s="48"/>
      <c r="N19" s="48"/>
      <c r="O19" s="48"/>
      <c r="P19" s="48"/>
      <c r="Q19" s="48"/>
      <c r="R19" s="48"/>
      <c r="S19" s="48"/>
      <c r="T19" s="48"/>
      <c r="U19" s="48"/>
      <c r="V19" s="48"/>
      <c r="W19" s="48"/>
      <c r="X19" s="48"/>
      <c r="Y19" s="48"/>
      <c r="Z19" s="48"/>
      <c r="AA19" s="48"/>
      <c r="AB19" s="48"/>
      <c r="AC19" s="48"/>
      <c r="AD19" s="48"/>
      <c r="AE19" s="48"/>
    </row>
    <row r="20" spans="1:31" ht="13">
      <c r="A20" s="56"/>
      <c r="B20" s="112" t="str">
        <f>'5-2 Prim metal'!B6</f>
        <v>5.2.1</v>
      </c>
      <c r="C20" s="281" t="str">
        <f>'5-2 Prim metal'!C6</f>
        <v>Mercury (primary) extraction and initial processing</v>
      </c>
      <c r="D20" s="76">
        <f>'5-2 Prim metal'!D6</f>
        <v>0</v>
      </c>
      <c r="E20" s="84">
        <f>'5-2 Prim metal'!V6</f>
        <v>0</v>
      </c>
      <c r="F20" s="84">
        <f>'5-2 Prim metal'!W6</f>
        <v>0</v>
      </c>
      <c r="G20" s="84">
        <f>'5-2 Prim metal'!X6</f>
        <v>0</v>
      </c>
      <c r="H20" s="84">
        <f>'5-2 Prim metal'!Y6</f>
        <v>0</v>
      </c>
      <c r="I20" s="84">
        <f>'5-2 Prim metal'!Z6</f>
        <v>0</v>
      </c>
      <c r="J20" s="84">
        <f>'5-2 Prim metal'!AA6</f>
        <v>0</v>
      </c>
      <c r="K20" s="218"/>
    </row>
    <row r="21" spans="1:31" ht="13">
      <c r="A21" s="56"/>
      <c r="B21" s="112" t="str">
        <f>'5-2 Prim metal'!B8</f>
        <v>5.2.2</v>
      </c>
      <c r="C21" s="281" t="str">
        <f>'5-2 Prim metal'!C8</f>
        <v>Gold and silver extraction with mercury amalgamation processes</v>
      </c>
      <c r="D21" s="76">
        <f>'5-2 Prim metal'!D8</f>
        <v>0</v>
      </c>
      <c r="E21" s="84">
        <f>'5-2 Prim metal'!V8</f>
        <v>0</v>
      </c>
      <c r="F21" s="84">
        <f>'5-2 Prim metal'!W8</f>
        <v>0</v>
      </c>
      <c r="G21" s="84">
        <f>'5-2 Prim metal'!X8</f>
        <v>0</v>
      </c>
      <c r="H21" s="84">
        <f>'5-2 Prim metal'!Y8</f>
        <v>0</v>
      </c>
      <c r="I21" s="84">
        <f>'5-2 Prim metal'!Z8</f>
        <v>0</v>
      </c>
      <c r="J21" s="84">
        <f>'5-2 Prim metal'!AA8</f>
        <v>0</v>
      </c>
      <c r="K21" s="218"/>
    </row>
    <row r="22" spans="1:31" ht="13">
      <c r="A22" s="56"/>
      <c r="B22" s="112" t="str">
        <f>'5-2 Prim metal'!B14</f>
        <v>5.3.3</v>
      </c>
      <c r="C22" s="281" t="str">
        <f>'5-2 Prim metal'!C14</f>
        <v>Zinc extraction and initial processing</v>
      </c>
      <c r="D22" s="76">
        <f>'5-2 Prim metal'!D14</f>
        <v>0</v>
      </c>
      <c r="E22" s="84">
        <f>'5-2 Prim metal'!V14</f>
        <v>0</v>
      </c>
      <c r="F22" s="84">
        <f>'5-2 Prim metal'!W14</f>
        <v>0</v>
      </c>
      <c r="G22" s="84">
        <f>'5-2 Prim metal'!X14</f>
        <v>0</v>
      </c>
      <c r="H22" s="84">
        <f>'5-2 Prim metal'!Y14</f>
        <v>0</v>
      </c>
      <c r="I22" s="84">
        <f>'5-2 Prim metal'!Z14</f>
        <v>0</v>
      </c>
      <c r="J22" s="84">
        <f>'5-2 Prim metal'!AA14</f>
        <v>0</v>
      </c>
      <c r="K22" s="218"/>
    </row>
    <row r="23" spans="1:31" ht="13">
      <c r="A23" s="56"/>
      <c r="B23" s="112" t="str">
        <f>'5-2 Prim metal'!B21</f>
        <v>5.3.4</v>
      </c>
      <c r="C23" s="281" t="str">
        <f>'5-2 Prim metal'!C21</f>
        <v>Copper extraction and initial processing</v>
      </c>
      <c r="D23" s="76">
        <f>'5-2 Prim metal'!D21</f>
        <v>0</v>
      </c>
      <c r="E23" s="84">
        <f>'5-2 Prim metal'!V21</f>
        <v>0</v>
      </c>
      <c r="F23" s="84">
        <f>'5-2 Prim metal'!W21</f>
        <v>0</v>
      </c>
      <c r="G23" s="84">
        <f>'5-2 Prim metal'!X21</f>
        <v>0</v>
      </c>
      <c r="H23" s="84">
        <f>'5-2 Prim metal'!Y21</f>
        <v>0</v>
      </c>
      <c r="I23" s="84">
        <f>'5-2 Prim metal'!Z21</f>
        <v>0</v>
      </c>
      <c r="J23" s="84">
        <f>'5-2 Prim metal'!AA21</f>
        <v>0</v>
      </c>
      <c r="K23" s="218"/>
    </row>
    <row r="24" spans="1:31" ht="13">
      <c r="A24" s="56"/>
      <c r="B24" s="112" t="str">
        <f>'5-2 Prim metal'!B28</f>
        <v>5.3.5</v>
      </c>
      <c r="C24" s="281" t="str">
        <f>'5-2 Prim metal'!C28</f>
        <v>Lead extraction and initial processing</v>
      </c>
      <c r="D24" s="76">
        <f>'5-2 Prim metal'!D28</f>
        <v>0</v>
      </c>
      <c r="E24" s="84">
        <f>'5-2 Prim metal'!V28</f>
        <v>0</v>
      </c>
      <c r="F24" s="84">
        <f>'5-2 Prim metal'!W28</f>
        <v>0</v>
      </c>
      <c r="G24" s="84">
        <f>'5-2 Prim metal'!X28</f>
        <v>0</v>
      </c>
      <c r="H24" s="84">
        <f>'5-2 Prim metal'!Y28</f>
        <v>0</v>
      </c>
      <c r="I24" s="84">
        <f>'5-2 Prim metal'!Z28</f>
        <v>0</v>
      </c>
      <c r="J24" s="84">
        <f>'5-2 Prim metal'!AA28</f>
        <v>0</v>
      </c>
      <c r="K24" s="218"/>
    </row>
    <row r="25" spans="1:31" ht="25.5">
      <c r="A25" s="56"/>
      <c r="B25" s="112" t="str">
        <f>'5-2 Prim metal'!B35</f>
        <v>5.3.6</v>
      </c>
      <c r="C25" s="281" t="str">
        <f>'5-2 Prim metal'!C35</f>
        <v>Gold extraction and initial processing by methods other than mercury amalgamation (a</v>
      </c>
      <c r="D25" s="76">
        <f>'5-2 Prim metal'!D35</f>
        <v>0</v>
      </c>
      <c r="E25" s="84">
        <f>'5-2 Prim metal'!V35</f>
        <v>0</v>
      </c>
      <c r="F25" s="84">
        <f>'5-2 Prim metal'!W35</f>
        <v>0</v>
      </c>
      <c r="G25" s="84">
        <f>'5-2 Prim metal'!X35</f>
        <v>0</v>
      </c>
      <c r="H25" s="84">
        <f>'5-2 Prim metal'!Y35</f>
        <v>0</v>
      </c>
      <c r="I25" s="84">
        <f>'5-2 Prim metal'!Z35</f>
        <v>0</v>
      </c>
      <c r="J25" s="84">
        <f>'5-2 Prim metal'!AA35</f>
        <v>0</v>
      </c>
      <c r="K25" s="218"/>
    </row>
    <row r="26" spans="1:31" ht="13">
      <c r="A26" s="56"/>
      <c r="B26" s="112" t="str">
        <f>'5-2 Prim metal'!B37</f>
        <v>5.3.7</v>
      </c>
      <c r="C26" s="281" t="str">
        <f>'5-2 Prim metal'!C37</f>
        <v>Aliminium extraction and initial processing</v>
      </c>
      <c r="D26" s="76">
        <f>'5-2 Prim metal'!D37</f>
        <v>0</v>
      </c>
      <c r="E26" s="84">
        <f>'5-2 Prim metal'!V37</f>
        <v>0</v>
      </c>
      <c r="F26" s="84">
        <f>'5-2 Prim metal'!W37</f>
        <v>0</v>
      </c>
      <c r="G26" s="84">
        <f>'5-2 Prim metal'!X37</f>
        <v>0</v>
      </c>
      <c r="H26" s="84">
        <f>'5-2 Prim metal'!Y37</f>
        <v>0</v>
      </c>
      <c r="I26" s="84">
        <f>'5-2 Prim metal'!Z37</f>
        <v>0</v>
      </c>
      <c r="J26" s="84">
        <f>'5-2 Prim metal'!AA37</f>
        <v>0</v>
      </c>
      <c r="K26" s="218"/>
    </row>
    <row r="27" spans="1:31" ht="13">
      <c r="A27" s="56"/>
      <c r="B27" s="112" t="str">
        <f>'5-2 Prim metal'!B41</f>
        <v>5.3.8</v>
      </c>
      <c r="C27" s="281" t="str">
        <f>'5-2 Prim metal'!C41</f>
        <v>Other non-ferrous metals - extraction and processing</v>
      </c>
      <c r="D27" s="76">
        <f>'5-2 Prim metal'!D41</f>
        <v>0</v>
      </c>
      <c r="E27" s="84">
        <f>'5-2 Prim metal'!V41</f>
        <v>0</v>
      </c>
      <c r="F27" s="84">
        <f>'5-2 Prim metal'!W41</f>
        <v>0</v>
      </c>
      <c r="G27" s="84">
        <f>'5-2 Prim metal'!X41</f>
        <v>0</v>
      </c>
      <c r="H27" s="84">
        <f>'5-2 Prim metal'!Y41</f>
        <v>0</v>
      </c>
      <c r="I27" s="84">
        <f>'5-2 Prim metal'!Z41</f>
        <v>0</v>
      </c>
      <c r="J27" s="84">
        <f>'5-2 Prim metal'!AA41</f>
        <v>0</v>
      </c>
      <c r="K27" s="218"/>
    </row>
    <row r="28" spans="1:31" ht="13">
      <c r="A28" s="56"/>
      <c r="B28" s="112" t="str">
        <f>'5-2 Prim metal'!B43</f>
        <v>5.3.9</v>
      </c>
      <c r="C28" s="281" t="str">
        <f>'5-2 Prim metal'!C43</f>
        <v>Primary ferrous metal production</v>
      </c>
      <c r="D28" s="76">
        <f>'5-2 Prim metal'!D43</f>
        <v>0</v>
      </c>
      <c r="E28" s="84">
        <f>'5-2 Prim metal'!V43</f>
        <v>0</v>
      </c>
      <c r="F28" s="84">
        <f>'5-2 Prim metal'!W43</f>
        <v>0</v>
      </c>
      <c r="G28" s="84">
        <f>'5-2 Prim metal'!X43</f>
        <v>0</v>
      </c>
      <c r="H28" s="84">
        <f>'5-2 Prim metal'!Y43</f>
        <v>0</v>
      </c>
      <c r="I28" s="84">
        <f>'5-2 Prim metal'!Z43</f>
        <v>0</v>
      </c>
      <c r="J28" s="84">
        <f>'5-2 Prim metal'!AA43</f>
        <v>0</v>
      </c>
      <c r="K28" s="218"/>
    </row>
    <row r="29" spans="1:31" ht="26">
      <c r="A29" s="56" t="str">
        <f>'5-3 Other min + mat'!A5</f>
        <v>5.3</v>
      </c>
      <c r="B29" s="56"/>
      <c r="C29" s="57" t="str">
        <f>'5-3 Other min + mat'!C5</f>
        <v>Source category: Production of other minerals and materials with mercury impurities</v>
      </c>
      <c r="D29" s="76"/>
      <c r="E29" s="84"/>
      <c r="F29" s="84"/>
      <c r="G29" s="84"/>
      <c r="H29" s="84"/>
      <c r="I29" s="84"/>
      <c r="J29" s="84"/>
      <c r="K29" s="217"/>
    </row>
    <row r="30" spans="1:31" ht="13">
      <c r="A30" s="56"/>
      <c r="B30" s="112" t="str">
        <f>'5-3 Other min + mat'!B6</f>
        <v>5.3.1</v>
      </c>
      <c r="C30" s="281" t="str">
        <f>'5-3 Other min + mat'!C6</f>
        <v>Cement production</v>
      </c>
      <c r="D30" s="76">
        <f>'5-3 Other min + mat'!D6</f>
        <v>0</v>
      </c>
      <c r="E30" s="84">
        <f>'5-3 Other min + mat'!V6</f>
        <v>0</v>
      </c>
      <c r="F30" s="84">
        <f>'5-3 Other min + mat'!W6</f>
        <v>0</v>
      </c>
      <c r="G30" s="84">
        <f>'5-3 Other min + mat'!X6</f>
        <v>0</v>
      </c>
      <c r="H30" s="84">
        <f>'5-3 Other min + mat'!Y6</f>
        <v>0</v>
      </c>
      <c r="I30" s="84">
        <f>'5-3 Other min + mat'!Z6</f>
        <v>0</v>
      </c>
      <c r="J30" s="84">
        <f>'5-3 Other min + mat'!AA6</f>
        <v>0</v>
      </c>
      <c r="K30" s="217"/>
    </row>
    <row r="31" spans="1:31" ht="13">
      <c r="A31" s="56"/>
      <c r="B31" s="112" t="str">
        <f>'5-3 Other min + mat'!B31</f>
        <v>5.3.2</v>
      </c>
      <c r="C31" s="281" t="str">
        <f>'5-3 Other min + mat'!C31</f>
        <v>Pulp and paper production</v>
      </c>
      <c r="D31" s="76">
        <f>'5-3 Other min + mat'!D31</f>
        <v>0</v>
      </c>
      <c r="E31" s="84">
        <f>'5-3 Other min + mat'!V31</f>
        <v>0</v>
      </c>
      <c r="F31" s="84">
        <f>'5-3 Other min + mat'!W31</f>
        <v>0</v>
      </c>
      <c r="G31" s="84">
        <f>'5-3 Other min + mat'!X31</f>
        <v>0</v>
      </c>
      <c r="H31" s="84">
        <f>'5-3 Other min + mat'!Y31</f>
        <v>0</v>
      </c>
      <c r="I31" s="84">
        <f>'5-3 Other min + mat'!Z31</f>
        <v>0</v>
      </c>
      <c r="J31" s="84">
        <f>'5-3 Other min + mat'!AA31</f>
        <v>0</v>
      </c>
      <c r="K31" s="217"/>
    </row>
    <row r="32" spans="1:31" ht="13">
      <c r="A32" s="56"/>
      <c r="B32" s="112" t="str">
        <f>'5-3 Other min + mat'!B34</f>
        <v>5.3.3</v>
      </c>
      <c r="C32" s="281" t="str">
        <f>'5-3 Other min + mat'!C34</f>
        <v>Production of lime and light weight aggregates</v>
      </c>
      <c r="D32" s="76">
        <f>'5-3 Other min + mat'!D34</f>
        <v>0</v>
      </c>
      <c r="E32" s="84">
        <f>'5-3 Other min + mat'!V34</f>
        <v>0</v>
      </c>
      <c r="F32" s="84">
        <f>'5-3 Other min + mat'!W34</f>
        <v>0</v>
      </c>
      <c r="G32" s="84">
        <f>'5-3 Other min + mat'!X34</f>
        <v>0</v>
      </c>
      <c r="H32" s="84">
        <f>'5-3 Other min + mat'!Y34</f>
        <v>0</v>
      </c>
      <c r="I32" s="84">
        <f>'5-3 Other min + mat'!Z34</f>
        <v>0</v>
      </c>
      <c r="J32" s="84">
        <f>'5-3 Other min + mat'!AA34</f>
        <v>0</v>
      </c>
      <c r="K32" s="217"/>
    </row>
    <row r="33" spans="1:11" ht="26">
      <c r="A33" s="56" t="str">
        <f>'5-4 Int Hg in Industry'!A5</f>
        <v>5.4</v>
      </c>
      <c r="B33" s="56"/>
      <c r="C33" s="57" t="str">
        <f>'5-4 Int Hg in Industry'!C5</f>
        <v>Source category: Intentional use of mercury in industrial processes</v>
      </c>
      <c r="D33" s="76"/>
      <c r="E33" s="84"/>
      <c r="F33" s="84"/>
      <c r="G33" s="84"/>
      <c r="H33" s="84"/>
      <c r="I33" s="84"/>
      <c r="J33" s="84"/>
      <c r="K33" s="217"/>
    </row>
    <row r="34" spans="1:11" ht="13">
      <c r="A34" s="56"/>
      <c r="B34" s="112" t="str">
        <f>'5-4 Int Hg in Industry'!B6</f>
        <v>5.4.1</v>
      </c>
      <c r="C34" s="281" t="str">
        <f>'5-4 Int Hg in Industry'!C6</f>
        <v>Chlor-alkali production with mercury-technology</v>
      </c>
      <c r="D34" s="76">
        <f>'5-4 Int Hg in Industry'!D6</f>
        <v>0</v>
      </c>
      <c r="E34" s="84">
        <f>'5-4 Int Hg in Industry'!V6</f>
        <v>0</v>
      </c>
      <c r="F34" s="84">
        <f>'5-4 Int Hg in Industry'!W6</f>
        <v>0</v>
      </c>
      <c r="G34" s="84">
        <f>'5-4 Int Hg in Industry'!X6</f>
        <v>0</v>
      </c>
      <c r="H34" s="84">
        <f>'5-4 Int Hg in Industry'!Y6</f>
        <v>0</v>
      </c>
      <c r="I34" s="84">
        <f>'5-4 Int Hg in Industry'!Z6</f>
        <v>0</v>
      </c>
      <c r="J34" s="84">
        <f>'5-4 Int Hg in Industry'!AA6</f>
        <v>0</v>
      </c>
      <c r="K34" s="217"/>
    </row>
    <row r="35" spans="1:11" ht="13">
      <c r="A35" s="56"/>
      <c r="B35" s="112" t="str">
        <f>'5-4 Int Hg in Industry'!B10</f>
        <v>5.4.2</v>
      </c>
      <c r="C35" s="281" t="str">
        <f>'5-4 Int Hg in Industry'!C10</f>
        <v>VCM production with mercury catalyst</v>
      </c>
      <c r="D35" s="76">
        <f>'5-4 Int Hg in Industry'!D10</f>
        <v>0</v>
      </c>
      <c r="E35" s="84">
        <f>'5-4 Int Hg in Industry'!V10</f>
        <v>0</v>
      </c>
      <c r="F35" s="84">
        <f>'5-4 Int Hg in Industry'!W10</f>
        <v>0</v>
      </c>
      <c r="G35" s="84">
        <f>'5-4 Int Hg in Industry'!X10</f>
        <v>0</v>
      </c>
      <c r="H35" s="84">
        <f>'5-4 Int Hg in Industry'!Y10</f>
        <v>0</v>
      </c>
      <c r="I35" s="84">
        <f>'5-4 Int Hg in Industry'!Z10</f>
        <v>0</v>
      </c>
      <c r="J35" s="84">
        <f>'5-4 Int Hg in Industry'!AA10</f>
        <v>0</v>
      </c>
      <c r="K35" s="217"/>
    </row>
    <row r="36" spans="1:11" ht="13">
      <c r="A36" s="56"/>
      <c r="B36" s="112" t="str">
        <f>'5-4 Int Hg in Industry'!B12</f>
        <v>5.4.3</v>
      </c>
      <c r="C36" s="281" t="str">
        <f>'5-4 Int Hg in Industry'!C12</f>
        <v>Acetaldehyde production with mercury catalyst</v>
      </c>
      <c r="D36" s="76">
        <f>'5-4 Int Hg in Industry'!D12</f>
        <v>0</v>
      </c>
      <c r="E36" s="84">
        <f>'5-4 Int Hg in Industry'!V12</f>
        <v>0</v>
      </c>
      <c r="F36" s="84">
        <f>'5-4 Int Hg in Industry'!W12</f>
        <v>0</v>
      </c>
      <c r="G36" s="84">
        <f>'5-4 Int Hg in Industry'!X12</f>
        <v>0</v>
      </c>
      <c r="H36" s="84">
        <f>'5-4 Int Hg in Industry'!Y12</f>
        <v>0</v>
      </c>
      <c r="I36" s="84">
        <f>'5-4 Int Hg in Industry'!Z12</f>
        <v>0</v>
      </c>
      <c r="J36" s="84">
        <f>'5-4 Int Hg in Industry'!AA12</f>
        <v>0</v>
      </c>
      <c r="K36" s="217"/>
    </row>
    <row r="37" spans="1:11" ht="13">
      <c r="A37" s="56"/>
      <c r="B37" s="112" t="str">
        <f>'5-4 Int Hg in Industry'!B14</f>
        <v>5.4.4</v>
      </c>
      <c r="C37" s="281" t="str">
        <f>'5-4 Int Hg in Industry'!C14</f>
        <v>Other production of chemicals and polymers with mercury</v>
      </c>
      <c r="D37" s="76">
        <f>'5-4 Int Hg in Industry'!D14</f>
        <v>0</v>
      </c>
      <c r="E37" s="84" t="e">
        <f>'5-4 Int Hg in Industry'!V14</f>
        <v>#VALUE!</v>
      </c>
      <c r="F37" s="84" t="e">
        <f>'5-4 Int Hg in Industry'!W14</f>
        <v>#VALUE!</v>
      </c>
      <c r="G37" s="84" t="e">
        <f>'5-4 Int Hg in Industry'!X14</f>
        <v>#VALUE!</v>
      </c>
      <c r="H37" s="84" t="e">
        <f>'5-4 Int Hg in Industry'!Y14</f>
        <v>#VALUE!</v>
      </c>
      <c r="I37" s="84" t="e">
        <f>'5-4 Int Hg in Industry'!Z14</f>
        <v>#VALUE!</v>
      </c>
      <c r="J37" s="84" t="e">
        <f>'5-4 Int Hg in Industry'!AA14</f>
        <v>#VALUE!</v>
      </c>
      <c r="K37" s="217"/>
    </row>
    <row r="38" spans="1:11" ht="26">
      <c r="A38" s="57" t="str">
        <f>'5-5 Cons prod'!A5</f>
        <v>5.5</v>
      </c>
      <c r="B38" s="57"/>
      <c r="C38" s="57" t="str">
        <f>'5-5 Cons prod'!C5</f>
        <v>Source category: Consumer products with intentional use of mercury</v>
      </c>
      <c r="D38" s="76"/>
      <c r="E38" s="84"/>
      <c r="F38" s="84"/>
      <c r="G38" s="84"/>
      <c r="H38" s="85"/>
      <c r="I38" s="84"/>
      <c r="J38" s="84"/>
      <c r="K38" s="217"/>
    </row>
    <row r="39" spans="1:11" ht="13">
      <c r="A39" s="57"/>
      <c r="B39" s="281" t="str">
        <f>'5-5 Cons prod'!B6</f>
        <v>5.5.1</v>
      </c>
      <c r="C39" s="281" t="str">
        <f>'5-5 Cons prod'!C6</f>
        <v>Thermometers with mercury</v>
      </c>
      <c r="D39" s="76">
        <f>'5-5 Cons prod'!D6</f>
        <v>0</v>
      </c>
      <c r="E39" s="84">
        <f>'5-5 Cons prod'!V6</f>
        <v>0</v>
      </c>
      <c r="F39" s="84">
        <f>'5-5 Cons prod'!W6</f>
        <v>0</v>
      </c>
      <c r="G39" s="84">
        <f>'5-5 Cons prod'!X6</f>
        <v>0</v>
      </c>
      <c r="H39" s="85" t="s">
        <v>272</v>
      </c>
      <c r="I39" s="84">
        <f>'5-5 Cons prod'!Z6</f>
        <v>0</v>
      </c>
      <c r="J39" s="84">
        <f>'5-5 Cons prod'!AA6</f>
        <v>0</v>
      </c>
      <c r="K39" s="217"/>
    </row>
    <row r="40" spans="1:11" ht="13">
      <c r="A40" s="57"/>
      <c r="B40" s="281" t="str">
        <f>'5-5 Cons prod'!B18</f>
        <v>5.5.2</v>
      </c>
      <c r="C40" s="281" t="str">
        <f>'5-5 Cons prod'!C18</f>
        <v>Electrical switches and relays with mercury</v>
      </c>
      <c r="D40" s="76">
        <f>'5-5 Cons prod'!D18</f>
        <v>0</v>
      </c>
      <c r="E40" s="84">
        <f>'5-5 Cons prod'!V18</f>
        <v>0</v>
      </c>
      <c r="F40" s="84">
        <f>'5-5 Cons prod'!W18</f>
        <v>0</v>
      </c>
      <c r="G40" s="84">
        <f>'5-5 Cons prod'!X18</f>
        <v>0</v>
      </c>
      <c r="H40" s="85" t="s">
        <v>272</v>
      </c>
      <c r="I40" s="84">
        <f>'5-5 Cons prod'!Z18</f>
        <v>0</v>
      </c>
      <c r="J40" s="84">
        <f>'5-5 Cons prod'!AA18</f>
        <v>0</v>
      </c>
      <c r="K40" s="217"/>
    </row>
    <row r="41" spans="1:11" ht="13">
      <c r="A41" s="57"/>
      <c r="B41" s="281" t="str">
        <f>'5-5 Cons prod'!B25</f>
        <v>5.5.3</v>
      </c>
      <c r="C41" s="281" t="str">
        <f>'5-5 Cons prod'!C25</f>
        <v>Light sources with mercury</v>
      </c>
      <c r="D41" s="76">
        <f>'5-5 Cons prod'!D25</f>
        <v>0</v>
      </c>
      <c r="E41" s="84">
        <f>'5-5 Cons prod'!V25</f>
        <v>0</v>
      </c>
      <c r="F41" s="84">
        <f>'5-5 Cons prod'!W25</f>
        <v>0</v>
      </c>
      <c r="G41" s="84">
        <f>'5-5 Cons prod'!X25</f>
        <v>0</v>
      </c>
      <c r="H41" s="85" t="s">
        <v>272</v>
      </c>
      <c r="I41" s="84">
        <f>'5-5 Cons prod'!Z25</f>
        <v>0</v>
      </c>
      <c r="J41" s="84">
        <f>'5-5 Cons prod'!AA25</f>
        <v>0</v>
      </c>
      <c r="K41" s="217"/>
    </row>
    <row r="42" spans="1:11" ht="13">
      <c r="A42" s="57"/>
      <c r="B42" s="281" t="str">
        <f>'5-5 Cons prod'!B35</f>
        <v>5.5.4</v>
      </c>
      <c r="C42" s="281" t="str">
        <f>'5-5 Cons prod'!C35</f>
        <v>Batteries with mercury</v>
      </c>
      <c r="D42" s="76">
        <f>'5-5 Cons prod'!D35</f>
        <v>0</v>
      </c>
      <c r="E42" s="84">
        <f>'5-5 Cons prod'!V35</f>
        <v>0</v>
      </c>
      <c r="F42" s="84">
        <f>'5-5 Cons prod'!W35</f>
        <v>0</v>
      </c>
      <c r="G42" s="84">
        <f>'5-5 Cons prod'!X35</f>
        <v>0</v>
      </c>
      <c r="H42" s="85" t="s">
        <v>272</v>
      </c>
      <c r="I42" s="84">
        <f>'5-5 Cons prod'!Z35</f>
        <v>0</v>
      </c>
      <c r="J42" s="84">
        <f>'5-5 Cons prod'!AA35</f>
        <v>0</v>
      </c>
      <c r="K42" s="217"/>
    </row>
    <row r="43" spans="1:11" ht="13">
      <c r="A43" s="57"/>
      <c r="B43" s="281" t="str">
        <f>'5-5 Cons prod'!B55</f>
        <v>5.5.6</v>
      </c>
      <c r="C43" s="281" t="str">
        <f>'5-5 Cons prod'!C55</f>
        <v>Biocides and pesticides with mercury</v>
      </c>
      <c r="D43" s="76">
        <f>'5-5 Cons prod'!D55</f>
        <v>0</v>
      </c>
      <c r="E43" s="84">
        <f>'5-5 Cons prod'!V55</f>
        <v>0</v>
      </c>
      <c r="F43" s="84">
        <f>'5-5 Cons prod'!W55</f>
        <v>0</v>
      </c>
      <c r="G43" s="84">
        <f>'5-5 Cons prod'!X55</f>
        <v>0</v>
      </c>
      <c r="H43" s="85" t="s">
        <v>272</v>
      </c>
      <c r="I43" s="84">
        <f>'5-5 Cons prod'!Z55</f>
        <v>0</v>
      </c>
      <c r="J43" s="84">
        <f>'5-5 Cons prod'!AA55</f>
        <v>0</v>
      </c>
      <c r="K43" s="217"/>
    </row>
    <row r="44" spans="1:11" ht="13">
      <c r="A44" s="57"/>
      <c r="B44" s="281" t="str">
        <f>'5-5 Cons prod'!B59</f>
        <v>5.5.7</v>
      </c>
      <c r="C44" s="281" t="str">
        <f>'5-5 Cons prod'!C59</f>
        <v>Paints with mercury</v>
      </c>
      <c r="D44" s="76">
        <f>'5-5 Cons prod'!D59</f>
        <v>0</v>
      </c>
      <c r="E44" s="84">
        <f>'5-5 Cons prod'!V59</f>
        <v>0</v>
      </c>
      <c r="F44" s="84">
        <f>'5-5 Cons prod'!W59</f>
        <v>0</v>
      </c>
      <c r="G44" s="84">
        <f>'5-5 Cons prod'!X59</f>
        <v>0</v>
      </c>
      <c r="H44" s="85" t="s">
        <v>272</v>
      </c>
      <c r="I44" s="84">
        <f>'5-5 Cons prod'!Z59</f>
        <v>0</v>
      </c>
      <c r="J44" s="84">
        <f>'5-5 Cons prod'!AA59</f>
        <v>0</v>
      </c>
      <c r="K44" s="217"/>
    </row>
    <row r="45" spans="1:11" ht="13">
      <c r="A45" s="57"/>
      <c r="B45" s="281" t="str">
        <f>'5-5 Cons prod'!B63</f>
        <v>5.5.8</v>
      </c>
      <c r="C45" s="281" t="str">
        <f>'5-5 Cons prod'!C63</f>
        <v>Cosmetics and related products with mercury</v>
      </c>
      <c r="D45" s="76">
        <f>'5-5 Cons prod'!D63</f>
        <v>0</v>
      </c>
      <c r="E45" s="84">
        <f>'5-5 Cons prod'!V63</f>
        <v>0</v>
      </c>
      <c r="F45" s="84">
        <f>'5-5 Cons prod'!W63</f>
        <v>0</v>
      </c>
      <c r="G45" s="84">
        <f>'5-5 Cons prod'!X63</f>
        <v>0</v>
      </c>
      <c r="H45" s="85" t="s">
        <v>272</v>
      </c>
      <c r="I45" s="84">
        <f>'5-5 Cons prod'!Z63</f>
        <v>0</v>
      </c>
      <c r="J45" s="84">
        <f>'5-5 Cons prod'!AA63</f>
        <v>0</v>
      </c>
      <c r="K45" s="217"/>
    </row>
    <row r="46" spans="1:11" ht="13">
      <c r="A46" s="57" t="str">
        <f>'5-6 Other int use'!A5</f>
        <v>5.6</v>
      </c>
      <c r="B46" s="57"/>
      <c r="C46" s="57" t="str">
        <f>'5-6 Other int use'!C5</f>
        <v>Source category: Other intentional product/process use</v>
      </c>
      <c r="D46" s="76"/>
      <c r="E46" s="84"/>
      <c r="F46" s="84"/>
      <c r="G46" s="84"/>
      <c r="H46" s="84"/>
      <c r="I46" s="84"/>
      <c r="J46" s="84"/>
      <c r="K46" s="217"/>
    </row>
    <row r="47" spans="1:11" ht="13">
      <c r="A47" s="57"/>
      <c r="B47" s="281" t="str">
        <f>'5-6 Other int use'!B6</f>
        <v>5.6.1</v>
      </c>
      <c r="C47" s="281" t="str">
        <f>'5-6 Other int use'!C6</f>
        <v>Dental mercury-amalgam fillings (b</v>
      </c>
      <c r="D47" s="76">
        <f>'5-6 Other int use'!D6</f>
        <v>0</v>
      </c>
      <c r="E47" s="84">
        <f>'5-6 Other int use'!V6</f>
        <v>0</v>
      </c>
      <c r="F47" s="84">
        <f>'5-6 Other int use'!W6</f>
        <v>0</v>
      </c>
      <c r="G47" s="84">
        <f>'5-6 Other int use'!X6</f>
        <v>0</v>
      </c>
      <c r="H47" s="84">
        <f>'5-6 Other int use'!Y6</f>
        <v>0</v>
      </c>
      <c r="I47" s="84">
        <f>'5-6 Other int use'!Z6</f>
        <v>0</v>
      </c>
      <c r="J47" s="84">
        <f>'5-6 Other int use'!AA6</f>
        <v>0</v>
      </c>
      <c r="K47" s="217"/>
    </row>
    <row r="48" spans="1:11" ht="13">
      <c r="A48" s="57"/>
      <c r="B48" s="281" t="str">
        <f>'5-6 Other int use'!B13</f>
        <v>5.6.2</v>
      </c>
      <c r="C48" s="281" t="str">
        <f>'5-6 Other int use'!C13</f>
        <v>Manometers and gauges with mercury</v>
      </c>
      <c r="D48" s="76">
        <f>'5-6 Other int use'!D13</f>
        <v>0</v>
      </c>
      <c r="E48" s="84">
        <f>'5-6 Other int use'!V13</f>
        <v>0</v>
      </c>
      <c r="F48" s="84">
        <f>'5-6 Other int use'!W13</f>
        <v>0</v>
      </c>
      <c r="G48" s="84">
        <f>'5-6 Other int use'!X13</f>
        <v>0</v>
      </c>
      <c r="H48" s="84">
        <f>'5-6 Other int use'!Y13</f>
        <v>0</v>
      </c>
      <c r="I48" s="84">
        <f>'5-6 Other int use'!Z13</f>
        <v>0</v>
      </c>
      <c r="J48" s="84">
        <f>'5-6 Other int use'!AA13</f>
        <v>0</v>
      </c>
      <c r="K48" s="217"/>
    </row>
    <row r="49" spans="1:11" ht="13">
      <c r="A49" s="57"/>
      <c r="B49" s="281" t="str">
        <f>'5-6 Other int use'!B35</f>
        <v>5.6.3</v>
      </c>
      <c r="C49" s="281" t="str">
        <f>'5-6 Other int use'!C35</f>
        <v>Laboratory chemicals and equipment with mercury</v>
      </c>
      <c r="D49" s="76">
        <f>'5-6 Other int use'!D35</f>
        <v>0</v>
      </c>
      <c r="E49" s="84">
        <f>'5-6 Other int use'!V35</f>
        <v>0</v>
      </c>
      <c r="F49" s="84">
        <f>'5-6 Other int use'!W35</f>
        <v>0</v>
      </c>
      <c r="G49" s="84">
        <f>'5-6 Other int use'!X35</f>
        <v>0</v>
      </c>
      <c r="H49" s="84">
        <f>'5-6 Other int use'!Y35</f>
        <v>0</v>
      </c>
      <c r="I49" s="84">
        <f>'5-6 Other int use'!Z35</f>
        <v>0</v>
      </c>
      <c r="J49" s="84">
        <f>'5-6 Other int use'!AA35</f>
        <v>0</v>
      </c>
      <c r="K49" s="217"/>
    </row>
    <row r="50" spans="1:11" ht="13">
      <c r="A50" s="57"/>
      <c r="B50" s="281" t="str">
        <f>'5-6 Other int use'!B51</f>
        <v>5.6.4</v>
      </c>
      <c r="C50" s="281" t="str">
        <f>'5-6 Other int use'!C51</f>
        <v>Mercury metal use in religious rituals and folklore medicine</v>
      </c>
      <c r="D50" s="76">
        <f>'5-6 Other int use'!D51</f>
        <v>0</v>
      </c>
      <c r="E50" s="84">
        <f>'5-6 Other int use'!V51</f>
        <v>0</v>
      </c>
      <c r="F50" s="84">
        <f>'5-6 Other int use'!W51</f>
        <v>0</v>
      </c>
      <c r="G50" s="84">
        <f>'5-6 Other int use'!X51</f>
        <v>0</v>
      </c>
      <c r="H50" s="84">
        <f>'5-6 Other int use'!Y51</f>
        <v>0</v>
      </c>
      <c r="I50" s="84">
        <f>'5-6 Other int use'!Z51</f>
        <v>0</v>
      </c>
      <c r="J50" s="84">
        <f>'5-6 Other int use'!AA51</f>
        <v>0</v>
      </c>
      <c r="K50" s="217"/>
    </row>
    <row r="51" spans="1:11" ht="13">
      <c r="A51" s="57"/>
      <c r="B51" s="281" t="str">
        <f>'5-6 Other int use'!B53</f>
        <v>5.6.5</v>
      </c>
      <c r="C51" s="281" t="str">
        <f>'5-6 Other int use'!C53</f>
        <v>Miscellaneous product uses, mercury metal uses, and other sources</v>
      </c>
      <c r="D51" s="76">
        <f>'5-6 Other int use'!D53</f>
        <v>0</v>
      </c>
      <c r="E51" s="84">
        <f>'5-6 Other int use'!V53</f>
        <v>0</v>
      </c>
      <c r="F51" s="84">
        <f>'5-6 Other int use'!W53</f>
        <v>0</v>
      </c>
      <c r="G51" s="84">
        <f>'5-6 Other int use'!X53</f>
        <v>0</v>
      </c>
      <c r="H51" s="84">
        <f>'5-6 Other int use'!Y53</f>
        <v>0</v>
      </c>
      <c r="I51" s="84">
        <f>'5-6 Other int use'!Z53</f>
        <v>0</v>
      </c>
      <c r="J51" s="84">
        <f>'5-6 Other int use'!AA53</f>
        <v>0</v>
      </c>
      <c r="K51" s="217"/>
    </row>
    <row r="52" spans="1:11" ht="26">
      <c r="A52" s="56" t="str">
        <f>'5-7 Recycl metals'!A5</f>
        <v>5.7</v>
      </c>
      <c r="B52" s="56"/>
      <c r="C52" s="57" t="str">
        <f>'5-7 Recycl metals'!C5</f>
        <v>Source category: Production of recycled metals ("secondary" metal production)</v>
      </c>
      <c r="D52" s="76"/>
      <c r="E52" s="84"/>
      <c r="F52" s="84"/>
      <c r="G52" s="84"/>
      <c r="H52" s="84"/>
      <c r="I52" s="84"/>
      <c r="J52" s="84"/>
      <c r="K52" s="217"/>
    </row>
    <row r="53" spans="1:11" ht="13">
      <c r="A53" s="56"/>
      <c r="B53" s="112" t="str">
        <f>'5-7 Recycl metals'!B6</f>
        <v>5.7.1</v>
      </c>
      <c r="C53" s="281" t="str">
        <f>'5-7 Recycl metals'!C6</f>
        <v>Production of recycled mercury ("secondary production”)</v>
      </c>
      <c r="D53" s="76">
        <f>'5-7 Recycl metals'!D6</f>
        <v>0</v>
      </c>
      <c r="E53" s="84">
        <f>'5-7 Recycl metals'!V6</f>
        <v>0</v>
      </c>
      <c r="F53" s="84">
        <f>'5-7 Recycl metals'!W6</f>
        <v>0</v>
      </c>
      <c r="G53" s="84">
        <f>'5-7 Recycl metals'!X6</f>
        <v>0</v>
      </c>
      <c r="H53" s="84" t="str">
        <f>'5-7 Recycl metals'!Y6</f>
        <v>-</v>
      </c>
      <c r="I53" s="84">
        <f>'5-7 Recycl metals'!Z6</f>
        <v>0</v>
      </c>
      <c r="J53" s="84">
        <f>'5-7 Recycl metals'!AA6</f>
        <v>0</v>
      </c>
      <c r="K53" s="217"/>
    </row>
    <row r="54" spans="1:11" ht="13">
      <c r="A54" s="56"/>
      <c r="B54" s="112" t="str">
        <f>'5-7 Recycl metals'!B8</f>
        <v>5.4.2</v>
      </c>
      <c r="C54" s="281" t="str">
        <f>'5-7 Recycl metals'!C8</f>
        <v>Production of recycled ferrous metals (iron and steel)</v>
      </c>
      <c r="D54" s="76">
        <f>'5-7 Recycl metals'!D8</f>
        <v>0</v>
      </c>
      <c r="E54" s="84">
        <f>'5-7 Recycl metals'!V8</f>
        <v>0</v>
      </c>
      <c r="F54" s="84">
        <f>'5-7 Recycl metals'!W8</f>
        <v>0</v>
      </c>
      <c r="G54" s="84">
        <f>'5-7 Recycl metals'!X8</f>
        <v>0</v>
      </c>
      <c r="H54" s="84">
        <f>'5-7 Recycl metals'!Y8</f>
        <v>0</v>
      </c>
      <c r="I54" s="84">
        <f>'5-7 Recycl metals'!Z8</f>
        <v>0</v>
      </c>
      <c r="J54" s="84">
        <f>'5-7 Recycl metals'!AA8</f>
        <v>0</v>
      </c>
      <c r="K54" s="217"/>
    </row>
    <row r="55" spans="1:11" ht="13">
      <c r="A55" s="56"/>
      <c r="B55" s="112" t="str">
        <f>'5-7 Recycl metals'!B10</f>
        <v>5.4.2</v>
      </c>
      <c r="C55" s="281" t="str">
        <f>'5-7 Recycl metals'!C10</f>
        <v>Production of other recycled metals</v>
      </c>
      <c r="D55" s="76">
        <f>'5-7 Recycl metals'!D10</f>
        <v>0</v>
      </c>
      <c r="E55" s="84">
        <f>'5-7 Recycl metals'!V10</f>
        <v>0</v>
      </c>
      <c r="F55" s="84">
        <f>'5-7 Recycl metals'!W10</f>
        <v>0</v>
      </c>
      <c r="G55" s="84">
        <f>'5-7 Recycl metals'!X10</f>
        <v>0</v>
      </c>
      <c r="H55" s="84">
        <f>'5-7 Recycl metals'!Y10</f>
        <v>0</v>
      </c>
      <c r="I55" s="84">
        <f>'5-7 Recycl metals'!Z10</f>
        <v>0</v>
      </c>
      <c r="J55" s="84">
        <f>'5-7 Recycl metals'!AA10</f>
        <v>0</v>
      </c>
      <c r="K55" s="217"/>
    </row>
    <row r="56" spans="1:11" ht="13">
      <c r="A56" s="56" t="str">
        <f>'5-8 Waste incin'!A5</f>
        <v>5.8</v>
      </c>
      <c r="B56" s="56"/>
      <c r="C56" s="56" t="str">
        <f>'5-8 Waste incin'!C5</f>
        <v>Source category: Waste incineration</v>
      </c>
      <c r="D56" s="76"/>
      <c r="E56" s="84"/>
      <c r="F56" s="84"/>
      <c r="G56" s="84"/>
      <c r="H56" s="84"/>
      <c r="I56" s="84"/>
      <c r="J56" s="84"/>
      <c r="K56" s="217"/>
    </row>
    <row r="57" spans="1:11" ht="13">
      <c r="A57" s="56"/>
      <c r="B57" s="112" t="str">
        <f>'5-8 Waste incin'!B6</f>
        <v>5.8.1</v>
      </c>
      <c r="C57" s="112" t="str">
        <f>'5-8 Waste incin'!C6</f>
        <v>Incineration of municipal/general waste</v>
      </c>
      <c r="D57" s="76">
        <f>'5-8 Waste incin'!D6</f>
        <v>0</v>
      </c>
      <c r="E57" s="84">
        <f>'5-8 Waste incin'!V6</f>
        <v>0</v>
      </c>
      <c r="F57" s="84">
        <f>'5-8 Waste incin'!W6</f>
        <v>0</v>
      </c>
      <c r="G57" s="84">
        <f>'5-8 Waste incin'!X6</f>
        <v>0</v>
      </c>
      <c r="H57" s="84">
        <f>'5-8 Waste incin'!Y6</f>
        <v>0</v>
      </c>
      <c r="I57" s="84">
        <f>'5-8 Waste incin'!Z6</f>
        <v>0</v>
      </c>
      <c r="J57" s="84">
        <f>'5-8 Waste incin'!AA6</f>
        <v>0</v>
      </c>
      <c r="K57" s="217"/>
    </row>
    <row r="58" spans="1:11" ht="13">
      <c r="A58" s="56"/>
      <c r="B58" s="112" t="str">
        <f>'5-8 Waste incin'!B12</f>
        <v>5.8.2</v>
      </c>
      <c r="C58" s="112" t="str">
        <f>'5-8 Waste incin'!C12</f>
        <v>Incineration of hazardous waste</v>
      </c>
      <c r="D58" s="76">
        <f>'5-8 Waste incin'!D12</f>
        <v>0</v>
      </c>
      <c r="E58" s="84">
        <f>'5-8 Waste incin'!V12</f>
        <v>0</v>
      </c>
      <c r="F58" s="84">
        <f>'5-8 Waste incin'!W12</f>
        <v>0</v>
      </c>
      <c r="G58" s="84">
        <f>'5-8 Waste incin'!X12</f>
        <v>0</v>
      </c>
      <c r="H58" s="84">
        <f>'5-8 Waste incin'!Y12</f>
        <v>0</v>
      </c>
      <c r="I58" s="84">
        <f>'5-8 Waste incin'!Z12</f>
        <v>0</v>
      </c>
      <c r="J58" s="84">
        <f>'5-8 Waste incin'!AA12</f>
        <v>0</v>
      </c>
      <c r="K58" s="217"/>
    </row>
    <row r="59" spans="1:11" ht="13">
      <c r="A59" s="56"/>
      <c r="B59" s="112" t="str">
        <f>'5-8 Waste incin'!B18</f>
        <v>5.8.3</v>
      </c>
      <c r="C59" s="112" t="str">
        <f>'5-8 Waste incin'!C18</f>
        <v>Incineration of medical waste</v>
      </c>
      <c r="D59" s="76">
        <f>'5-8 Waste incin'!D18</f>
        <v>0</v>
      </c>
      <c r="E59" s="84">
        <f>'5-8 Waste incin'!V18</f>
        <v>0</v>
      </c>
      <c r="F59" s="84">
        <f>'5-8 Waste incin'!W18</f>
        <v>0</v>
      </c>
      <c r="G59" s="84">
        <f>'5-8 Waste incin'!X18</f>
        <v>0</v>
      </c>
      <c r="H59" s="84">
        <f>'5-8 Waste incin'!Y18</f>
        <v>0</v>
      </c>
      <c r="I59" s="84">
        <f>'5-8 Waste incin'!Z18</f>
        <v>0</v>
      </c>
      <c r="J59" s="84">
        <f>'5-8 Waste incin'!AA18</f>
        <v>0</v>
      </c>
      <c r="K59" s="217"/>
    </row>
    <row r="60" spans="1:11" ht="13">
      <c r="A60" s="56"/>
      <c r="B60" s="112" t="str">
        <f>'5-8 Waste incin'!B24</f>
        <v>5.8.4</v>
      </c>
      <c r="C60" s="112" t="str">
        <f>'5-8 Waste incin'!C24</f>
        <v>Sewage sludge incineration</v>
      </c>
      <c r="D60" s="76">
        <f>'5-8 Waste incin'!D24</f>
        <v>0</v>
      </c>
      <c r="E60" s="84">
        <f>'5-8 Waste incin'!V24</f>
        <v>0</v>
      </c>
      <c r="F60" s="84">
        <f>'5-8 Waste incin'!W24</f>
        <v>0</v>
      </c>
      <c r="G60" s="84">
        <f>'5-8 Waste incin'!X24</f>
        <v>0</v>
      </c>
      <c r="H60" s="84">
        <f>'5-8 Waste incin'!Y24</f>
        <v>0</v>
      </c>
      <c r="I60" s="84">
        <f>'5-8 Waste incin'!Z24</f>
        <v>0</v>
      </c>
      <c r="J60" s="84">
        <f>'5-8 Waste incin'!AA24</f>
        <v>0</v>
      </c>
      <c r="K60" s="217"/>
    </row>
    <row r="61" spans="1:11" ht="13">
      <c r="A61" s="56"/>
      <c r="B61" s="112" t="str">
        <f>'5-8 Waste incin'!B26</f>
        <v>5.8.5</v>
      </c>
      <c r="C61" s="112" t="str">
        <f>'5-8 Waste incin'!C26</f>
        <v>Informal waste burning (open fire waste burning on landfills and informally)</v>
      </c>
      <c r="D61" s="76">
        <f>'5-8 Waste incin'!D26</f>
        <v>0</v>
      </c>
      <c r="E61" s="84">
        <f>'5-8 Waste incin'!V26</f>
        <v>0</v>
      </c>
      <c r="F61" s="84">
        <f>'5-8 Waste incin'!W26</f>
        <v>0</v>
      </c>
      <c r="G61" s="84">
        <f>'5-8 Waste incin'!X26</f>
        <v>0</v>
      </c>
      <c r="H61" s="84">
        <f>'5-8 Waste incin'!Y26</f>
        <v>0</v>
      </c>
      <c r="I61" s="84">
        <f>'5-8 Waste incin'!Z26</f>
        <v>0</v>
      </c>
      <c r="J61" s="84">
        <f>'5-8 Waste incin'!AA26</f>
        <v>0</v>
      </c>
      <c r="K61" s="217"/>
    </row>
    <row r="62" spans="1:11" ht="26">
      <c r="A62" s="57" t="str">
        <f>'5-9 Waste depo and water treatm'!A5</f>
        <v>5.9</v>
      </c>
      <c r="B62" s="57"/>
      <c r="C62" s="57" t="str">
        <f>'5-9 Waste depo and water treatm'!C5</f>
        <v>Source category: Waste deposition/landfilling and waste water treatment</v>
      </c>
      <c r="D62" s="76"/>
      <c r="E62" s="84"/>
      <c r="F62" s="84"/>
      <c r="G62" s="84"/>
      <c r="H62" s="84"/>
      <c r="I62" s="84"/>
      <c r="J62" s="84"/>
      <c r="K62" s="217"/>
    </row>
    <row r="63" spans="1:11" ht="13">
      <c r="A63" s="57"/>
      <c r="B63" s="281" t="str">
        <f>'5-9 Waste depo and water treatm'!B6</f>
        <v>5.9.1</v>
      </c>
      <c r="C63" s="281" t="str">
        <f>'5-9 Waste depo and water treatm'!C6</f>
        <v>Controlled landfills/deposits (a</v>
      </c>
      <c r="D63" s="76">
        <f>'5-9 Waste depo and water treatm'!D6</f>
        <v>0</v>
      </c>
      <c r="E63" s="84">
        <f>'5-9 Waste depo and water treatm'!V6</f>
        <v>0</v>
      </c>
      <c r="F63" s="84">
        <f>'5-9 Waste depo and water treatm'!W6</f>
        <v>0</v>
      </c>
      <c r="G63" s="84">
        <f>'5-9 Waste depo and water treatm'!X6</f>
        <v>0</v>
      </c>
      <c r="H63" s="84" t="str">
        <f>'5-9 Waste depo and water treatm'!Y6</f>
        <v>-</v>
      </c>
      <c r="I63" s="84" t="str">
        <f>'5-9 Waste depo and water treatm'!Z6</f>
        <v>-</v>
      </c>
      <c r="J63" s="84" t="str">
        <f>'5-9 Waste depo and water treatm'!AA6</f>
        <v>-</v>
      </c>
      <c r="K63" s="217"/>
    </row>
    <row r="64" spans="1:11" ht="25.5">
      <c r="A64" s="57"/>
      <c r="B64" s="281" t="str">
        <f>'5-9 Waste depo and water treatm'!B8</f>
        <v>5.9.2</v>
      </c>
      <c r="C64" s="281" t="str">
        <f>'5-9 Waste depo and water treatm'!C8</f>
        <v>Diffuse disposal under some control</v>
      </c>
      <c r="D64" s="76" t="str">
        <f>'5-9 Waste depo and water treatm'!D8</f>
        <v>-</v>
      </c>
      <c r="E64" s="84" t="str">
        <f>'5-9 Waste depo and water treatm'!V8</f>
        <v>-</v>
      </c>
      <c r="F64" s="84" t="str">
        <f>'5-9 Waste depo and water treatm'!W8</f>
        <v>-</v>
      </c>
      <c r="G64" s="84" t="str">
        <f>'5-9 Waste depo and water treatm'!X8</f>
        <v>-</v>
      </c>
      <c r="H64" s="84" t="str">
        <f>'5-9 Waste depo and water treatm'!Y8</f>
        <v>-</v>
      </c>
      <c r="I64" s="84" t="str">
        <f>'5-9 Waste depo and water treatm'!Z8</f>
        <v>-</v>
      </c>
      <c r="J64" s="84" t="str">
        <f>'5-9 Waste depo and water treatm'!AA8</f>
        <v>-</v>
      </c>
      <c r="K64" s="217" t="str">
        <f>'5-9 Waste depo and water treatm'!C9</f>
        <v>This source category is expected covered under the original sources of the mercury containing material, under det output path "sector specific treatment/disposal accompanied by a descriptive note; e.g. solid residues from waste incineration or metal extraction.</v>
      </c>
    </row>
    <row r="65" spans="1:11" ht="13">
      <c r="A65" s="57"/>
      <c r="B65" s="281" t="str">
        <f>'5-9 Waste depo and water treatm'!B11</f>
        <v>5.9.3</v>
      </c>
      <c r="C65" s="281" t="str">
        <f>'5-9 Waste depo and water treatm'!C11</f>
        <v>Informal local disposal of industrial production waste</v>
      </c>
      <c r="D65" s="76">
        <f>'5-9 Waste depo and water treatm'!D11</f>
        <v>0</v>
      </c>
      <c r="E65" s="84" t="e">
        <f>'5-9 Waste depo and water treatm'!V11</f>
        <v>#VALUE!</v>
      </c>
      <c r="F65" s="84" t="e">
        <f>'5-9 Waste depo and water treatm'!W11</f>
        <v>#VALUE!</v>
      </c>
      <c r="G65" s="84" t="e">
        <f>'5-9 Waste depo and water treatm'!X11</f>
        <v>#VALUE!</v>
      </c>
      <c r="H65" s="84" t="str">
        <f>'5-9 Waste depo and water treatm'!Y11</f>
        <v>-</v>
      </c>
      <c r="I65" s="84" t="str">
        <f>'5-9 Waste depo and water treatm'!Z11</f>
        <v>-</v>
      </c>
      <c r="J65" s="84" t="str">
        <f>'5-9 Waste depo and water treatm'!AA11</f>
        <v>-</v>
      </c>
      <c r="K65" s="217"/>
    </row>
    <row r="66" spans="1:11" ht="13">
      <c r="A66" s="57"/>
      <c r="B66" s="281" t="str">
        <f>'5-9 Waste depo and water treatm'!B13</f>
        <v>5.9.4</v>
      </c>
      <c r="C66" s="281" t="str">
        <f>'5-9 Waste depo and water treatm'!C13</f>
        <v>Informal dumping of general waste (b</v>
      </c>
      <c r="D66" s="76">
        <f>'5-9 Waste depo and water treatm'!D13</f>
        <v>0</v>
      </c>
      <c r="E66" s="84">
        <f>'5-9 Waste depo and water treatm'!V13</f>
        <v>0</v>
      </c>
      <c r="F66" s="84">
        <f>'5-9 Waste depo and water treatm'!W13</f>
        <v>0</v>
      </c>
      <c r="G66" s="84">
        <f>'5-9 Waste depo and water treatm'!X13</f>
        <v>0</v>
      </c>
      <c r="H66" s="84" t="str">
        <f>'5-9 Waste depo and water treatm'!Y13</f>
        <v>-</v>
      </c>
      <c r="I66" s="84" t="str">
        <f>'5-9 Waste depo and water treatm'!Z13</f>
        <v>-</v>
      </c>
      <c r="J66" s="84" t="str">
        <f>'5-9 Waste depo and water treatm'!AA13</f>
        <v>-</v>
      </c>
      <c r="K66" s="217"/>
    </row>
    <row r="67" spans="1:11" ht="13">
      <c r="A67" s="57"/>
      <c r="B67" s="281" t="str">
        <f>'5-9 Waste depo and water treatm'!B15</f>
        <v>5.9.5</v>
      </c>
      <c r="C67" s="281" t="str">
        <f>'5-9 Waste depo and water treatm'!C15</f>
        <v>Waste water system/treatment</v>
      </c>
      <c r="D67" s="76">
        <f>'5-9 Waste depo and water treatm'!D15</f>
        <v>0</v>
      </c>
      <c r="E67" s="84">
        <f>'5-9 Waste depo and water treatm'!V15</f>
        <v>0</v>
      </c>
      <c r="F67" s="84">
        <f>'5-9 Waste depo and water treatm'!W15</f>
        <v>0</v>
      </c>
      <c r="G67" s="84">
        <f>'5-9 Waste depo and water treatm'!X15</f>
        <v>0</v>
      </c>
      <c r="H67" s="84">
        <f>'5-9 Waste depo and water treatm'!Y15</f>
        <v>0</v>
      </c>
      <c r="I67" s="84">
        <f>'5-9 Waste depo and water treatm'!Z15</f>
        <v>0</v>
      </c>
      <c r="J67" s="84">
        <f>'5-9 Waste depo and water treatm'!AA15</f>
        <v>0</v>
      </c>
      <c r="K67" s="217"/>
    </row>
    <row r="68" spans="1:11" ht="13">
      <c r="A68" s="56" t="e">
        <f>#REF!</f>
        <v>#REF!</v>
      </c>
      <c r="B68" s="56"/>
      <c r="C68" s="56" t="e">
        <f>#REF!</f>
        <v>#REF!</v>
      </c>
      <c r="D68" s="76"/>
      <c r="E68" s="84"/>
      <c r="F68" s="84"/>
      <c r="G68" s="84"/>
      <c r="H68" s="84"/>
      <c r="I68" s="84"/>
      <c r="J68" s="84"/>
      <c r="K68" s="217"/>
    </row>
    <row r="69" spans="1:11" ht="13">
      <c r="A69" s="56"/>
      <c r="B69" s="112" t="e">
        <f>#REF!</f>
        <v>#REF!</v>
      </c>
      <c r="C69" s="112" t="e">
        <f>#REF!</f>
        <v>#REF!</v>
      </c>
      <c r="D69" s="76" t="e">
        <f>#REF!</f>
        <v>#REF!</v>
      </c>
      <c r="E69" s="84" t="e">
        <f>#REF!</f>
        <v>#REF!</v>
      </c>
      <c r="F69" s="84" t="e">
        <f>#REF!</f>
        <v>#REF!</v>
      </c>
      <c r="G69" s="84" t="e">
        <f>#REF!</f>
        <v>#REF!</v>
      </c>
      <c r="H69" s="84" t="e">
        <f>#REF!</f>
        <v>#REF!</v>
      </c>
      <c r="I69" s="84" t="e">
        <f>#REF!</f>
        <v>#REF!</v>
      </c>
      <c r="J69" s="84" t="e">
        <f>#REF!</f>
        <v>#REF!</v>
      </c>
      <c r="K69" s="217"/>
    </row>
    <row r="70" spans="1:11" s="227" customFormat="1" ht="13.5" thickBot="1">
      <c r="A70" s="219"/>
      <c r="B70" s="282" t="e">
        <f>#REF!</f>
        <v>#REF!</v>
      </c>
      <c r="C70" s="282" t="e">
        <f>#REF!</f>
        <v>#REF!</v>
      </c>
      <c r="D70" s="225" t="e">
        <f>#REF!</f>
        <v>#REF!</v>
      </c>
      <c r="E70" s="225" t="e">
        <f>#REF!</f>
        <v>#REF!</v>
      </c>
      <c r="F70" s="225" t="e">
        <f>#REF!</f>
        <v>#REF!</v>
      </c>
      <c r="G70" s="225" t="e">
        <f>#REF!</f>
        <v>#REF!</v>
      </c>
      <c r="H70" s="225" t="e">
        <f>#REF!</f>
        <v>#REF!</v>
      </c>
      <c r="I70" s="225" t="e">
        <f>#REF!</f>
        <v>#REF!</v>
      </c>
      <c r="J70" s="225" t="e">
        <f>#REF!</f>
        <v>#REF!</v>
      </c>
      <c r="K70" s="226"/>
    </row>
    <row r="71" spans="1:11" s="220" customFormat="1" ht="13.5" thickBot="1">
      <c r="A71" s="221" t="s">
        <v>31</v>
      </c>
      <c r="B71" s="222"/>
      <c r="C71" s="222"/>
      <c r="D71" s="228" t="s">
        <v>33</v>
      </c>
      <c r="E71" s="223" t="e">
        <f t="shared" ref="E71:J71" si="0">SUM(E11:E70)</f>
        <v>#VALUE!</v>
      </c>
      <c r="F71" s="223" t="e">
        <f t="shared" si="0"/>
        <v>#VALUE!</v>
      </c>
      <c r="G71" s="223" t="e">
        <f t="shared" si="0"/>
        <v>#VALUE!</v>
      </c>
      <c r="H71" s="223" t="e">
        <f t="shared" si="0"/>
        <v>#VALUE!</v>
      </c>
      <c r="I71" s="223" t="e">
        <f t="shared" si="0"/>
        <v>#VALUE!</v>
      </c>
      <c r="J71" s="223" t="e">
        <f t="shared" si="0"/>
        <v>#VALUE!</v>
      </c>
      <c r="K71" s="224"/>
    </row>
    <row r="73" spans="1:11">
      <c r="B73" t="s">
        <v>56</v>
      </c>
      <c r="C73" t="s">
        <v>32</v>
      </c>
    </row>
    <row r="74" spans="1:11">
      <c r="C74" s="229"/>
    </row>
  </sheetData>
  <sheetProtection password="83AF" sheet="1"/>
  <customSheetViews>
    <customSheetView guid="{EB7FE26D-7077-48F2-8515-D783BE87A220}" scale="70" state="hidden">
      <selection activeCell="F42" sqref="F42"/>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88"/>
  <sheetViews>
    <sheetView topLeftCell="A25" workbookViewId="0">
      <selection activeCell="I46" sqref="I46"/>
    </sheetView>
  </sheetViews>
  <sheetFormatPr defaultColWidth="8.81640625" defaultRowHeight="12.5"/>
  <cols>
    <col min="1" max="1" width="3" customWidth="1"/>
    <col min="2" max="2" width="6.1796875" customWidth="1"/>
    <col min="3" max="3" width="26.453125" customWidth="1"/>
    <col min="4" max="4" width="7.36328125" customWidth="1"/>
    <col min="5" max="5" width="10.36328125" customWidth="1"/>
    <col min="6" max="6" width="10.453125" customWidth="1"/>
    <col min="7" max="7" width="10.36328125" customWidth="1"/>
    <col min="8" max="8" width="12.6328125" customWidth="1"/>
    <col min="9" max="9" width="15.1796875" style="239" customWidth="1"/>
    <col min="10" max="10" width="11.453125" customWidth="1"/>
    <col min="11" max="11" width="11.36328125" style="239" customWidth="1"/>
    <col min="12" max="12" width="11.453125" customWidth="1"/>
    <col min="13" max="13" width="24.453125" style="13" customWidth="1"/>
    <col min="14" max="14" width="9.1796875" style="239"/>
    <col min="16" max="16" width="5.6328125" customWidth="1"/>
    <col min="17" max="17" width="7.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998</v>
      </c>
      <c r="I1" s="230"/>
      <c r="K1" s="230"/>
      <c r="L1" s="48"/>
      <c r="M1" s="48"/>
      <c r="N1" s="230"/>
    </row>
    <row r="2" spans="1:28" ht="14">
      <c r="A2" s="54" t="s">
        <v>311</v>
      </c>
      <c r="I2" s="230"/>
      <c r="K2" s="230"/>
      <c r="L2" s="48"/>
      <c r="M2" s="48"/>
      <c r="N2" s="230"/>
      <c r="U2" s="48"/>
    </row>
    <row r="3" spans="1:28" ht="13">
      <c r="C3" s="101"/>
      <c r="D3" s="3"/>
      <c r="E3" s="3"/>
      <c r="F3" s="3"/>
      <c r="G3" s="3"/>
      <c r="H3" s="3"/>
      <c r="I3" s="231"/>
      <c r="J3" s="3"/>
      <c r="K3" s="231"/>
      <c r="L3" s="55"/>
      <c r="M3" s="55"/>
      <c r="N3" s="231"/>
      <c r="O3" s="3"/>
      <c r="P3" s="93" t="s">
        <v>55</v>
      </c>
      <c r="Q3" s="49"/>
      <c r="R3" s="49"/>
      <c r="S3" s="49"/>
      <c r="T3" s="49"/>
      <c r="U3" s="49"/>
      <c r="V3" s="10" t="s">
        <v>54</v>
      </c>
      <c r="W3" s="4"/>
      <c r="X3" s="4"/>
      <c r="Y3" s="4"/>
      <c r="Z3" s="4"/>
      <c r="AA3" s="4"/>
      <c r="AB3" s="2"/>
    </row>
    <row r="4" spans="1:28" s="122" customFormat="1" ht="39">
      <c r="A4" s="122" t="s">
        <v>52</v>
      </c>
      <c r="B4" s="122" t="s">
        <v>50</v>
      </c>
      <c r="C4" s="123" t="s">
        <v>59</v>
      </c>
      <c r="D4" s="111" t="s">
        <v>153</v>
      </c>
      <c r="E4" s="123" t="s">
        <v>49</v>
      </c>
      <c r="F4" s="124" t="s">
        <v>35</v>
      </c>
      <c r="G4" s="111" t="s">
        <v>37</v>
      </c>
      <c r="H4" s="124" t="s">
        <v>35</v>
      </c>
      <c r="I4" s="244" t="s">
        <v>51</v>
      </c>
      <c r="J4" s="122" t="s">
        <v>35</v>
      </c>
      <c r="K4" s="240" t="s">
        <v>61</v>
      </c>
      <c r="L4" s="152" t="s">
        <v>35</v>
      </c>
      <c r="M4" s="153" t="s">
        <v>209</v>
      </c>
      <c r="N4" s="244" t="s">
        <v>92</v>
      </c>
      <c r="O4" s="124" t="s">
        <v>35</v>
      </c>
      <c r="P4" s="110" t="s">
        <v>38</v>
      </c>
      <c r="Q4" s="110" t="s">
        <v>39</v>
      </c>
      <c r="R4" s="110" t="s">
        <v>40</v>
      </c>
      <c r="S4" s="110" t="s">
        <v>41</v>
      </c>
      <c r="T4" s="111" t="s">
        <v>42</v>
      </c>
      <c r="U4" s="111" t="s">
        <v>53</v>
      </c>
      <c r="V4" s="56" t="s">
        <v>38</v>
      </c>
      <c r="W4" s="56" t="s">
        <v>39</v>
      </c>
      <c r="X4" s="56" t="s">
        <v>40</v>
      </c>
      <c r="Y4" s="56" t="s">
        <v>41</v>
      </c>
      <c r="Z4" s="57" t="s">
        <v>42</v>
      </c>
      <c r="AA4" s="57" t="s">
        <v>227</v>
      </c>
      <c r="AB4" s="110" t="s">
        <v>87</v>
      </c>
    </row>
    <row r="5" spans="1:28" ht="39">
      <c r="A5" t="s">
        <v>46</v>
      </c>
      <c r="C5" s="12" t="s">
        <v>44</v>
      </c>
      <c r="D5" s="119"/>
      <c r="F5" s="3"/>
      <c r="G5" s="118"/>
      <c r="H5" s="3"/>
      <c r="I5" s="249"/>
      <c r="K5" s="232"/>
      <c r="L5" s="3"/>
      <c r="M5" s="14"/>
      <c r="N5" s="245"/>
      <c r="O5" s="3"/>
      <c r="P5" s="118"/>
      <c r="Q5" s="118"/>
      <c r="R5" s="118"/>
      <c r="S5" s="118"/>
      <c r="T5" s="118"/>
      <c r="U5" s="118"/>
      <c r="V5" s="121"/>
      <c r="W5" s="121"/>
      <c r="X5" s="121"/>
      <c r="Y5" s="121"/>
      <c r="Z5" s="121"/>
      <c r="AA5" s="121"/>
      <c r="AB5" s="118"/>
    </row>
    <row r="6" spans="1:28" ht="26">
      <c r="B6" t="s">
        <v>45</v>
      </c>
      <c r="C6" s="12" t="s">
        <v>47</v>
      </c>
      <c r="D6" s="110"/>
      <c r="G6" s="75"/>
      <c r="I6" s="246"/>
      <c r="K6" s="340">
        <f>SUM(K7:K8)</f>
        <v>0</v>
      </c>
      <c r="L6" s="3"/>
      <c r="M6" s="14"/>
      <c r="N6" s="246"/>
      <c r="O6" s="3"/>
      <c r="P6" s="75"/>
      <c r="Q6" s="75"/>
      <c r="R6" s="75"/>
      <c r="S6" s="75"/>
      <c r="T6" s="75"/>
      <c r="U6" s="75"/>
      <c r="V6" s="113">
        <f>SUM(V7:V14)</f>
        <v>0</v>
      </c>
      <c r="W6" s="113">
        <f t="shared" ref="W6:Z6" si="0">SUM(W7:W14)</f>
        <v>0</v>
      </c>
      <c r="X6" s="113">
        <f t="shared" si="0"/>
        <v>0</v>
      </c>
      <c r="Y6" s="113">
        <f>SUM(Y7:Y14)-Y7</f>
        <v>0</v>
      </c>
      <c r="Z6" s="113">
        <f t="shared" si="0"/>
        <v>0</v>
      </c>
      <c r="AA6" s="113">
        <f>SUM(AA7:AA14)</f>
        <v>0</v>
      </c>
      <c r="AB6" s="75"/>
    </row>
    <row r="7" spans="1:28" ht="13">
      <c r="C7" s="12" t="s">
        <v>60</v>
      </c>
      <c r="D7" s="110"/>
      <c r="E7" s="6" t="s">
        <v>48</v>
      </c>
      <c r="F7" s="3" t="s">
        <v>340</v>
      </c>
      <c r="G7" s="75">
        <v>0.15</v>
      </c>
      <c r="H7" s="3" t="s">
        <v>340</v>
      </c>
      <c r="I7" s="247"/>
      <c r="J7" t="s">
        <v>321</v>
      </c>
      <c r="K7" s="237">
        <f>G7*I7/1000</f>
        <v>0</v>
      </c>
      <c r="L7" s="3" t="s">
        <v>36</v>
      </c>
      <c r="M7" s="32"/>
      <c r="N7" s="247"/>
      <c r="O7" s="3" t="s">
        <v>36</v>
      </c>
      <c r="P7" s="75"/>
      <c r="Q7" s="75">
        <v>0.01</v>
      </c>
      <c r="R7" s="75"/>
      <c r="S7" s="75">
        <v>0.8</v>
      </c>
      <c r="T7" s="75">
        <v>0.19</v>
      </c>
      <c r="U7" s="75"/>
      <c r="V7" s="115">
        <f t="shared" ref="V7:AA12" si="1">$N7*P7</f>
        <v>0</v>
      </c>
      <c r="W7" s="115">
        <f t="shared" si="1"/>
        <v>0</v>
      </c>
      <c r="X7" s="115">
        <f t="shared" si="1"/>
        <v>0</v>
      </c>
      <c r="Y7" s="115">
        <f t="shared" si="1"/>
        <v>0</v>
      </c>
      <c r="Z7" s="115">
        <f t="shared" si="1"/>
        <v>0</v>
      </c>
      <c r="AA7" s="115">
        <f t="shared" si="1"/>
        <v>0</v>
      </c>
      <c r="AB7" s="75"/>
    </row>
    <row r="8" spans="1:28" ht="52">
      <c r="C8" s="12" t="s">
        <v>982</v>
      </c>
      <c r="D8" s="110"/>
      <c r="E8" s="6" t="s">
        <v>58</v>
      </c>
      <c r="F8" s="3" t="s">
        <v>340</v>
      </c>
      <c r="G8" s="75">
        <v>0.15</v>
      </c>
      <c r="H8" s="3" t="s">
        <v>340</v>
      </c>
      <c r="I8" s="247">
        <f>'Step2-Energy'!C5</f>
        <v>0</v>
      </c>
      <c r="J8" t="s">
        <v>321</v>
      </c>
      <c r="K8" s="233">
        <f>G8*I8/1000</f>
        <v>0</v>
      </c>
      <c r="L8" s="3" t="s">
        <v>64</v>
      </c>
      <c r="M8" s="33"/>
      <c r="N8" s="247"/>
      <c r="O8" s="3"/>
      <c r="P8" s="75"/>
      <c r="Q8" s="75"/>
      <c r="R8" s="75"/>
      <c r="S8" s="75"/>
      <c r="T8" s="75"/>
      <c r="U8" s="75"/>
      <c r="V8" s="115">
        <f t="shared" si="1"/>
        <v>0</v>
      </c>
      <c r="W8" s="115">
        <f t="shared" si="1"/>
        <v>0</v>
      </c>
      <c r="X8" s="115">
        <f t="shared" si="1"/>
        <v>0</v>
      </c>
      <c r="Y8" s="115">
        <f t="shared" si="1"/>
        <v>0</v>
      </c>
      <c r="Z8" s="115">
        <f t="shared" si="1"/>
        <v>0</v>
      </c>
      <c r="AA8" s="115">
        <f t="shared" si="1"/>
        <v>0</v>
      </c>
      <c r="AB8" s="75"/>
    </row>
    <row r="9" spans="1:28">
      <c r="C9" s="9"/>
      <c r="D9" s="75"/>
      <c r="E9" s="6"/>
      <c r="F9" s="3"/>
      <c r="G9" s="75"/>
      <c r="H9" s="3"/>
      <c r="I9" s="247"/>
      <c r="K9" s="233"/>
      <c r="L9" s="3"/>
      <c r="M9" s="33" t="s">
        <v>983</v>
      </c>
      <c r="N9" s="770">
        <f>$K$8*IF('Step2-Energy'!E5=yes,'Step2-Energy'!$G$7/100,'Default Controls'!$C$6/100)</f>
        <v>0</v>
      </c>
      <c r="O9" s="3" t="s">
        <v>36</v>
      </c>
      <c r="P9" s="75">
        <v>1</v>
      </c>
      <c r="Q9" s="75"/>
      <c r="R9" s="75"/>
      <c r="S9" s="75"/>
      <c r="T9" s="75"/>
      <c r="U9" s="75"/>
      <c r="V9" s="115">
        <f t="shared" si="1"/>
        <v>0</v>
      </c>
      <c r="W9" s="115">
        <f t="shared" si="1"/>
        <v>0</v>
      </c>
      <c r="X9" s="115">
        <f t="shared" si="1"/>
        <v>0</v>
      </c>
      <c r="Y9" s="115">
        <f t="shared" si="1"/>
        <v>0</v>
      </c>
      <c r="Z9" s="115">
        <f t="shared" si="1"/>
        <v>0</v>
      </c>
      <c r="AA9" s="115">
        <f t="shared" si="1"/>
        <v>0</v>
      </c>
      <c r="AB9" s="75"/>
    </row>
    <row r="10" spans="1:28" ht="25">
      <c r="C10" s="9"/>
      <c r="D10" s="75"/>
      <c r="E10" s="6"/>
      <c r="F10" s="3"/>
      <c r="G10" s="75"/>
      <c r="H10" s="3"/>
      <c r="I10" s="247"/>
      <c r="K10" s="233"/>
      <c r="L10" s="3"/>
      <c r="M10" s="33" t="s">
        <v>984</v>
      </c>
      <c r="N10" s="770">
        <f>$K$8*IF('Step2-Energy'!E5=yes,'Step2-Energy'!$H$7/100,'Default Controls'!$D$6/100)</f>
        <v>0</v>
      </c>
      <c r="O10" s="3"/>
      <c r="P10" s="75">
        <f>ROUND((0.75+0.9+0.98)/3,2)</f>
        <v>0.88</v>
      </c>
      <c r="Q10" s="75"/>
      <c r="R10" s="75"/>
      <c r="S10" s="75"/>
      <c r="T10" s="75"/>
      <c r="U10" s="75">
        <f>1-P10</f>
        <v>0.12</v>
      </c>
      <c r="V10" s="115">
        <f t="shared" si="1"/>
        <v>0</v>
      </c>
      <c r="W10" s="115">
        <f t="shared" si="1"/>
        <v>0</v>
      </c>
      <c r="X10" s="115">
        <f t="shared" si="1"/>
        <v>0</v>
      </c>
      <c r="Y10" s="115">
        <f t="shared" si="1"/>
        <v>0</v>
      </c>
      <c r="Z10" s="115">
        <f t="shared" si="1"/>
        <v>0</v>
      </c>
      <c r="AA10" s="115">
        <f t="shared" si="1"/>
        <v>0</v>
      </c>
      <c r="AB10" s="75"/>
    </row>
    <row r="11" spans="1:28" ht="25">
      <c r="C11" s="9"/>
      <c r="D11" s="75"/>
      <c r="E11" s="6"/>
      <c r="F11" s="3"/>
      <c r="G11" s="75"/>
      <c r="H11" s="3"/>
      <c r="I11" s="247"/>
      <c r="K11" s="233"/>
      <c r="L11" s="3"/>
      <c r="M11" s="33" t="s">
        <v>985</v>
      </c>
      <c r="N11" s="770">
        <f>$K$8*IF('Step2-Energy'!E5=yes,'Step2-Energy'!$I$7/100,'Default Controls'!$E$6/100)</f>
        <v>0</v>
      </c>
      <c r="O11" s="3"/>
      <c r="P11" s="75">
        <f>ROUND((0.5+0.5+0.95)/3,2)</f>
        <v>0.65</v>
      </c>
      <c r="Q11" s="75"/>
      <c r="R11" s="75"/>
      <c r="S11" s="75"/>
      <c r="T11" s="75"/>
      <c r="U11" s="75">
        <f t="shared" ref="U11:U14" si="2">1-P11</f>
        <v>0.35</v>
      </c>
      <c r="V11" s="115">
        <f t="shared" si="1"/>
        <v>0</v>
      </c>
      <c r="W11" s="115">
        <f t="shared" si="1"/>
        <v>0</v>
      </c>
      <c r="X11" s="115">
        <f t="shared" si="1"/>
        <v>0</v>
      </c>
      <c r="Y11" s="115">
        <f t="shared" si="1"/>
        <v>0</v>
      </c>
      <c r="Z11" s="115">
        <f t="shared" si="1"/>
        <v>0</v>
      </c>
      <c r="AA11" s="115">
        <f t="shared" si="1"/>
        <v>0</v>
      </c>
      <c r="AB11" s="75"/>
    </row>
    <row r="12" spans="1:28" ht="25">
      <c r="C12" s="9"/>
      <c r="D12" s="75"/>
      <c r="E12" s="6"/>
      <c r="F12" s="3"/>
      <c r="G12" s="75"/>
      <c r="H12" s="3"/>
      <c r="I12" s="247"/>
      <c r="K12" s="233"/>
      <c r="L12" s="3"/>
      <c r="M12" s="33" t="s">
        <v>986</v>
      </c>
      <c r="N12" s="770">
        <f>$K$8*IF('Step2-Energy'!E5=yes,'Step2-Energy'!$J$7/100,'Default Controls'!$F$6/100)</f>
        <v>0</v>
      </c>
      <c r="O12" s="3"/>
      <c r="P12" s="75">
        <f>ROUND((0.35+0.6+0.8)/3,2)</f>
        <v>0.57999999999999996</v>
      </c>
      <c r="Q12" s="75"/>
      <c r="R12" s="75"/>
      <c r="S12" s="75"/>
      <c r="T12" s="75"/>
      <c r="U12" s="75">
        <f t="shared" si="2"/>
        <v>0.42000000000000004</v>
      </c>
      <c r="V12" s="115">
        <f t="shared" si="1"/>
        <v>0</v>
      </c>
      <c r="W12" s="115">
        <f t="shared" si="1"/>
        <v>0</v>
      </c>
      <c r="X12" s="115">
        <f t="shared" si="1"/>
        <v>0</v>
      </c>
      <c r="Y12" s="115">
        <f t="shared" si="1"/>
        <v>0</v>
      </c>
      <c r="Z12" s="115">
        <f t="shared" si="1"/>
        <v>0</v>
      </c>
      <c r="AA12" s="115">
        <f t="shared" si="1"/>
        <v>0</v>
      </c>
      <c r="AB12" s="75"/>
    </row>
    <row r="13" spans="1:28" ht="25">
      <c r="C13" s="9"/>
      <c r="D13" s="75"/>
      <c r="E13" s="6"/>
      <c r="F13" s="3"/>
      <c r="G13" s="75"/>
      <c r="H13" s="3"/>
      <c r="I13" s="247"/>
      <c r="K13" s="233"/>
      <c r="L13" s="3"/>
      <c r="M13" s="33" t="s">
        <v>987</v>
      </c>
      <c r="N13" s="770">
        <f>$K$8*IF('Step2-Energy'!E5=yes,'Step2-Energy'!$K$7/100,'Default Controls'!$G$6/100)</f>
        <v>0</v>
      </c>
      <c r="O13" s="3"/>
      <c r="P13" s="75">
        <f>ROUND((0.1+0.75+0.8)/3,2)</f>
        <v>0.55000000000000004</v>
      </c>
      <c r="Q13" s="75"/>
      <c r="R13" s="75"/>
      <c r="S13" s="75"/>
      <c r="T13" s="75"/>
      <c r="U13" s="75">
        <f t="shared" si="2"/>
        <v>0.44999999999999996</v>
      </c>
      <c r="V13" s="115">
        <f t="shared" ref="V13:V14" si="3">$N13*P13</f>
        <v>0</v>
      </c>
      <c r="W13" s="115">
        <f t="shared" ref="W13:W14" si="4">$N13*Q13</f>
        <v>0</v>
      </c>
      <c r="X13" s="115">
        <f t="shared" ref="X13:X14" si="5">$N13*R13</f>
        <v>0</v>
      </c>
      <c r="Y13" s="115">
        <f t="shared" ref="Y13:Y14" si="6">$N13*S13</f>
        <v>0</v>
      </c>
      <c r="Z13" s="115">
        <f t="shared" ref="Z13:Z14" si="7">$N13*T13</f>
        <v>0</v>
      </c>
      <c r="AA13" s="115">
        <f t="shared" ref="AA13:AA14" si="8">$N13*U13</f>
        <v>0</v>
      </c>
      <c r="AB13" s="75"/>
    </row>
    <row r="14" spans="1:28" ht="25">
      <c r="C14" s="9"/>
      <c r="D14" s="75"/>
      <c r="E14" s="6"/>
      <c r="F14" s="3"/>
      <c r="G14" s="75"/>
      <c r="H14" s="3"/>
      <c r="I14" s="247"/>
      <c r="K14" s="233"/>
      <c r="L14" s="3"/>
      <c r="M14" s="619" t="s">
        <v>988</v>
      </c>
      <c r="N14" s="770">
        <f>$K$8*IF('Step2-Energy'!E5=yes,'Step2-Energy'!$L$7/100,'Default Controls'!$H$6/100)</f>
        <v>0</v>
      </c>
      <c r="O14" s="3"/>
      <c r="P14" s="75">
        <f>ROUND((0.03+0.25+0.25)/3,2)</f>
        <v>0.18</v>
      </c>
      <c r="Q14" s="75"/>
      <c r="R14" s="75"/>
      <c r="S14" s="75"/>
      <c r="T14" s="75"/>
      <c r="U14" s="75">
        <f t="shared" si="2"/>
        <v>0.82000000000000006</v>
      </c>
      <c r="V14" s="115">
        <f t="shared" si="3"/>
        <v>0</v>
      </c>
      <c r="W14" s="115">
        <f t="shared" si="4"/>
        <v>0</v>
      </c>
      <c r="X14" s="115">
        <f t="shared" si="5"/>
        <v>0</v>
      </c>
      <c r="Y14" s="115">
        <f t="shared" si="6"/>
        <v>0</v>
      </c>
      <c r="Z14" s="115">
        <f t="shared" si="7"/>
        <v>0</v>
      </c>
      <c r="AA14" s="115">
        <f t="shared" si="8"/>
        <v>0</v>
      </c>
      <c r="AB14" s="75"/>
    </row>
    <row r="15" spans="1:28" ht="13">
      <c r="C15" s="9"/>
      <c r="D15" s="75"/>
      <c r="G15" s="75"/>
      <c r="I15" s="246"/>
      <c r="K15" s="233"/>
      <c r="M15" s="15"/>
      <c r="N15" s="247"/>
      <c r="O15" s="3"/>
      <c r="P15" s="75"/>
      <c r="Q15" s="75"/>
      <c r="R15" s="75"/>
      <c r="S15" s="75"/>
      <c r="T15" s="75"/>
      <c r="U15" s="75"/>
      <c r="V15" s="58"/>
      <c r="W15" s="58"/>
      <c r="X15" s="58"/>
      <c r="Y15" s="58"/>
      <c r="Z15" s="58"/>
      <c r="AA15" s="58"/>
      <c r="AB15" s="75"/>
    </row>
    <row r="16" spans="1:28" s="90" customFormat="1" ht="26">
      <c r="A16" s="87"/>
      <c r="B16" s="620" t="s">
        <v>990</v>
      </c>
      <c r="C16" s="621" t="s">
        <v>989</v>
      </c>
      <c r="D16" s="110"/>
      <c r="E16" s="87"/>
      <c r="F16" s="87"/>
      <c r="G16" s="75"/>
      <c r="H16" s="87"/>
      <c r="I16" s="246"/>
      <c r="J16" s="87"/>
      <c r="K16" s="340">
        <f>SUM(K17:K18)</f>
        <v>0</v>
      </c>
      <c r="L16" s="87"/>
      <c r="M16" s="89"/>
      <c r="N16" s="247"/>
      <c r="O16" s="87"/>
      <c r="P16" s="75"/>
      <c r="Q16" s="75"/>
      <c r="R16" s="75"/>
      <c r="S16" s="75"/>
      <c r="T16" s="75"/>
      <c r="U16" s="75"/>
      <c r="V16" s="113">
        <f>SUM(V17:V24)</f>
        <v>0</v>
      </c>
      <c r="W16" s="113">
        <f>SUM(W17:W24)</f>
        <v>0</v>
      </c>
      <c r="X16" s="113">
        <f>SUM(X17:X24)</f>
        <v>0</v>
      </c>
      <c r="Y16" s="113">
        <f>SUM(Y17:Y24)-Y17</f>
        <v>0</v>
      </c>
      <c r="Z16" s="113">
        <f>SUM(Z17:Z24)</f>
        <v>0</v>
      </c>
      <c r="AA16" s="113">
        <f>SUM(AA17:AA24)</f>
        <v>0</v>
      </c>
      <c r="AB16" s="75"/>
    </row>
    <row r="17" spans="1:28" ht="13">
      <c r="A17" s="7"/>
      <c r="B17" s="3"/>
      <c r="C17" s="12" t="s">
        <v>60</v>
      </c>
      <c r="D17" s="110"/>
      <c r="E17" s="6" t="s">
        <v>48</v>
      </c>
      <c r="F17" s="3" t="s">
        <v>340</v>
      </c>
      <c r="G17" s="75">
        <v>0.15</v>
      </c>
      <c r="H17" s="3" t="s">
        <v>340</v>
      </c>
      <c r="I17" s="247"/>
      <c r="J17" t="s">
        <v>321</v>
      </c>
      <c r="K17" s="237">
        <f>G17*I17/1000</f>
        <v>0</v>
      </c>
      <c r="L17" s="3" t="s">
        <v>36</v>
      </c>
      <c r="M17" s="32"/>
      <c r="N17" s="247"/>
      <c r="O17" s="3"/>
      <c r="P17" s="75"/>
      <c r="Q17" s="75">
        <v>0.01</v>
      </c>
      <c r="R17" s="75"/>
      <c r="S17" s="75">
        <v>0.8</v>
      </c>
      <c r="T17" s="75">
        <v>0.19</v>
      </c>
      <c r="U17" s="75"/>
      <c r="V17" s="115">
        <f t="shared" ref="V17:V24" si="9">$N17*P17</f>
        <v>0</v>
      </c>
      <c r="W17" s="115">
        <f t="shared" ref="W17:W24" si="10">$N17*Q17</f>
        <v>0</v>
      </c>
      <c r="X17" s="115">
        <f t="shared" ref="X17:X24" si="11">$N17*R17</f>
        <v>0</v>
      </c>
      <c r="Y17" s="115">
        <f t="shared" ref="Y17:Y24" si="12">$N17*S17</f>
        <v>0</v>
      </c>
      <c r="Z17" s="115">
        <f t="shared" ref="Z17:Z24" si="13">$N17*T17</f>
        <v>0</v>
      </c>
      <c r="AA17" s="115">
        <f t="shared" ref="AA17:AA24" si="14">$N17*U17</f>
        <v>0</v>
      </c>
      <c r="AB17" s="75"/>
    </row>
    <row r="18" spans="1:28" ht="65">
      <c r="A18" s="3"/>
      <c r="B18" s="3"/>
      <c r="C18" s="12" t="s">
        <v>992</v>
      </c>
      <c r="D18" s="110"/>
      <c r="E18" s="6" t="s">
        <v>58</v>
      </c>
      <c r="F18" s="3" t="s">
        <v>340</v>
      </c>
      <c r="G18" s="570">
        <f>(0.15+0.15+0.1)/3</f>
        <v>0.13333333333333333</v>
      </c>
      <c r="H18" s="3" t="s">
        <v>340</v>
      </c>
      <c r="I18" s="247">
        <f>'Step2-Energy'!C8</f>
        <v>0</v>
      </c>
      <c r="J18" t="s">
        <v>321</v>
      </c>
      <c r="K18" s="237">
        <f>G18*I18/1000</f>
        <v>0</v>
      </c>
      <c r="L18" s="3" t="s">
        <v>64</v>
      </c>
      <c r="M18" s="33"/>
      <c r="N18" s="247"/>
      <c r="O18" s="3"/>
      <c r="P18" s="75"/>
      <c r="Q18" s="75"/>
      <c r="R18" s="75"/>
      <c r="S18" s="75"/>
      <c r="T18" s="75"/>
      <c r="U18" s="75"/>
      <c r="V18" s="115">
        <f t="shared" si="9"/>
        <v>0</v>
      </c>
      <c r="W18" s="115">
        <f t="shared" si="10"/>
        <v>0</v>
      </c>
      <c r="X18" s="115">
        <f t="shared" si="11"/>
        <v>0</v>
      </c>
      <c r="Y18" s="115">
        <f t="shared" si="12"/>
        <v>0</v>
      </c>
      <c r="Z18" s="115">
        <f t="shared" si="13"/>
        <v>0</v>
      </c>
      <c r="AA18" s="115">
        <f t="shared" si="14"/>
        <v>0</v>
      </c>
      <c r="AB18" s="75"/>
    </row>
    <row r="19" spans="1:28" ht="13">
      <c r="A19" s="3"/>
      <c r="B19" s="3"/>
      <c r="C19" s="9"/>
      <c r="D19" s="75"/>
      <c r="E19" s="6"/>
      <c r="F19" s="3"/>
      <c r="G19" s="75"/>
      <c r="H19" s="3"/>
      <c r="I19" s="247"/>
      <c r="K19" s="233"/>
      <c r="L19" s="3"/>
      <c r="M19" s="33" t="s">
        <v>983</v>
      </c>
      <c r="N19" s="770">
        <f>$K$18*IF('Step2-Energy'!$E$8=yes,'Step2-Energy'!$G$10/100,'Default Controls'!$C$9/100)</f>
        <v>0</v>
      </c>
      <c r="O19" s="3" t="s">
        <v>36</v>
      </c>
      <c r="P19" s="75">
        <v>1</v>
      </c>
      <c r="Q19" s="116"/>
      <c r="R19" s="117"/>
      <c r="S19" s="117"/>
      <c r="T19" s="116"/>
      <c r="U19" s="75"/>
      <c r="V19" s="115">
        <f t="shared" si="9"/>
        <v>0</v>
      </c>
      <c r="W19" s="115">
        <f t="shared" si="10"/>
        <v>0</v>
      </c>
      <c r="X19" s="115">
        <f t="shared" si="11"/>
        <v>0</v>
      </c>
      <c r="Y19" s="115">
        <f t="shared" si="12"/>
        <v>0</v>
      </c>
      <c r="Z19" s="115">
        <f t="shared" si="13"/>
        <v>0</v>
      </c>
      <c r="AA19" s="115">
        <f t="shared" si="14"/>
        <v>0</v>
      </c>
      <c r="AB19" s="75"/>
    </row>
    <row r="20" spans="1:28" ht="25">
      <c r="A20" s="3"/>
      <c r="B20" s="3"/>
      <c r="C20" s="9"/>
      <c r="D20" s="75"/>
      <c r="E20" s="6"/>
      <c r="F20" s="3"/>
      <c r="G20" s="75"/>
      <c r="H20" s="3"/>
      <c r="I20" s="247"/>
      <c r="K20" s="233"/>
      <c r="L20" s="3"/>
      <c r="M20" s="33" t="s">
        <v>984</v>
      </c>
      <c r="N20" s="770">
        <f>$K$18*IF('Step2-Energy'!$E$8=yes,'Step2-Energy'!$H$10/100,'Default Controls'!$D$9/100)</f>
        <v>0</v>
      </c>
      <c r="O20" s="3"/>
      <c r="P20" s="75">
        <f>ROUND((0.75+0.95+0.95)/3,2)</f>
        <v>0.88</v>
      </c>
      <c r="Q20" s="75"/>
      <c r="R20" s="75"/>
      <c r="S20" s="75"/>
      <c r="T20" s="75"/>
      <c r="U20" s="75">
        <f>1-P20</f>
        <v>0.12</v>
      </c>
      <c r="V20" s="115">
        <f t="shared" si="9"/>
        <v>0</v>
      </c>
      <c r="W20" s="115">
        <f t="shared" si="10"/>
        <v>0</v>
      </c>
      <c r="X20" s="115">
        <f t="shared" si="11"/>
        <v>0</v>
      </c>
      <c r="Y20" s="115">
        <f t="shared" si="12"/>
        <v>0</v>
      </c>
      <c r="Z20" s="115">
        <f t="shared" si="13"/>
        <v>0</v>
      </c>
      <c r="AA20" s="115">
        <f t="shared" si="14"/>
        <v>0</v>
      </c>
      <c r="AB20" s="75"/>
    </row>
    <row r="21" spans="1:28" ht="25">
      <c r="A21" s="3"/>
      <c r="B21" s="3"/>
      <c r="C21" s="9"/>
      <c r="D21" s="75"/>
      <c r="E21" s="6"/>
      <c r="F21" s="3"/>
      <c r="G21" s="75"/>
      <c r="H21" s="3"/>
      <c r="I21" s="247"/>
      <c r="K21" s="233"/>
      <c r="L21" s="3"/>
      <c r="M21" s="33" t="s">
        <v>985</v>
      </c>
      <c r="N21" s="770">
        <f>$K$18*IF('Step2-Energy'!$E$8=yes,'Step2-Energy'!$I$10/100,'Default Controls'!$E$9/100)</f>
        <v>0</v>
      </c>
      <c r="O21" s="3"/>
      <c r="P21" s="75">
        <f>ROUND((0.5+0.5+0.5)/3,2)</f>
        <v>0.5</v>
      </c>
      <c r="Q21" s="75"/>
      <c r="R21" s="75"/>
      <c r="S21" s="75"/>
      <c r="T21" s="75"/>
      <c r="U21" s="75">
        <f t="shared" ref="U21:U24" si="15">1-P21</f>
        <v>0.5</v>
      </c>
      <c r="V21" s="115">
        <f t="shared" si="9"/>
        <v>0</v>
      </c>
      <c r="W21" s="115">
        <f t="shared" si="10"/>
        <v>0</v>
      </c>
      <c r="X21" s="115">
        <f t="shared" si="11"/>
        <v>0</v>
      </c>
      <c r="Y21" s="115">
        <f t="shared" si="12"/>
        <v>0</v>
      </c>
      <c r="Z21" s="115">
        <f t="shared" si="13"/>
        <v>0</v>
      </c>
      <c r="AA21" s="115">
        <f t="shared" si="14"/>
        <v>0</v>
      </c>
      <c r="AB21" s="75"/>
    </row>
    <row r="22" spans="1:28" ht="25">
      <c r="A22" s="3"/>
      <c r="B22" s="3"/>
      <c r="C22" s="9"/>
      <c r="D22" s="75"/>
      <c r="E22" s="6"/>
      <c r="F22" s="3"/>
      <c r="G22" s="75"/>
      <c r="H22" s="3"/>
      <c r="I22" s="247"/>
      <c r="K22" s="233"/>
      <c r="L22" s="3"/>
      <c r="M22" s="33" t="s">
        <v>986</v>
      </c>
      <c r="N22" s="770">
        <f>$K$18*IF('Step2-Energy'!$E$8=yes,'Step2-Energy'!$J$10/100,'Default Controls'!$F$9/100)</f>
        <v>0</v>
      </c>
      <c r="O22" s="3"/>
      <c r="P22" s="75">
        <f>ROUND((0.5+0.7+0.7)/3,2)</f>
        <v>0.63</v>
      </c>
      <c r="Q22" s="75"/>
      <c r="R22" s="75"/>
      <c r="S22" s="75"/>
      <c r="T22" s="75"/>
      <c r="U22" s="75">
        <f t="shared" si="15"/>
        <v>0.37</v>
      </c>
      <c r="V22" s="115">
        <f t="shared" ref="V22:V23" si="16">$N22*P22</f>
        <v>0</v>
      </c>
      <c r="W22" s="115">
        <f t="shared" ref="W22:W23" si="17">$N22*Q22</f>
        <v>0</v>
      </c>
      <c r="X22" s="115">
        <f t="shared" ref="X22:X23" si="18">$N22*R22</f>
        <v>0</v>
      </c>
      <c r="Y22" s="115">
        <f t="shared" ref="Y22:Y23" si="19">$N22*S22</f>
        <v>0</v>
      </c>
      <c r="Z22" s="115">
        <f t="shared" ref="Z22:Z23" si="20">$N22*T22</f>
        <v>0</v>
      </c>
      <c r="AA22" s="115">
        <f t="shared" ref="AA22:AA23" si="21">$N22*U22</f>
        <v>0</v>
      </c>
      <c r="AB22" s="75"/>
    </row>
    <row r="23" spans="1:28" ht="25">
      <c r="A23" s="3"/>
      <c r="B23" s="3"/>
      <c r="C23" s="9"/>
      <c r="D23" s="75"/>
      <c r="E23" s="6"/>
      <c r="F23" s="3"/>
      <c r="G23" s="75"/>
      <c r="H23" s="3"/>
      <c r="I23" s="247"/>
      <c r="K23" s="233"/>
      <c r="L23" s="3"/>
      <c r="M23" s="33" t="s">
        <v>987</v>
      </c>
      <c r="N23" s="770">
        <f>$K$18*IF('Step2-Energy'!$E$8=yes,'Step2-Energy'!$K$10/100,'Default Controls'!$G$9/100)</f>
        <v>0</v>
      </c>
      <c r="O23" s="3"/>
      <c r="P23" s="75">
        <f>ROUND((0.1+0.8+0.8)/3,2)</f>
        <v>0.56999999999999995</v>
      </c>
      <c r="Q23" s="75"/>
      <c r="R23" s="75"/>
      <c r="S23" s="75"/>
      <c r="T23" s="75"/>
      <c r="U23" s="75">
        <f t="shared" si="15"/>
        <v>0.43000000000000005</v>
      </c>
      <c r="V23" s="115">
        <f t="shared" si="16"/>
        <v>0</v>
      </c>
      <c r="W23" s="115">
        <f t="shared" si="17"/>
        <v>0</v>
      </c>
      <c r="X23" s="115">
        <f t="shared" si="18"/>
        <v>0</v>
      </c>
      <c r="Y23" s="115">
        <f t="shared" si="19"/>
        <v>0</v>
      </c>
      <c r="Z23" s="115">
        <f t="shared" si="20"/>
        <v>0</v>
      </c>
      <c r="AA23" s="115">
        <f t="shared" si="21"/>
        <v>0</v>
      </c>
      <c r="AB23" s="75"/>
    </row>
    <row r="24" spans="1:28" ht="25">
      <c r="A24" s="3"/>
      <c r="B24" s="3"/>
      <c r="C24" s="9"/>
      <c r="D24" s="75"/>
      <c r="E24" s="6"/>
      <c r="F24" s="3"/>
      <c r="G24" s="75"/>
      <c r="H24" s="3"/>
      <c r="I24" s="247"/>
      <c r="K24" s="233"/>
      <c r="L24" s="3"/>
      <c r="M24" s="619" t="s">
        <v>988</v>
      </c>
      <c r="N24" s="770">
        <f>$K$18*IF('Step2-Energy'!$E$8=yes,'Step2-Energy'!$L$10/100,'Default Controls'!$H$9/100)</f>
        <v>0</v>
      </c>
      <c r="O24" s="3"/>
      <c r="P24" s="75">
        <f>ROUND((0.03+0.25+0.25)/3,2)</f>
        <v>0.18</v>
      </c>
      <c r="Q24" s="75"/>
      <c r="R24" s="75"/>
      <c r="S24" s="75"/>
      <c r="T24" s="75"/>
      <c r="U24" s="75">
        <f t="shared" si="15"/>
        <v>0.82000000000000006</v>
      </c>
      <c r="V24" s="115">
        <f t="shared" si="9"/>
        <v>0</v>
      </c>
      <c r="W24" s="115">
        <f t="shared" si="10"/>
        <v>0</v>
      </c>
      <c r="X24" s="115">
        <f t="shared" si="11"/>
        <v>0</v>
      </c>
      <c r="Y24" s="115">
        <f t="shared" si="12"/>
        <v>0</v>
      </c>
      <c r="Z24" s="115">
        <f t="shared" si="13"/>
        <v>0</v>
      </c>
      <c r="AA24" s="115">
        <f t="shared" si="14"/>
        <v>0</v>
      </c>
      <c r="AB24" s="75"/>
    </row>
    <row r="25" spans="1:28" ht="13">
      <c r="A25" s="3"/>
      <c r="B25" s="3"/>
      <c r="C25" s="9"/>
      <c r="D25" s="75"/>
      <c r="E25" s="6"/>
      <c r="F25" s="3"/>
      <c r="G25" s="75"/>
      <c r="H25" s="3"/>
      <c r="I25" s="247"/>
      <c r="K25" s="233"/>
      <c r="L25" s="3"/>
      <c r="M25" s="32"/>
      <c r="N25" s="247"/>
      <c r="O25" s="3"/>
      <c r="P25" s="116"/>
      <c r="Q25" s="116"/>
      <c r="R25" s="117"/>
      <c r="S25" s="117"/>
      <c r="T25" s="116"/>
      <c r="U25" s="75"/>
      <c r="V25" s="115"/>
      <c r="W25" s="115"/>
      <c r="X25" s="115"/>
      <c r="Y25" s="115"/>
      <c r="Z25" s="115"/>
      <c r="AA25" s="115"/>
      <c r="AB25" s="75"/>
    </row>
    <row r="26" spans="1:28" s="90" customFormat="1" ht="13">
      <c r="A26" s="87"/>
      <c r="B26" s="620" t="s">
        <v>991</v>
      </c>
      <c r="C26" s="88" t="s">
        <v>62</v>
      </c>
      <c r="D26" s="110"/>
      <c r="E26" s="87"/>
      <c r="F26" s="87"/>
      <c r="G26" s="75"/>
      <c r="H26" s="87"/>
      <c r="I26" s="246"/>
      <c r="J26" s="87"/>
      <c r="K26" s="340">
        <f>SUM(K27:K28)</f>
        <v>0</v>
      </c>
      <c r="L26" s="87"/>
      <c r="M26" s="89"/>
      <c r="N26" s="247"/>
      <c r="O26" s="87"/>
      <c r="P26" s="75"/>
      <c r="Q26" s="75"/>
      <c r="R26" s="75"/>
      <c r="S26" s="75"/>
      <c r="T26" s="75"/>
      <c r="U26" s="75"/>
      <c r="V26" s="113">
        <f>SUM(V27:V32)</f>
        <v>0</v>
      </c>
      <c r="W26" s="113">
        <f t="shared" ref="W26:AA26" si="22">SUM(W27:W32)</f>
        <v>0</v>
      </c>
      <c r="X26" s="113">
        <f t="shared" si="22"/>
        <v>0</v>
      </c>
      <c r="Y26" s="113">
        <f t="shared" si="22"/>
        <v>0</v>
      </c>
      <c r="Z26" s="113">
        <f t="shared" si="22"/>
        <v>0</v>
      </c>
      <c r="AA26" s="113">
        <f t="shared" si="22"/>
        <v>0</v>
      </c>
      <c r="AB26" s="75"/>
    </row>
    <row r="27" spans="1:28" s="48" customFormat="1" ht="13">
      <c r="A27" s="91"/>
      <c r="B27" s="28"/>
      <c r="C27" s="92" t="s">
        <v>63</v>
      </c>
      <c r="D27" s="110"/>
      <c r="E27" s="94" t="s">
        <v>48</v>
      </c>
      <c r="F27" s="28" t="s">
        <v>340</v>
      </c>
      <c r="G27" s="75">
        <v>0.15</v>
      </c>
      <c r="H27" s="28" t="s">
        <v>340</v>
      </c>
      <c r="I27" s="247"/>
      <c r="J27" s="48" t="s">
        <v>321</v>
      </c>
      <c r="K27" s="233">
        <f>G27*I27/1000</f>
        <v>0</v>
      </c>
      <c r="L27" s="100" t="s">
        <v>36</v>
      </c>
      <c r="M27" s="95"/>
      <c r="N27" s="247"/>
      <c r="O27" s="28"/>
      <c r="P27" s="75">
        <v>1</v>
      </c>
      <c r="Q27" s="75"/>
      <c r="R27" s="75"/>
      <c r="S27" s="75"/>
      <c r="T27" s="75"/>
      <c r="U27" s="75"/>
      <c r="V27" s="115">
        <f t="shared" ref="V27:V32" si="23">$N27*P27</f>
        <v>0</v>
      </c>
      <c r="W27" s="115">
        <f t="shared" ref="W27:W32" si="24">$N27*Q27</f>
        <v>0</v>
      </c>
      <c r="X27" s="115">
        <f t="shared" ref="X27:X32" si="25">$N27*R27</f>
        <v>0</v>
      </c>
      <c r="Y27" s="115">
        <f t="shared" ref="Y27:Y32" si="26">$N27*S27</f>
        <v>0</v>
      </c>
      <c r="Z27" s="115">
        <f t="shared" ref="Z27:Z32" si="27">$N27*T27</f>
        <v>0</v>
      </c>
      <c r="AA27" s="115">
        <f t="shared" ref="AA27:AA32" si="28">$N27*U27</f>
        <v>0</v>
      </c>
      <c r="AB27" s="75"/>
    </row>
    <row r="28" spans="1:28" ht="52">
      <c r="A28" s="3"/>
      <c r="B28" s="3"/>
      <c r="C28" s="12" t="s">
        <v>1027</v>
      </c>
      <c r="D28" s="110"/>
      <c r="E28" s="6" t="s">
        <v>58</v>
      </c>
      <c r="F28" s="3" t="s">
        <v>340</v>
      </c>
      <c r="G28" s="570">
        <f>(0.15+0.15+0.1)/3</f>
        <v>0.13333333333333333</v>
      </c>
      <c r="H28" s="3" t="s">
        <v>340</v>
      </c>
      <c r="I28" s="247">
        <f>'Step2-Energy'!C11</f>
        <v>0</v>
      </c>
      <c r="J28" t="s">
        <v>321</v>
      </c>
      <c r="K28" s="237">
        <f>G28*I28/1000</f>
        <v>0</v>
      </c>
      <c r="L28" s="3" t="s">
        <v>64</v>
      </c>
      <c r="M28" s="33"/>
      <c r="N28" s="247"/>
      <c r="O28" s="3"/>
      <c r="P28" s="75"/>
      <c r="Q28" s="75"/>
      <c r="R28" s="75"/>
      <c r="S28" s="75"/>
      <c r="T28" s="75"/>
      <c r="U28" s="75"/>
      <c r="V28" s="115">
        <f t="shared" si="23"/>
        <v>0</v>
      </c>
      <c r="W28" s="115">
        <f t="shared" si="24"/>
        <v>0</v>
      </c>
      <c r="X28" s="115">
        <f t="shared" si="25"/>
        <v>0</v>
      </c>
      <c r="Y28" s="115">
        <f t="shared" si="26"/>
        <v>0</v>
      </c>
      <c r="Z28" s="115">
        <f t="shared" si="27"/>
        <v>0</v>
      </c>
      <c r="AA28" s="115">
        <f t="shared" si="28"/>
        <v>0</v>
      </c>
      <c r="AB28" s="75"/>
    </row>
    <row r="29" spans="1:28" ht="13">
      <c r="A29" s="3"/>
      <c r="B29" s="3"/>
      <c r="C29" s="9"/>
      <c r="D29" s="75"/>
      <c r="E29" s="6"/>
      <c r="F29" s="3"/>
      <c r="G29" s="75"/>
      <c r="H29" s="3"/>
      <c r="I29" s="247"/>
      <c r="K29" s="233"/>
      <c r="L29" s="3"/>
      <c r="M29" s="618" t="s">
        <v>525</v>
      </c>
      <c r="N29" s="247">
        <f>K28</f>
        <v>0</v>
      </c>
      <c r="O29" s="3" t="s">
        <v>36</v>
      </c>
      <c r="P29" s="75">
        <v>1</v>
      </c>
      <c r="Q29" s="116"/>
      <c r="R29" s="117"/>
      <c r="S29" s="117"/>
      <c r="T29" s="116"/>
      <c r="U29" s="75"/>
      <c r="V29" s="115">
        <f t="shared" si="23"/>
        <v>0</v>
      </c>
      <c r="W29" s="115">
        <f t="shared" si="24"/>
        <v>0</v>
      </c>
      <c r="X29" s="115">
        <f t="shared" si="25"/>
        <v>0</v>
      </c>
      <c r="Y29" s="115">
        <f t="shared" si="26"/>
        <v>0</v>
      </c>
      <c r="Z29" s="115">
        <f t="shared" si="27"/>
        <v>0</v>
      </c>
      <c r="AA29" s="115">
        <f t="shared" si="28"/>
        <v>0</v>
      </c>
      <c r="AB29" s="75"/>
    </row>
    <row r="30" spans="1:28" ht="13">
      <c r="A30" s="3"/>
      <c r="B30" s="3"/>
      <c r="C30" s="9"/>
      <c r="D30" s="75"/>
      <c r="E30" s="6"/>
      <c r="F30" s="3"/>
      <c r="G30" s="75"/>
      <c r="H30" s="3"/>
      <c r="I30" s="247"/>
      <c r="K30" s="233"/>
      <c r="L30" s="3"/>
      <c r="M30" s="33"/>
      <c r="N30" s="247"/>
      <c r="O30" s="3"/>
      <c r="P30" s="116"/>
      <c r="Q30" s="116"/>
      <c r="R30" s="117"/>
      <c r="S30" s="117"/>
      <c r="T30" s="116"/>
      <c r="U30" s="75"/>
      <c r="V30" s="115">
        <f t="shared" si="23"/>
        <v>0</v>
      </c>
      <c r="W30" s="115">
        <f t="shared" si="24"/>
        <v>0</v>
      </c>
      <c r="X30" s="115">
        <f t="shared" si="25"/>
        <v>0</v>
      </c>
      <c r="Y30" s="115">
        <f t="shared" si="26"/>
        <v>0</v>
      </c>
      <c r="Z30" s="115">
        <f t="shared" si="27"/>
        <v>0</v>
      </c>
      <c r="AA30" s="115">
        <f t="shared" si="28"/>
        <v>0</v>
      </c>
      <c r="AB30" s="75"/>
    </row>
    <row r="31" spans="1:28" ht="13">
      <c r="A31" s="3"/>
      <c r="B31" s="3"/>
      <c r="C31" s="9"/>
      <c r="D31" s="75"/>
      <c r="E31" s="6"/>
      <c r="F31" s="3"/>
      <c r="G31" s="75"/>
      <c r="H31" s="3"/>
      <c r="I31" s="247"/>
      <c r="K31" s="233"/>
      <c r="L31" s="3"/>
      <c r="M31" s="33"/>
      <c r="N31" s="247"/>
      <c r="O31" s="3"/>
      <c r="P31" s="116"/>
      <c r="Q31" s="116"/>
      <c r="R31" s="117"/>
      <c r="S31" s="117"/>
      <c r="T31" s="116"/>
      <c r="U31" s="75"/>
      <c r="V31" s="115">
        <f t="shared" si="23"/>
        <v>0</v>
      </c>
      <c r="W31" s="115">
        <f t="shared" si="24"/>
        <v>0</v>
      </c>
      <c r="X31" s="115">
        <f t="shared" si="25"/>
        <v>0</v>
      </c>
      <c r="Y31" s="115">
        <f t="shared" si="26"/>
        <v>0</v>
      </c>
      <c r="Z31" s="115">
        <f t="shared" si="27"/>
        <v>0</v>
      </c>
      <c r="AA31" s="115">
        <f t="shared" si="28"/>
        <v>0</v>
      </c>
      <c r="AB31" s="75"/>
    </row>
    <row r="32" spans="1:28" ht="13">
      <c r="A32" s="3"/>
      <c r="B32" s="3"/>
      <c r="C32" s="9"/>
      <c r="D32" s="75"/>
      <c r="E32" s="6"/>
      <c r="F32" s="3"/>
      <c r="G32" s="75"/>
      <c r="H32" s="3"/>
      <c r="I32" s="247"/>
      <c r="K32" s="233"/>
      <c r="L32" s="3"/>
      <c r="M32" s="33"/>
      <c r="N32" s="247"/>
      <c r="O32" s="3"/>
      <c r="P32" s="116"/>
      <c r="Q32" s="116"/>
      <c r="R32" s="117"/>
      <c r="S32" s="117"/>
      <c r="T32" s="116"/>
      <c r="U32" s="75"/>
      <c r="V32" s="115">
        <f t="shared" si="23"/>
        <v>0</v>
      </c>
      <c r="W32" s="115">
        <f t="shared" si="24"/>
        <v>0</v>
      </c>
      <c r="X32" s="115">
        <f t="shared" si="25"/>
        <v>0</v>
      </c>
      <c r="Y32" s="115">
        <f t="shared" si="26"/>
        <v>0</v>
      </c>
      <c r="Z32" s="115">
        <f t="shared" si="27"/>
        <v>0</v>
      </c>
      <c r="AA32" s="115">
        <f t="shared" si="28"/>
        <v>0</v>
      </c>
      <c r="AB32" s="75"/>
    </row>
    <row r="33" spans="1:28" ht="13">
      <c r="A33" s="3"/>
      <c r="B33" s="3"/>
      <c r="C33" s="9"/>
      <c r="D33" s="75"/>
      <c r="E33" s="6"/>
      <c r="F33" s="3"/>
      <c r="G33" s="75"/>
      <c r="H33" s="3"/>
      <c r="I33" s="247"/>
      <c r="K33" s="233"/>
      <c r="L33" s="3"/>
      <c r="M33" s="32"/>
      <c r="N33" s="247"/>
      <c r="O33" s="3"/>
      <c r="P33" s="116"/>
      <c r="Q33" s="116"/>
      <c r="R33" s="117"/>
      <c r="S33" s="117"/>
      <c r="T33" s="116"/>
      <c r="U33" s="75"/>
      <c r="V33" s="115"/>
      <c r="W33" s="115"/>
      <c r="X33" s="115"/>
      <c r="Y33" s="115"/>
      <c r="Z33" s="115"/>
      <c r="AA33" s="115"/>
      <c r="AB33" s="75"/>
    </row>
    <row r="34" spans="1:28" s="90" customFormat="1" ht="26">
      <c r="A34" s="87"/>
      <c r="B34" s="87" t="s">
        <v>65</v>
      </c>
      <c r="C34" s="96" t="s">
        <v>70</v>
      </c>
      <c r="D34" s="110"/>
      <c r="E34" s="97"/>
      <c r="F34" s="87"/>
      <c r="G34" s="75"/>
      <c r="H34" s="87"/>
      <c r="I34" s="247"/>
      <c r="K34" s="364"/>
      <c r="L34" s="87"/>
      <c r="M34" s="98"/>
      <c r="N34" s="247"/>
      <c r="O34" s="87"/>
      <c r="P34" s="116"/>
      <c r="Q34" s="116"/>
      <c r="R34" s="117"/>
      <c r="S34" s="117"/>
      <c r="T34" s="116"/>
      <c r="U34" s="75"/>
      <c r="V34" s="113">
        <f>SUM(V35:V47)</f>
        <v>0</v>
      </c>
      <c r="W34" s="113">
        <f t="shared" ref="W34:Z34" si="29">SUM(W35:W47)</f>
        <v>0</v>
      </c>
      <c r="X34" s="113">
        <f t="shared" si="29"/>
        <v>0</v>
      </c>
      <c r="Y34" s="113">
        <f t="shared" si="29"/>
        <v>0</v>
      </c>
      <c r="Z34" s="113">
        <f t="shared" si="29"/>
        <v>0</v>
      </c>
      <c r="AA34" s="113">
        <f>SUM(AA35:AA47)</f>
        <v>0</v>
      </c>
      <c r="AB34" s="75"/>
    </row>
    <row r="35" spans="1:28" s="48" customFormat="1" ht="13">
      <c r="A35" s="28"/>
      <c r="B35" s="28"/>
      <c r="C35" s="99" t="s">
        <v>101</v>
      </c>
      <c r="D35" s="110"/>
      <c r="E35" s="565" t="s">
        <v>885</v>
      </c>
      <c r="F35" s="3" t="s">
        <v>342</v>
      </c>
      <c r="G35" s="283">
        <v>3.4</v>
      </c>
      <c r="H35" s="3" t="s">
        <v>342</v>
      </c>
      <c r="I35" s="333">
        <f>'Step2-Energy'!C24</f>
        <v>0</v>
      </c>
      <c r="J35" t="s">
        <v>322</v>
      </c>
      <c r="K35" s="233">
        <f>G35/1000000*I35</f>
        <v>0</v>
      </c>
      <c r="L35" s="100"/>
      <c r="M35" s="35"/>
      <c r="N35" s="247">
        <f>K35</f>
        <v>0</v>
      </c>
      <c r="O35" s="28"/>
      <c r="P35" s="362"/>
      <c r="Q35" s="362">
        <v>0.2</v>
      </c>
      <c r="R35" s="362"/>
      <c r="S35" s="362"/>
      <c r="T35" s="362"/>
      <c r="U35" s="362"/>
      <c r="V35" s="115">
        <f t="shared" ref="V35:AA35" si="30">$N35*P35</f>
        <v>0</v>
      </c>
      <c r="W35" s="115">
        <f t="shared" si="30"/>
        <v>0</v>
      </c>
      <c r="X35" s="115">
        <f t="shared" si="30"/>
        <v>0</v>
      </c>
      <c r="Y35" s="115">
        <f t="shared" si="30"/>
        <v>0</v>
      </c>
      <c r="Z35" s="115">
        <f t="shared" si="30"/>
        <v>0</v>
      </c>
      <c r="AA35" s="115">
        <f t="shared" si="30"/>
        <v>0</v>
      </c>
      <c r="AB35" s="75"/>
    </row>
    <row r="36" spans="1:28" ht="13">
      <c r="A36" s="3"/>
      <c r="B36" s="3"/>
      <c r="C36" s="12" t="s">
        <v>102</v>
      </c>
      <c r="D36" s="110"/>
      <c r="E36" s="565" t="s">
        <v>885</v>
      </c>
      <c r="F36" s="3" t="s">
        <v>342</v>
      </c>
      <c r="G36" s="75">
        <v>3.4</v>
      </c>
      <c r="H36" s="3" t="s">
        <v>342</v>
      </c>
      <c r="I36" s="247">
        <f>'Step2-Energy'!C25</f>
        <v>0</v>
      </c>
      <c r="J36" t="s">
        <v>322</v>
      </c>
      <c r="K36" s="233">
        <f>G36/1000000*I36</f>
        <v>0</v>
      </c>
      <c r="L36" s="3" t="s">
        <v>36</v>
      </c>
      <c r="M36" s="15"/>
      <c r="N36" s="247">
        <f>K36</f>
        <v>0</v>
      </c>
      <c r="O36" s="3"/>
      <c r="P36" s="362">
        <v>0.25</v>
      </c>
      <c r="Q36" s="362">
        <v>0.01</v>
      </c>
      <c r="R36" s="362"/>
      <c r="S36" s="362"/>
      <c r="T36" s="362"/>
      <c r="U36" s="362">
        <v>0.15</v>
      </c>
      <c r="V36" s="115">
        <f t="shared" ref="V36:AA36" si="31">$N36*P36</f>
        <v>0</v>
      </c>
      <c r="W36" s="115">
        <f t="shared" si="31"/>
        <v>0</v>
      </c>
      <c r="X36" s="115">
        <f t="shared" si="31"/>
        <v>0</v>
      </c>
      <c r="Y36" s="115">
        <f t="shared" si="31"/>
        <v>0</v>
      </c>
      <c r="Z36" s="115">
        <f t="shared" si="31"/>
        <v>0</v>
      </c>
      <c r="AA36" s="115">
        <f t="shared" si="31"/>
        <v>0</v>
      </c>
      <c r="AB36" s="75"/>
    </row>
    <row r="37" spans="1:28" ht="26">
      <c r="A37" s="3"/>
      <c r="B37" s="3"/>
      <c r="C37" s="12" t="s">
        <v>479</v>
      </c>
      <c r="D37" s="110"/>
      <c r="E37" s="11"/>
      <c r="F37" s="3"/>
      <c r="G37" s="75"/>
      <c r="H37" s="3"/>
      <c r="I37" s="247"/>
      <c r="K37" s="233"/>
      <c r="L37" s="3"/>
      <c r="M37" s="15"/>
      <c r="N37" s="247"/>
      <c r="O37" s="3"/>
      <c r="P37" s="116"/>
      <c r="Q37" s="116"/>
      <c r="R37" s="117"/>
      <c r="S37" s="117"/>
      <c r="T37" s="116"/>
      <c r="U37" s="116"/>
      <c r="V37" s="115"/>
      <c r="W37" s="115"/>
      <c r="X37" s="115"/>
      <c r="Y37" s="115"/>
      <c r="Z37" s="115"/>
      <c r="AA37" s="115"/>
      <c r="AB37" s="75"/>
    </row>
    <row r="38" spans="1:28" ht="13">
      <c r="A38" s="3"/>
      <c r="B38" s="3"/>
      <c r="C38" s="9" t="s">
        <v>66</v>
      </c>
      <c r="D38" s="75"/>
      <c r="E38" s="11" t="s">
        <v>480</v>
      </c>
      <c r="F38" s="3" t="s">
        <v>342</v>
      </c>
      <c r="G38" s="75">
        <v>20</v>
      </c>
      <c r="H38" s="3" t="s">
        <v>342</v>
      </c>
      <c r="I38" s="247"/>
      <c r="J38" t="s">
        <v>322</v>
      </c>
      <c r="K38" s="233">
        <f>G38/1000000*I38</f>
        <v>0</v>
      </c>
      <c r="L38" s="3" t="s">
        <v>36</v>
      </c>
      <c r="M38" s="15"/>
      <c r="N38" s="247"/>
      <c r="O38" s="3"/>
      <c r="P38" s="116">
        <v>1</v>
      </c>
      <c r="Q38" s="116"/>
      <c r="R38" s="117"/>
      <c r="S38" s="117"/>
      <c r="T38" s="116"/>
      <c r="U38" s="116"/>
      <c r="V38" s="115">
        <f t="shared" ref="V38:AA40" si="32">$N38*P38</f>
        <v>0</v>
      </c>
      <c r="W38" s="115">
        <f t="shared" si="32"/>
        <v>0</v>
      </c>
      <c r="X38" s="115">
        <f t="shared" si="32"/>
        <v>0</v>
      </c>
      <c r="Y38" s="115">
        <f t="shared" si="32"/>
        <v>0</v>
      </c>
      <c r="Z38" s="115">
        <f t="shared" si="32"/>
        <v>0</v>
      </c>
      <c r="AA38" s="115">
        <f t="shared" si="32"/>
        <v>0</v>
      </c>
      <c r="AB38" s="75"/>
    </row>
    <row r="39" spans="1:28" ht="13">
      <c r="A39" s="3"/>
      <c r="B39" s="3"/>
      <c r="C39" s="9" t="s">
        <v>482</v>
      </c>
      <c r="D39" s="75"/>
      <c r="E39" s="6" t="s">
        <v>480</v>
      </c>
      <c r="F39" s="3" t="s">
        <v>342</v>
      </c>
      <c r="G39" s="75">
        <v>20</v>
      </c>
      <c r="H39" s="3" t="s">
        <v>342</v>
      </c>
      <c r="I39" s="247">
        <f>'Step2-Energy'!C12</f>
        <v>0</v>
      </c>
      <c r="J39" t="s">
        <v>322</v>
      </c>
      <c r="K39" s="237">
        <f>G39/1000000*I39</f>
        <v>0</v>
      </c>
      <c r="L39" s="3" t="s">
        <v>36</v>
      </c>
      <c r="M39" s="33" t="s">
        <v>1079</v>
      </c>
      <c r="N39" s="770">
        <f>$K$39*IF('Step2-Energy'!$E$12=yes,'Step2-Energy'!$G$14/100,'Default Controls'!$C$12/100)</f>
        <v>0</v>
      </c>
      <c r="O39" s="3"/>
      <c r="P39" s="116">
        <v>1</v>
      </c>
      <c r="Q39" s="116"/>
      <c r="R39" s="117"/>
      <c r="S39" s="117"/>
      <c r="T39" s="116"/>
      <c r="U39" s="116"/>
      <c r="V39" s="115">
        <f t="shared" si="32"/>
        <v>0</v>
      </c>
      <c r="W39" s="115">
        <f t="shared" si="32"/>
        <v>0</v>
      </c>
      <c r="X39" s="115">
        <f t="shared" si="32"/>
        <v>0</v>
      </c>
      <c r="Y39" s="115">
        <f t="shared" si="32"/>
        <v>0</v>
      </c>
      <c r="Z39" s="115">
        <f t="shared" si="32"/>
        <v>0</v>
      </c>
      <c r="AA39" s="115">
        <f t="shared" si="32"/>
        <v>0</v>
      </c>
      <c r="AB39" s="75"/>
    </row>
    <row r="40" spans="1:28" ht="37.5">
      <c r="A40" s="3"/>
      <c r="B40" s="3"/>
      <c r="C40" s="566"/>
      <c r="D40" s="75"/>
      <c r="E40" s="6"/>
      <c r="F40" s="3"/>
      <c r="G40" s="75"/>
      <c r="H40" s="3"/>
      <c r="I40" s="247"/>
      <c r="K40" s="233"/>
      <c r="L40" s="3"/>
      <c r="M40" s="619" t="s">
        <v>69</v>
      </c>
      <c r="N40" s="770">
        <f>$K$39*IF('Step2-Energy'!$E$12=yes,'Step2-Energy'!$H$14/100,'Default Controls'!$D$12/100)</f>
        <v>0</v>
      </c>
      <c r="O40" s="3"/>
      <c r="P40" s="116">
        <v>0.9</v>
      </c>
      <c r="Q40" s="116"/>
      <c r="R40" s="117"/>
      <c r="S40" s="117"/>
      <c r="T40" s="116"/>
      <c r="U40" s="116">
        <v>0.1</v>
      </c>
      <c r="V40" s="115">
        <f t="shared" si="32"/>
        <v>0</v>
      </c>
      <c r="W40" s="115">
        <f t="shared" si="32"/>
        <v>0</v>
      </c>
      <c r="X40" s="115">
        <f t="shared" si="32"/>
        <v>0</v>
      </c>
      <c r="Y40" s="115">
        <f t="shared" si="32"/>
        <v>0</v>
      </c>
      <c r="Z40" s="115">
        <f t="shared" si="32"/>
        <v>0</v>
      </c>
      <c r="AA40" s="115">
        <f t="shared" si="32"/>
        <v>0</v>
      </c>
      <c r="AB40" s="75"/>
    </row>
    <row r="41" spans="1:28" ht="25">
      <c r="A41" s="3"/>
      <c r="B41" s="3"/>
      <c r="C41" s="566"/>
      <c r="D41" s="75"/>
      <c r="E41" s="6"/>
      <c r="F41" s="3"/>
      <c r="G41" s="75"/>
      <c r="H41" s="3"/>
      <c r="I41" s="247"/>
      <c r="K41" s="233"/>
      <c r="L41" s="3"/>
      <c r="M41" s="619" t="s">
        <v>993</v>
      </c>
      <c r="N41" s="770">
        <f>$K$39*IF('Step2-Energy'!$E$12=yes,'Step2-Energy'!$I$14/100,'Default Controls'!$E$12/100)</f>
        <v>0</v>
      </c>
      <c r="O41" s="3"/>
      <c r="P41" s="116">
        <v>0.5</v>
      </c>
      <c r="Q41" s="116"/>
      <c r="R41" s="117"/>
      <c r="S41" s="117"/>
      <c r="T41" s="116"/>
      <c r="U41" s="116">
        <v>0.5</v>
      </c>
      <c r="V41" s="115">
        <f t="shared" ref="V41" si="33">$N41*P41</f>
        <v>0</v>
      </c>
      <c r="W41" s="115">
        <f t="shared" ref="W41" si="34">$N41*Q41</f>
        <v>0</v>
      </c>
      <c r="X41" s="115">
        <f t="shared" ref="X41" si="35">$N41*R41</f>
        <v>0</v>
      </c>
      <c r="Y41" s="115">
        <f>$N41*S41</f>
        <v>0</v>
      </c>
      <c r="Z41" s="115">
        <f t="shared" ref="Z41" si="36">$N41*T41</f>
        <v>0</v>
      </c>
      <c r="AA41" s="115">
        <f>$N41*U41</f>
        <v>0</v>
      </c>
      <c r="AB41" s="75"/>
    </row>
    <row r="42" spans="1:28" ht="26">
      <c r="A42" s="3"/>
      <c r="B42" s="3"/>
      <c r="C42" s="12" t="s">
        <v>477</v>
      </c>
      <c r="D42" s="111"/>
      <c r="E42" s="6"/>
      <c r="F42" s="3"/>
      <c r="G42" s="75"/>
      <c r="H42" s="3"/>
      <c r="I42" s="247"/>
      <c r="K42" s="233"/>
      <c r="L42" s="3"/>
      <c r="M42" s="15"/>
      <c r="N42" s="247"/>
      <c r="O42" s="3"/>
      <c r="P42" s="116"/>
      <c r="Q42" s="116"/>
      <c r="R42" s="117"/>
      <c r="S42" s="117"/>
      <c r="T42" s="116"/>
      <c r="U42" s="75"/>
      <c r="V42" s="115"/>
      <c r="W42" s="115"/>
      <c r="X42" s="115"/>
      <c r="Y42" s="115"/>
      <c r="Z42" s="115"/>
      <c r="AA42" s="115"/>
      <c r="AB42" s="75"/>
    </row>
    <row r="43" spans="1:28" ht="25.5">
      <c r="A43" s="3"/>
      <c r="B43" s="3"/>
      <c r="C43" s="9" t="s">
        <v>478</v>
      </c>
      <c r="D43" s="75"/>
      <c r="E43" s="6" t="s">
        <v>481</v>
      </c>
      <c r="F43" s="3" t="s">
        <v>342</v>
      </c>
      <c r="G43" s="75">
        <v>2</v>
      </c>
      <c r="H43" s="3" t="s">
        <v>342</v>
      </c>
      <c r="I43" s="247">
        <f>'Step2-Energy'!C15</f>
        <v>0</v>
      </c>
      <c r="J43" t="s">
        <v>322</v>
      </c>
      <c r="K43" s="233">
        <f>G43/1000000*I43</f>
        <v>0</v>
      </c>
      <c r="L43" s="3" t="s">
        <v>36</v>
      </c>
      <c r="M43" s="32"/>
      <c r="N43" s="247"/>
      <c r="O43" s="3"/>
      <c r="P43" s="116">
        <v>1</v>
      </c>
      <c r="Q43" s="116"/>
      <c r="R43" s="117"/>
      <c r="S43" s="117"/>
      <c r="T43" s="116"/>
      <c r="U43" s="75"/>
      <c r="V43" s="115">
        <f t="shared" ref="V43:AA46" si="37">$N43*P43</f>
        <v>0</v>
      </c>
      <c r="W43" s="115">
        <f t="shared" si="37"/>
        <v>0</v>
      </c>
      <c r="X43" s="115">
        <f t="shared" si="37"/>
        <v>0</v>
      </c>
      <c r="Y43" s="115">
        <f t="shared" si="37"/>
        <v>0</v>
      </c>
      <c r="Z43" s="115">
        <f t="shared" si="37"/>
        <v>0</v>
      </c>
      <c r="AA43" s="115">
        <f t="shared" si="37"/>
        <v>0</v>
      </c>
      <c r="AB43" s="75"/>
    </row>
    <row r="44" spans="1:28" ht="25.5">
      <c r="A44" s="3"/>
      <c r="B44" s="3"/>
      <c r="C44" s="9" t="s">
        <v>67</v>
      </c>
      <c r="D44" s="75"/>
      <c r="E44" s="6" t="s">
        <v>481</v>
      </c>
      <c r="F44" s="3" t="s">
        <v>342</v>
      </c>
      <c r="G44" s="75">
        <v>2</v>
      </c>
      <c r="H44" s="3" t="s">
        <v>342</v>
      </c>
      <c r="I44" s="247"/>
      <c r="J44" t="s">
        <v>322</v>
      </c>
      <c r="K44" s="237">
        <f>G44/1000000*I44</f>
        <v>0</v>
      </c>
      <c r="L44" s="3" t="s">
        <v>36</v>
      </c>
      <c r="M44" s="32"/>
      <c r="N44" s="247"/>
      <c r="O44" s="3"/>
      <c r="P44" s="116">
        <v>1</v>
      </c>
      <c r="Q44" s="116"/>
      <c r="R44" s="117"/>
      <c r="S44" s="117"/>
      <c r="T44" s="116"/>
      <c r="U44" s="75"/>
      <c r="V44" s="115">
        <f t="shared" si="37"/>
        <v>0</v>
      </c>
      <c r="W44" s="115">
        <f t="shared" si="37"/>
        <v>0</v>
      </c>
      <c r="X44" s="115">
        <f t="shared" si="37"/>
        <v>0</v>
      </c>
      <c r="Y44" s="115">
        <f t="shared" si="37"/>
        <v>0</v>
      </c>
      <c r="Z44" s="115">
        <f t="shared" si="37"/>
        <v>0</v>
      </c>
      <c r="AA44" s="115">
        <f t="shared" si="37"/>
        <v>0</v>
      </c>
      <c r="AB44" s="75"/>
    </row>
    <row r="45" spans="1:28" ht="25">
      <c r="A45" s="3"/>
      <c r="B45" s="3"/>
      <c r="C45" s="9" t="s">
        <v>155</v>
      </c>
      <c r="D45" s="75"/>
      <c r="E45" s="6" t="s">
        <v>481</v>
      </c>
      <c r="F45" s="3" t="s">
        <v>342</v>
      </c>
      <c r="G45" s="75">
        <v>2</v>
      </c>
      <c r="H45" s="3" t="s">
        <v>342</v>
      </c>
      <c r="I45" s="247"/>
      <c r="J45" t="s">
        <v>322</v>
      </c>
      <c r="K45" s="237">
        <f>G45/1000000*I45</f>
        <v>0</v>
      </c>
      <c r="L45" s="3" t="s">
        <v>36</v>
      </c>
      <c r="M45" s="33" t="s">
        <v>68</v>
      </c>
      <c r="N45" s="770">
        <f>$K$43*IF('Step2-Energy'!$E$15=yes,'Step2-Energy'!$G$17/100,'Default Controls'!$C$15/100)</f>
        <v>0</v>
      </c>
      <c r="O45" s="3"/>
      <c r="P45" s="116">
        <v>1</v>
      </c>
      <c r="Q45" s="116"/>
      <c r="R45" s="117"/>
      <c r="S45" s="117"/>
      <c r="T45" s="116"/>
      <c r="U45" s="75"/>
      <c r="V45" s="115">
        <f t="shared" si="37"/>
        <v>0</v>
      </c>
      <c r="W45" s="115">
        <f t="shared" si="37"/>
        <v>0</v>
      </c>
      <c r="X45" s="115">
        <f t="shared" si="37"/>
        <v>0</v>
      </c>
      <c r="Y45" s="115">
        <f t="shared" si="37"/>
        <v>0</v>
      </c>
      <c r="Z45" s="115">
        <f t="shared" si="37"/>
        <v>0</v>
      </c>
      <c r="AA45" s="115">
        <f t="shared" si="37"/>
        <v>0</v>
      </c>
      <c r="AB45" s="75"/>
    </row>
    <row r="46" spans="1:28" ht="37.5">
      <c r="A46" s="3"/>
      <c r="B46" s="3"/>
      <c r="C46" s="566"/>
      <c r="D46" s="75"/>
      <c r="E46" s="6"/>
      <c r="F46" s="3"/>
      <c r="G46" s="75"/>
      <c r="H46" s="3"/>
      <c r="I46" s="247"/>
      <c r="K46" s="233"/>
      <c r="L46" s="3"/>
      <c r="M46" s="33" t="s">
        <v>69</v>
      </c>
      <c r="N46" s="770">
        <f>$K$43*IF('Step2-Energy'!$E$15=yes,'Step2-Energy'!$H$17/100,'Default Controls'!$D$15/100)</f>
        <v>0</v>
      </c>
      <c r="O46" s="3"/>
      <c r="P46" s="116">
        <v>0.9</v>
      </c>
      <c r="Q46" s="116"/>
      <c r="R46" s="117"/>
      <c r="S46" s="117"/>
      <c r="T46" s="116"/>
      <c r="U46" s="116">
        <v>0.1</v>
      </c>
      <c r="V46" s="115">
        <f t="shared" si="37"/>
        <v>0</v>
      </c>
      <c r="W46" s="115">
        <f t="shared" si="37"/>
        <v>0</v>
      </c>
      <c r="X46" s="115">
        <f t="shared" si="37"/>
        <v>0</v>
      </c>
      <c r="Y46" s="115">
        <f t="shared" si="37"/>
        <v>0</v>
      </c>
      <c r="Z46" s="115">
        <f t="shared" si="37"/>
        <v>0</v>
      </c>
      <c r="AA46" s="115">
        <f t="shared" si="37"/>
        <v>0</v>
      </c>
      <c r="AB46" s="75"/>
    </row>
    <row r="47" spans="1:28" ht="25">
      <c r="A47" s="3"/>
      <c r="B47" s="3"/>
      <c r="C47" s="566"/>
      <c r="D47" s="75"/>
      <c r="E47" s="6"/>
      <c r="F47" s="3"/>
      <c r="G47" s="75"/>
      <c r="H47" s="3"/>
      <c r="I47" s="247"/>
      <c r="K47" s="233"/>
      <c r="L47" s="3"/>
      <c r="M47" s="619" t="s">
        <v>993</v>
      </c>
      <c r="N47" s="770">
        <f>$K$43*IF('Step2-Energy'!$E$15=yes,'Step2-Energy'!$I$17/100,'Default Controls'!$E$15/100)</f>
        <v>0</v>
      </c>
      <c r="O47" s="3"/>
      <c r="P47" s="116">
        <v>0.5</v>
      </c>
      <c r="Q47" s="116"/>
      <c r="R47" s="117"/>
      <c r="S47" s="117"/>
      <c r="T47" s="116"/>
      <c r="U47" s="116">
        <v>0.5</v>
      </c>
      <c r="V47" s="115">
        <f t="shared" ref="V47" si="38">$N47*P47</f>
        <v>0</v>
      </c>
      <c r="W47" s="115">
        <f t="shared" ref="W47" si="39">$N47*Q47</f>
        <v>0</v>
      </c>
      <c r="X47" s="115">
        <f t="shared" ref="X47" si="40">$N47*R47</f>
        <v>0</v>
      </c>
      <c r="Y47" s="115">
        <f t="shared" ref="Y47" si="41">$N47*S47</f>
        <v>0</v>
      </c>
      <c r="Z47" s="115">
        <f t="shared" ref="Z47" si="42">$N47*T47</f>
        <v>0</v>
      </c>
      <c r="AA47" s="115">
        <f t="shared" ref="AA47" si="43">$N47*U47</f>
        <v>0</v>
      </c>
      <c r="AB47" s="75"/>
    </row>
    <row r="48" spans="1:28" s="55" customFormat="1" ht="13">
      <c r="A48" s="103"/>
      <c r="B48" s="103"/>
      <c r="C48" s="104"/>
      <c r="D48" s="75"/>
      <c r="E48" s="105"/>
      <c r="F48" s="103"/>
      <c r="G48" s="75"/>
      <c r="H48" s="103"/>
      <c r="I48" s="247"/>
      <c r="K48" s="233"/>
      <c r="L48" s="103"/>
      <c r="M48" s="106"/>
      <c r="N48" s="247"/>
      <c r="O48" s="103"/>
      <c r="P48" s="116"/>
      <c r="Q48" s="116"/>
      <c r="R48" s="117"/>
      <c r="S48" s="117"/>
      <c r="T48" s="116"/>
      <c r="U48" s="75"/>
      <c r="V48" s="115"/>
      <c r="W48" s="115"/>
      <c r="X48" s="115"/>
      <c r="Y48" s="115"/>
      <c r="Z48" s="115"/>
      <c r="AA48" s="115"/>
      <c r="AB48" s="75"/>
    </row>
    <row r="49" spans="1:28" ht="26">
      <c r="A49" s="3"/>
      <c r="B49" s="3" t="s">
        <v>71</v>
      </c>
      <c r="C49" s="12" t="s">
        <v>72</v>
      </c>
      <c r="D49" s="110"/>
      <c r="E49" s="6"/>
      <c r="F49" s="3"/>
      <c r="G49" s="75"/>
      <c r="H49" s="3"/>
      <c r="I49" s="247"/>
      <c r="K49" s="364"/>
      <c r="L49" s="3"/>
      <c r="M49" s="33"/>
      <c r="N49" s="247"/>
      <c r="O49" s="3"/>
      <c r="P49" s="116"/>
      <c r="Q49" s="116"/>
      <c r="R49" s="117"/>
      <c r="S49" s="117"/>
      <c r="T49" s="116"/>
      <c r="U49" s="75"/>
      <c r="V49" s="113">
        <f t="shared" ref="V49:AA49" si="44">SUM(V50,V51)</f>
        <v>0</v>
      </c>
      <c r="W49" s="113">
        <f t="shared" si="44"/>
        <v>0</v>
      </c>
      <c r="X49" s="113">
        <f t="shared" si="44"/>
        <v>0</v>
      </c>
      <c r="Y49" s="113">
        <f t="shared" si="44"/>
        <v>0</v>
      </c>
      <c r="Z49" s="113">
        <f t="shared" si="44"/>
        <v>0</v>
      </c>
      <c r="AA49" s="113">
        <f t="shared" si="44"/>
        <v>0</v>
      </c>
      <c r="AB49" s="75"/>
    </row>
    <row r="50" spans="1:28" ht="25.5">
      <c r="A50" s="3"/>
      <c r="B50" s="3"/>
      <c r="C50" s="12" t="s">
        <v>103</v>
      </c>
      <c r="D50" s="110"/>
      <c r="E50" s="6" t="s">
        <v>75</v>
      </c>
      <c r="F50" s="3" t="s">
        <v>76</v>
      </c>
      <c r="G50" s="75">
        <v>100</v>
      </c>
      <c r="H50" s="3" t="s">
        <v>76</v>
      </c>
      <c r="I50" s="247">
        <f>'Step2-Energy'!C26</f>
        <v>0</v>
      </c>
      <c r="J50" t="s">
        <v>73</v>
      </c>
      <c r="K50" s="236">
        <f>G50*I50/1000000000</f>
        <v>0</v>
      </c>
      <c r="L50" s="3" t="s">
        <v>36</v>
      </c>
      <c r="M50" s="33" t="s">
        <v>486</v>
      </c>
      <c r="N50" s="770">
        <f>$K$50*IF('Step2-Energy'!$E$26=yes,'Step2-Energy'!$G$28/100,'Default Controls'!$C$18/100)</f>
        <v>0</v>
      </c>
      <c r="O50" s="3"/>
      <c r="P50" s="116">
        <v>0.2</v>
      </c>
      <c r="Q50" s="116">
        <v>0.2</v>
      </c>
      <c r="R50" s="116"/>
      <c r="S50" s="116">
        <v>0.5</v>
      </c>
      <c r="T50" s="116"/>
      <c r="U50" s="116">
        <v>0.1</v>
      </c>
      <c r="V50" s="115">
        <f>$N50*P50</f>
        <v>0</v>
      </c>
      <c r="W50" s="115">
        <f t="shared" ref="V50:AA53" si="45">$N50*Q50</f>
        <v>0</v>
      </c>
      <c r="X50" s="115">
        <f t="shared" si="45"/>
        <v>0</v>
      </c>
      <c r="Y50" s="115">
        <f t="shared" si="45"/>
        <v>0</v>
      </c>
      <c r="Z50" s="115">
        <f t="shared" si="45"/>
        <v>0</v>
      </c>
      <c r="AA50" s="115">
        <f t="shared" si="45"/>
        <v>0</v>
      </c>
      <c r="AB50" s="75"/>
    </row>
    <row r="51" spans="1:28" ht="25.5">
      <c r="A51" s="3"/>
      <c r="B51" s="3"/>
      <c r="C51" s="12"/>
      <c r="D51" s="110"/>
      <c r="E51" s="6"/>
      <c r="F51" s="3"/>
      <c r="G51" s="75"/>
      <c r="H51" s="3"/>
      <c r="I51" s="247"/>
      <c r="K51" s="236"/>
      <c r="L51" s="3"/>
      <c r="M51" s="33" t="s">
        <v>485</v>
      </c>
      <c r="N51" s="770">
        <f>$K$50*IF('Step2-Energy'!$E$26=yes,'Step2-Energy'!$H$28/100,'Default Controls'!$D$18/100)</f>
        <v>0</v>
      </c>
      <c r="O51" s="3"/>
      <c r="P51" s="116">
        <v>0.1</v>
      </c>
      <c r="Q51" s="116">
        <v>0.2</v>
      </c>
      <c r="R51" s="116"/>
      <c r="S51" s="116">
        <v>0.1</v>
      </c>
      <c r="T51" s="116"/>
      <c r="U51" s="116">
        <v>0.6</v>
      </c>
      <c r="V51" s="115">
        <f t="shared" ref="V51:AA51" si="46">$N51*P51</f>
        <v>0</v>
      </c>
      <c r="W51" s="115">
        <f t="shared" si="46"/>
        <v>0</v>
      </c>
      <c r="X51" s="115">
        <f t="shared" si="46"/>
        <v>0</v>
      </c>
      <c r="Y51" s="115">
        <f t="shared" si="46"/>
        <v>0</v>
      </c>
      <c r="Z51" s="115">
        <f t="shared" si="46"/>
        <v>0</v>
      </c>
      <c r="AA51" s="115">
        <f t="shared" si="46"/>
        <v>0</v>
      </c>
      <c r="AB51" s="75"/>
    </row>
    <row r="52" spans="1:28" ht="26">
      <c r="A52" s="3"/>
      <c r="B52" s="3"/>
      <c r="C52" s="12" t="s">
        <v>104</v>
      </c>
      <c r="D52" s="110"/>
      <c r="E52" s="6" t="s">
        <v>75</v>
      </c>
      <c r="F52" s="3" t="s">
        <v>76</v>
      </c>
      <c r="G52" s="75">
        <v>100</v>
      </c>
      <c r="H52" s="3" t="s">
        <v>76</v>
      </c>
      <c r="I52" s="247">
        <f>'Step2-Energy'!C18</f>
        <v>0</v>
      </c>
      <c r="J52" t="s">
        <v>73</v>
      </c>
      <c r="K52" s="236">
        <f>G52/1000000000*I52</f>
        <v>0</v>
      </c>
      <c r="L52" s="3" t="s">
        <v>36</v>
      </c>
      <c r="M52" s="34"/>
      <c r="N52" s="247">
        <f>K52</f>
        <v>0</v>
      </c>
      <c r="O52" s="3"/>
      <c r="P52" s="116">
        <v>1</v>
      </c>
      <c r="Q52" s="116"/>
      <c r="R52" s="117"/>
      <c r="S52" s="117"/>
      <c r="T52" s="116"/>
      <c r="U52" s="75"/>
      <c r="V52" s="115">
        <f t="shared" si="45"/>
        <v>0</v>
      </c>
      <c r="W52" s="115">
        <f t="shared" si="45"/>
        <v>0</v>
      </c>
      <c r="X52" s="115">
        <f t="shared" si="45"/>
        <v>0</v>
      </c>
      <c r="Y52" s="115">
        <f t="shared" si="45"/>
        <v>0</v>
      </c>
      <c r="Z52" s="115">
        <f t="shared" si="45"/>
        <v>0</v>
      </c>
      <c r="AA52" s="115">
        <f t="shared" si="45"/>
        <v>0</v>
      </c>
      <c r="AB52" s="75"/>
    </row>
    <row r="53" spans="1:28" ht="26">
      <c r="A53" s="3"/>
      <c r="B53" s="3"/>
      <c r="C53" s="12" t="s">
        <v>105</v>
      </c>
      <c r="D53" s="110"/>
      <c r="E53" s="6" t="s">
        <v>74</v>
      </c>
      <c r="F53" s="3" t="s">
        <v>76</v>
      </c>
      <c r="G53" s="75">
        <v>0.22</v>
      </c>
      <c r="H53" s="3" t="s">
        <v>76</v>
      </c>
      <c r="I53" s="247">
        <f>'Step2-Energy'!C19</f>
        <v>0</v>
      </c>
      <c r="J53" t="s">
        <v>73</v>
      </c>
      <c r="K53" s="236">
        <f>G53/1000000000*I53</f>
        <v>0</v>
      </c>
      <c r="L53" s="3" t="s">
        <v>36</v>
      </c>
      <c r="M53" s="15"/>
      <c r="N53" s="451">
        <f>K53</f>
        <v>0</v>
      </c>
      <c r="O53" s="3"/>
      <c r="P53" s="116">
        <v>1</v>
      </c>
      <c r="Q53" s="116"/>
      <c r="R53" s="117"/>
      <c r="S53" s="117"/>
      <c r="T53" s="116"/>
      <c r="U53" s="75"/>
      <c r="V53" s="115">
        <f t="shared" si="45"/>
        <v>0</v>
      </c>
      <c r="W53" s="115">
        <f t="shared" si="45"/>
        <v>0</v>
      </c>
      <c r="X53" s="115">
        <f t="shared" si="45"/>
        <v>0</v>
      </c>
      <c r="Y53" s="115">
        <f t="shared" si="45"/>
        <v>0</v>
      </c>
      <c r="Z53" s="115">
        <f t="shared" si="45"/>
        <v>0</v>
      </c>
      <c r="AA53" s="115">
        <f t="shared" si="45"/>
        <v>0</v>
      </c>
      <c r="AB53" s="75"/>
    </row>
    <row r="54" spans="1:28" ht="13">
      <c r="A54" s="3"/>
      <c r="B54" s="3"/>
      <c r="C54" s="9"/>
      <c r="D54" s="75"/>
      <c r="E54" s="6"/>
      <c r="F54" s="3"/>
      <c r="G54" s="75"/>
      <c r="H54" s="3"/>
      <c r="I54" s="247"/>
      <c r="K54" s="237"/>
      <c r="L54" s="3"/>
      <c r="M54" s="15"/>
      <c r="N54" s="247"/>
      <c r="O54" s="3"/>
      <c r="P54" s="116"/>
      <c r="Q54" s="116"/>
      <c r="R54" s="117"/>
      <c r="S54" s="117"/>
      <c r="T54" s="116"/>
      <c r="U54" s="75"/>
      <c r="V54" s="115"/>
      <c r="W54" s="115"/>
      <c r="X54" s="115"/>
      <c r="Y54" s="115"/>
      <c r="Z54" s="115"/>
      <c r="AA54" s="115"/>
      <c r="AB54" s="75"/>
    </row>
    <row r="55" spans="1:28" s="55" customFormat="1" ht="13">
      <c r="A55" s="103"/>
      <c r="B55" s="103"/>
      <c r="C55" s="104"/>
      <c r="D55" s="75"/>
      <c r="E55" s="105"/>
      <c r="F55" s="103"/>
      <c r="G55" s="75"/>
      <c r="H55" s="103"/>
      <c r="I55" s="247"/>
      <c r="K55" s="237"/>
      <c r="L55" s="103"/>
      <c r="M55" s="106"/>
      <c r="N55" s="247"/>
      <c r="O55" s="103"/>
      <c r="P55" s="116"/>
      <c r="Q55" s="116"/>
      <c r="R55" s="117"/>
      <c r="S55" s="117"/>
      <c r="T55" s="116"/>
      <c r="U55" s="75"/>
      <c r="V55" s="115"/>
      <c r="W55" s="115"/>
      <c r="X55" s="115"/>
      <c r="Y55" s="115"/>
      <c r="Z55" s="115"/>
      <c r="AA55" s="115"/>
      <c r="AB55" s="75"/>
    </row>
    <row r="56" spans="1:28" ht="26">
      <c r="A56" s="3"/>
      <c r="B56" s="3" t="s">
        <v>77</v>
      </c>
      <c r="C56" s="12" t="s">
        <v>78</v>
      </c>
      <c r="D56" s="110"/>
      <c r="E56" s="6"/>
      <c r="F56" s="3"/>
      <c r="G56" s="75"/>
      <c r="H56" s="3"/>
      <c r="I56" s="247"/>
      <c r="K56" s="235"/>
      <c r="L56" s="3"/>
      <c r="M56" s="33"/>
      <c r="N56" s="247"/>
      <c r="O56" s="3"/>
      <c r="P56" s="116"/>
      <c r="Q56" s="116"/>
      <c r="R56" s="117"/>
      <c r="S56" s="117"/>
      <c r="T56" s="116"/>
      <c r="U56" s="75"/>
      <c r="V56" s="113">
        <f t="shared" ref="V56:AA56" si="47">SUM(V57:V58)</f>
        <v>0</v>
      </c>
      <c r="W56" s="113">
        <f t="shared" si="47"/>
        <v>0</v>
      </c>
      <c r="X56" s="113">
        <f t="shared" si="47"/>
        <v>0</v>
      </c>
      <c r="Y56" s="113">
        <f t="shared" si="47"/>
        <v>0</v>
      </c>
      <c r="Z56" s="113">
        <f t="shared" si="47"/>
        <v>0</v>
      </c>
      <c r="AA56" s="113">
        <f t="shared" si="47"/>
        <v>0</v>
      </c>
      <c r="AB56" s="75"/>
    </row>
    <row r="57" spans="1:28" ht="13">
      <c r="A57" s="3"/>
      <c r="B57" s="3"/>
      <c r="C57" s="12" t="s">
        <v>85</v>
      </c>
      <c r="D57" s="110"/>
      <c r="E57" s="11" t="s">
        <v>84</v>
      </c>
      <c r="F57" s="3" t="s">
        <v>344</v>
      </c>
      <c r="G57" s="75">
        <v>117</v>
      </c>
      <c r="H57" s="3" t="s">
        <v>344</v>
      </c>
      <c r="I57" s="247"/>
      <c r="J57" t="s">
        <v>323</v>
      </c>
      <c r="K57" s="237">
        <f>G57/1000000*I57</f>
        <v>0</v>
      </c>
      <c r="L57" s="3" t="s">
        <v>36</v>
      </c>
      <c r="M57" s="33"/>
      <c r="N57" s="247"/>
      <c r="O57" s="3"/>
      <c r="P57" s="116">
        <v>1</v>
      </c>
      <c r="Q57" s="116"/>
      <c r="R57" s="117"/>
      <c r="S57" s="117"/>
      <c r="T57" s="116"/>
      <c r="U57" s="75"/>
      <c r="V57" s="115">
        <f t="shared" ref="V57:AA58" si="48">$N57*P57</f>
        <v>0</v>
      </c>
      <c r="W57" s="115">
        <f t="shared" si="48"/>
        <v>0</v>
      </c>
      <c r="X57" s="115">
        <f t="shared" si="48"/>
        <v>0</v>
      </c>
      <c r="Y57" s="115">
        <f t="shared" si="48"/>
        <v>0</v>
      </c>
      <c r="Z57" s="115">
        <f t="shared" si="48"/>
        <v>0</v>
      </c>
      <c r="AA57" s="115">
        <f t="shared" si="48"/>
        <v>0</v>
      </c>
      <c r="AB57" s="75"/>
    </row>
    <row r="58" spans="1:28" ht="13">
      <c r="C58" s="26" t="s">
        <v>79</v>
      </c>
      <c r="D58" s="110"/>
      <c r="F58" s="3"/>
      <c r="G58" s="75" t="s">
        <v>43</v>
      </c>
      <c r="H58" t="s">
        <v>43</v>
      </c>
      <c r="I58" s="246"/>
      <c r="J58" t="s">
        <v>324</v>
      </c>
      <c r="K58" s="233" t="s">
        <v>43</v>
      </c>
      <c r="L58" s="3" t="s">
        <v>36</v>
      </c>
      <c r="M58" s="33"/>
      <c r="N58" s="247"/>
      <c r="O58" s="3"/>
      <c r="P58" s="116">
        <v>1</v>
      </c>
      <c r="Q58" s="116"/>
      <c r="R58" s="117"/>
      <c r="S58" s="117"/>
      <c r="T58" s="116"/>
      <c r="U58" s="75"/>
      <c r="V58" s="115">
        <f t="shared" si="48"/>
        <v>0</v>
      </c>
      <c r="W58" s="115">
        <f t="shared" si="48"/>
        <v>0</v>
      </c>
      <c r="X58" s="115">
        <f t="shared" si="48"/>
        <v>0</v>
      </c>
      <c r="Y58" s="115">
        <f t="shared" si="48"/>
        <v>0</v>
      </c>
      <c r="Z58" s="115">
        <f t="shared" si="48"/>
        <v>0</v>
      </c>
      <c r="AA58" s="115">
        <f t="shared" si="48"/>
        <v>0</v>
      </c>
      <c r="AB58" s="75"/>
    </row>
    <row r="59" spans="1:28" ht="26">
      <c r="C59" s="26" t="s">
        <v>86</v>
      </c>
      <c r="D59" s="110"/>
      <c r="G59" s="75"/>
      <c r="I59" s="246"/>
      <c r="K59" s="233"/>
      <c r="M59" s="32"/>
      <c r="N59" s="247"/>
      <c r="O59" s="3"/>
      <c r="P59" s="75">
        <v>1</v>
      </c>
      <c r="Q59" s="75"/>
      <c r="R59" s="75"/>
      <c r="S59" s="75"/>
      <c r="T59" s="75"/>
      <c r="U59" s="75"/>
      <c r="V59" s="58"/>
      <c r="W59" s="58"/>
      <c r="X59" s="58"/>
      <c r="Y59" s="58"/>
      <c r="Z59" s="58"/>
      <c r="AA59" s="58"/>
      <c r="AB59" s="75"/>
    </row>
    <row r="60" spans="1:28" ht="13">
      <c r="C60" s="334"/>
      <c r="D60" s="75"/>
      <c r="G60" s="75"/>
      <c r="I60" s="246"/>
      <c r="K60" s="233"/>
      <c r="M60" s="32"/>
      <c r="N60" s="247"/>
      <c r="O60" s="3"/>
      <c r="P60" s="75"/>
      <c r="Q60" s="75"/>
      <c r="R60" s="75"/>
      <c r="S60" s="75"/>
      <c r="T60" s="75"/>
      <c r="U60" s="75"/>
      <c r="V60" s="58"/>
      <c r="W60" s="58"/>
      <c r="X60" s="58"/>
      <c r="Y60" s="58"/>
      <c r="Z60" s="58"/>
      <c r="AA60" s="58"/>
      <c r="AB60" s="75"/>
    </row>
    <row r="61" spans="1:28" s="55" customFormat="1" ht="13">
      <c r="C61" s="104"/>
      <c r="D61" s="75"/>
      <c r="G61" s="75"/>
      <c r="I61" s="246"/>
      <c r="K61" s="233"/>
      <c r="M61" s="107"/>
      <c r="N61" s="247"/>
      <c r="O61" s="103"/>
      <c r="P61" s="75"/>
      <c r="Q61" s="75"/>
      <c r="R61" s="75"/>
      <c r="S61" s="75"/>
      <c r="T61" s="75"/>
      <c r="U61" s="75"/>
      <c r="V61" s="58"/>
      <c r="W61" s="58"/>
      <c r="X61" s="58"/>
      <c r="Y61" s="58"/>
      <c r="Z61" s="58"/>
      <c r="AA61" s="58"/>
      <c r="AB61" s="75"/>
    </row>
    <row r="62" spans="1:28" ht="26">
      <c r="B62" t="s">
        <v>80</v>
      </c>
      <c r="C62" s="12" t="s">
        <v>81</v>
      </c>
      <c r="D62" s="110"/>
      <c r="E62" s="3" t="s">
        <v>484</v>
      </c>
      <c r="F62" s="3" t="s">
        <v>483</v>
      </c>
      <c r="G62" s="283">
        <v>0.03</v>
      </c>
      <c r="H62" s="3" t="s">
        <v>483</v>
      </c>
      <c r="I62" s="247">
        <f>'Step2-Energy'!C20</f>
        <v>0</v>
      </c>
      <c r="J62" s="3" t="s">
        <v>434</v>
      </c>
      <c r="K62" s="233">
        <f>I62*G62/1000</f>
        <v>0</v>
      </c>
      <c r="L62" s="3" t="s">
        <v>36</v>
      </c>
      <c r="M62" s="32"/>
      <c r="N62" s="247">
        <f>K62</f>
        <v>0</v>
      </c>
      <c r="O62" s="3"/>
      <c r="P62" s="75">
        <v>1</v>
      </c>
      <c r="Q62" s="75"/>
      <c r="R62" s="75"/>
      <c r="S62" s="75"/>
      <c r="T62" s="75"/>
      <c r="U62" s="75"/>
      <c r="V62" s="113">
        <f t="shared" ref="V62:AA62" si="49">$N62*P62</f>
        <v>0</v>
      </c>
      <c r="W62" s="113">
        <f t="shared" si="49"/>
        <v>0</v>
      </c>
      <c r="X62" s="113">
        <f t="shared" si="49"/>
        <v>0</v>
      </c>
      <c r="Y62" s="113">
        <f t="shared" si="49"/>
        <v>0</v>
      </c>
      <c r="Z62" s="113">
        <f t="shared" si="49"/>
        <v>0</v>
      </c>
      <c r="AA62" s="113">
        <f t="shared" si="49"/>
        <v>0</v>
      </c>
      <c r="AB62" s="75"/>
    </row>
    <row r="63" spans="1:28" ht="13">
      <c r="C63" s="334" t="s">
        <v>428</v>
      </c>
      <c r="D63" s="75"/>
      <c r="E63" s="363" t="s">
        <v>524</v>
      </c>
      <c r="F63" s="3" t="s">
        <v>483</v>
      </c>
      <c r="G63" s="283">
        <v>0.12</v>
      </c>
      <c r="H63" s="3" t="s">
        <v>483</v>
      </c>
      <c r="I63" s="247">
        <f>'Step2-Energy'!C21</f>
        <v>0</v>
      </c>
      <c r="J63" t="s">
        <v>435</v>
      </c>
      <c r="K63" s="233">
        <f>I63*G63/1000</f>
        <v>0</v>
      </c>
      <c r="L63" s="3" t="s">
        <v>36</v>
      </c>
      <c r="M63" s="32"/>
      <c r="N63" s="247">
        <f>K63</f>
        <v>0</v>
      </c>
      <c r="O63" s="3"/>
      <c r="P63" s="75">
        <v>1</v>
      </c>
      <c r="Q63" s="75"/>
      <c r="R63" s="75"/>
      <c r="S63" s="75"/>
      <c r="T63" s="75"/>
      <c r="U63" s="75"/>
      <c r="V63" s="113">
        <f t="shared" ref="V63:AA63" si="50">$N63*P63</f>
        <v>0</v>
      </c>
      <c r="W63" s="113">
        <f t="shared" si="50"/>
        <v>0</v>
      </c>
      <c r="X63" s="113">
        <f t="shared" si="50"/>
        <v>0</v>
      </c>
      <c r="Y63" s="113">
        <f t="shared" si="50"/>
        <v>0</v>
      </c>
      <c r="Z63" s="113">
        <f t="shared" si="50"/>
        <v>0</v>
      </c>
      <c r="AA63" s="113">
        <f t="shared" si="50"/>
        <v>0</v>
      </c>
      <c r="AB63" s="75"/>
    </row>
    <row r="64" spans="1:28" s="55" customFormat="1" ht="13">
      <c r="C64" s="104"/>
      <c r="D64" s="75"/>
      <c r="G64" s="75"/>
      <c r="I64" s="246"/>
      <c r="K64" s="233"/>
      <c r="M64" s="107"/>
      <c r="N64" s="247"/>
      <c r="O64" s="108"/>
      <c r="P64" s="75"/>
      <c r="Q64" s="75"/>
      <c r="R64" s="75"/>
      <c r="S64" s="75"/>
      <c r="T64" s="75"/>
      <c r="U64" s="75"/>
      <c r="V64" s="190"/>
      <c r="W64" s="190"/>
      <c r="X64" s="190"/>
      <c r="Y64" s="190"/>
      <c r="Z64" s="190"/>
      <c r="AA64" s="190"/>
      <c r="AB64" s="75"/>
    </row>
    <row r="65" spans="2:28" ht="26">
      <c r="B65" t="s">
        <v>82</v>
      </c>
      <c r="C65" s="26" t="s">
        <v>83</v>
      </c>
      <c r="D65" s="110"/>
      <c r="E65" t="s">
        <v>43</v>
      </c>
      <c r="F65" t="s">
        <v>43</v>
      </c>
      <c r="G65" s="75" t="s">
        <v>43</v>
      </c>
      <c r="H65" t="s">
        <v>43</v>
      </c>
      <c r="I65" s="246" t="s">
        <v>43</v>
      </c>
      <c r="J65" t="s">
        <v>43</v>
      </c>
      <c r="K65" s="233" t="s">
        <v>43</v>
      </c>
      <c r="L65" s="3" t="s">
        <v>36</v>
      </c>
      <c r="M65" s="32"/>
      <c r="N65" s="247"/>
      <c r="O65" s="3"/>
      <c r="P65" s="75">
        <v>1</v>
      </c>
      <c r="Q65" s="75"/>
      <c r="R65" s="75"/>
      <c r="S65" s="75"/>
      <c r="T65" s="75"/>
      <c r="U65" s="75"/>
      <c r="V65" s="113">
        <f t="shared" ref="V65:AA65" si="51">$N65*P65</f>
        <v>0</v>
      </c>
      <c r="W65" s="113">
        <f t="shared" si="51"/>
        <v>0</v>
      </c>
      <c r="X65" s="113">
        <f t="shared" si="51"/>
        <v>0</v>
      </c>
      <c r="Y65" s="113">
        <f t="shared" si="51"/>
        <v>0</v>
      </c>
      <c r="Z65" s="113">
        <f t="shared" si="51"/>
        <v>0</v>
      </c>
      <c r="AA65" s="113">
        <f t="shared" si="51"/>
        <v>0</v>
      </c>
      <c r="AB65" s="75"/>
    </row>
    <row r="66" spans="2:28" s="55" customFormat="1" ht="13">
      <c r="C66" s="104"/>
      <c r="D66" s="75"/>
      <c r="G66" s="75"/>
      <c r="I66" s="246"/>
      <c r="K66" s="234"/>
      <c r="M66" s="109"/>
      <c r="N66" s="247"/>
      <c r="O66" s="103"/>
      <c r="P66" s="75"/>
      <c r="Q66" s="75"/>
      <c r="R66" s="75"/>
      <c r="S66" s="75"/>
      <c r="T66" s="75"/>
      <c r="U66" s="75"/>
      <c r="V66" s="58"/>
      <c r="W66" s="58"/>
      <c r="X66" s="58"/>
      <c r="Y66" s="58"/>
      <c r="Z66" s="58"/>
      <c r="AA66" s="58"/>
      <c r="AB66" s="75"/>
    </row>
    <row r="67" spans="2:28" s="3" customFormat="1">
      <c r="I67" s="238"/>
      <c r="K67" s="238"/>
      <c r="M67" s="63"/>
      <c r="N67" s="238"/>
    </row>
    <row r="68" spans="2:28" s="3" customFormat="1" ht="13">
      <c r="I68" s="238"/>
      <c r="K68" s="238"/>
      <c r="M68" s="64"/>
      <c r="N68" s="238"/>
    </row>
    <row r="69" spans="2:28" s="3" customFormat="1" ht="13">
      <c r="C69" s="7" t="s">
        <v>56</v>
      </c>
      <c r="D69" s="3" t="s">
        <v>354</v>
      </c>
      <c r="I69" s="238"/>
      <c r="K69" s="238"/>
      <c r="M69" s="64"/>
      <c r="N69" s="248"/>
    </row>
    <row r="70" spans="2:28" s="3" customFormat="1" ht="13">
      <c r="C70" s="7"/>
      <c r="D70" s="36" t="s">
        <v>343</v>
      </c>
      <c r="I70" s="238"/>
      <c r="K70" s="238"/>
      <c r="M70" s="63"/>
      <c r="N70" s="238"/>
    </row>
    <row r="88" spans="10:10">
      <c r="J88">
        <f>16/127</f>
        <v>0.12598425196850394</v>
      </c>
    </row>
  </sheetData>
  <sheetProtection algorithmName="SHA-512" hashValue="b37/AYhl1n0cSVLiBOMy9QdiyxIV2XcAnV+kWhZY9F4REyIYKRkL/d6fZnVpTWgQqQsMA/luFaG+PY1zHg9Jeg==" saltValue="V55OPl/AhQ7edOCqBdc3gg==" spinCount="100000" sheet="1"/>
  <customSheetViews>
    <customSheetView guid="{EB7FE26D-7077-48F2-8515-D783BE87A220}" scale="70" state="hidden" topLeftCell="A37">
      <selection activeCell="I58" sqref="I58"/>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Z130"/>
  <sheetViews>
    <sheetView topLeftCell="A36" zoomScaleNormal="70" workbookViewId="0">
      <selection activeCell="B36" sqref="B36"/>
    </sheetView>
  </sheetViews>
  <sheetFormatPr defaultColWidth="9.1796875" defaultRowHeight="12.5"/>
  <cols>
    <col min="1" max="1" width="34.1796875" style="734" customWidth="1"/>
    <col min="2" max="2" width="56" style="733" customWidth="1"/>
    <col min="3" max="3" width="27.453125" style="732" customWidth="1"/>
    <col min="4" max="4" width="28" style="732" customWidth="1"/>
    <col min="5" max="6" width="27.453125" style="732" customWidth="1"/>
    <col min="7" max="7" width="27.81640625" style="732" customWidth="1"/>
    <col min="8" max="8" width="27.6328125" style="732" customWidth="1"/>
    <col min="9" max="9" width="9.1796875" style="732"/>
    <col min="10" max="78" width="9.1796875" style="731"/>
    <col min="79" max="16384" width="9.1796875" style="730"/>
  </cols>
  <sheetData>
    <row r="1" spans="1:9" s="731" customFormat="1" ht="14.5">
      <c r="A1" s="744" t="s">
        <v>1130</v>
      </c>
      <c r="C1" s="735"/>
      <c r="D1" s="735"/>
      <c r="E1" s="735"/>
      <c r="F1" s="735"/>
      <c r="G1" s="735"/>
      <c r="H1" s="735"/>
      <c r="I1" s="735"/>
    </row>
    <row r="2" spans="1:9" s="731" customFormat="1" ht="14.5">
      <c r="A2" s="744"/>
      <c r="C2" s="735"/>
      <c r="D2" s="735"/>
      <c r="E2" s="735"/>
      <c r="F2" s="735"/>
      <c r="G2" s="735"/>
      <c r="H2" s="735"/>
      <c r="I2" s="735"/>
    </row>
    <row r="3" spans="1:9" s="731" customFormat="1" ht="14.5">
      <c r="A3" s="744"/>
      <c r="C3" s="735"/>
      <c r="D3" s="735"/>
      <c r="E3" s="735"/>
      <c r="F3" s="735"/>
      <c r="G3" s="735"/>
      <c r="H3" s="735"/>
      <c r="I3" s="735"/>
    </row>
    <row r="4" spans="1:9" s="731" customFormat="1">
      <c r="A4" s="735"/>
      <c r="C4" s="735"/>
      <c r="D4" s="735"/>
      <c r="E4" s="735"/>
      <c r="F4" s="735"/>
      <c r="G4" s="735"/>
      <c r="H4" s="735"/>
      <c r="I4" s="735" t="s">
        <v>357</v>
      </c>
    </row>
    <row r="5" spans="1:9">
      <c r="A5" s="736"/>
      <c r="B5" s="742" t="s">
        <v>1129</v>
      </c>
      <c r="C5" s="740" t="str">
        <f>'Step2-Energy'!G6</f>
        <v>0: No filters used</v>
      </c>
      <c r="D5" s="740" t="str">
        <f>'Step2-Energy'!H6</f>
        <v>1: Simple particle filters</v>
      </c>
      <c r="E5" s="740" t="str">
        <f>'Step2-Energy'!I6</f>
        <v>2: Fabric filters</v>
      </c>
      <c r="F5" s="740" t="str">
        <f>'Step2-Energy'!J6</f>
        <v>3: Efficient APC</v>
      </c>
      <c r="G5" s="740" t="str">
        <f>'Step2-Energy'!K6</f>
        <v>4: Very efficient APC</v>
      </c>
      <c r="H5" s="740" t="str">
        <f>'Step2-Energy'!L6</f>
        <v>4: Very efficient APC</v>
      </c>
      <c r="I5" s="743" t="s">
        <v>45</v>
      </c>
    </row>
    <row r="6" spans="1:9" ht="13">
      <c r="A6" s="736" t="str">
        <f>'Step2-Energy'!A5</f>
        <v>Coal combustion in large power plants</v>
      </c>
      <c r="B6" s="739" t="s">
        <v>1038</v>
      </c>
      <c r="C6" s="737">
        <v>0</v>
      </c>
      <c r="D6" s="737">
        <v>100</v>
      </c>
      <c r="E6" s="737">
        <v>0</v>
      </c>
      <c r="F6" s="737">
        <v>0</v>
      </c>
      <c r="G6" s="737">
        <v>0</v>
      </c>
      <c r="H6" s="737">
        <v>0</v>
      </c>
      <c r="I6" s="736"/>
    </row>
    <row r="7" spans="1:9" s="731" customFormat="1">
      <c r="B7" s="745"/>
      <c r="C7" s="746"/>
      <c r="D7" s="746"/>
      <c r="E7" s="746"/>
      <c r="F7" s="746"/>
      <c r="G7" s="746"/>
      <c r="H7" s="746"/>
    </row>
    <row r="8" spans="1:9" ht="25">
      <c r="A8" s="736" t="str">
        <f>'Step2-Energy'!A8</f>
        <v>Coal combustion in coal fired industrial boilers</v>
      </c>
      <c r="B8" s="742" t="s">
        <v>1129</v>
      </c>
      <c r="C8" s="740" t="str">
        <f>'Step2-Energy'!G9</f>
        <v>0: No filters used</v>
      </c>
      <c r="D8" s="740" t="str">
        <f>'Step2-Energy'!H9</f>
        <v>1: Simple particle filters</v>
      </c>
      <c r="E8" s="740" t="str">
        <f>'Step2-Energy'!I9</f>
        <v>2: Fabric filters</v>
      </c>
      <c r="F8" s="740" t="str">
        <f>'Step2-Energy'!J9</f>
        <v>3: Efficient APC</v>
      </c>
      <c r="G8" s="740" t="str">
        <f>'Step2-Energy'!K9</f>
        <v>4: Very efficient APC</v>
      </c>
      <c r="H8" s="740" t="str">
        <f>'Step2-Energy'!L9</f>
        <v>5: Mercury specific</v>
      </c>
      <c r="I8" s="736" t="s">
        <v>990</v>
      </c>
    </row>
    <row r="9" spans="1:9" ht="13">
      <c r="A9" s="736"/>
      <c r="B9" s="742" t="s">
        <v>1038</v>
      </c>
      <c r="C9" s="737">
        <v>100</v>
      </c>
      <c r="D9" s="737">
        <v>0</v>
      </c>
      <c r="E9" s="737">
        <v>0</v>
      </c>
      <c r="F9" s="737">
        <v>0</v>
      </c>
      <c r="G9" s="737">
        <v>0</v>
      </c>
      <c r="H9" s="737">
        <v>0</v>
      </c>
      <c r="I9" s="736"/>
    </row>
    <row r="10" spans="1:9" s="731" customFormat="1">
      <c r="B10" s="745"/>
      <c r="C10" s="746"/>
      <c r="D10" s="746"/>
      <c r="E10" s="746"/>
      <c r="F10" s="746"/>
      <c r="G10" s="746"/>
      <c r="H10" s="746"/>
    </row>
    <row r="11" spans="1:9" ht="25">
      <c r="A11" s="736" t="str">
        <f>'Step2-Energy'!A12</f>
        <v>Combustion/use of petroleum coke and heavy oil</v>
      </c>
      <c r="B11" s="742" t="s">
        <v>1129</v>
      </c>
      <c r="C11" s="740" t="str">
        <f>'Step2-Energy'!G13</f>
        <v>No filters used</v>
      </c>
      <c r="D11" s="740" t="str">
        <f>'Step2-Energy'!H13</f>
        <v>ESP or scrubber</v>
      </c>
      <c r="E11" s="740" t="str">
        <f>'Step2-Energy'!I13</f>
        <v>cESP and FGD</v>
      </c>
      <c r="F11" s="736"/>
      <c r="G11" s="736"/>
      <c r="H11" s="736"/>
      <c r="I11" s="736" t="s">
        <v>65</v>
      </c>
    </row>
    <row r="12" spans="1:9" ht="13">
      <c r="A12" s="736"/>
      <c r="B12" s="742" t="s">
        <v>1038</v>
      </c>
      <c r="C12" s="737">
        <v>100</v>
      </c>
      <c r="D12" s="737">
        <v>0</v>
      </c>
      <c r="E12" s="737">
        <v>0</v>
      </c>
      <c r="F12" s="736"/>
      <c r="G12" s="736"/>
      <c r="H12" s="736"/>
      <c r="I12" s="736"/>
    </row>
    <row r="13" spans="1:9" s="731" customFormat="1">
      <c r="B13" s="745"/>
      <c r="C13" s="746"/>
      <c r="D13" s="746"/>
      <c r="E13" s="746"/>
      <c r="F13" s="746"/>
      <c r="G13" s="746"/>
      <c r="H13" s="746"/>
    </row>
    <row r="14" spans="1:9" ht="37.5">
      <c r="A14" s="736" t="str">
        <f>'Step2-Energy'!A15</f>
        <v>Combustion/use of diesel, gasoil, petroleum, kerosene, LPG and other light to medium distillates</v>
      </c>
      <c r="B14" s="742" t="s">
        <v>1129</v>
      </c>
      <c r="C14" s="740" t="str">
        <f>'Step2-Energy'!G16</f>
        <v>No filters used</v>
      </c>
      <c r="D14" s="740" t="str">
        <f>'Step2-Energy'!H16</f>
        <v>ESP or scrubber</v>
      </c>
      <c r="E14" s="740" t="str">
        <f>'Step2-Energy'!I16</f>
        <v>cESP and FGD</v>
      </c>
      <c r="F14" s="736"/>
      <c r="G14" s="736"/>
      <c r="H14" s="736"/>
      <c r="I14" s="736" t="s">
        <v>65</v>
      </c>
    </row>
    <row r="15" spans="1:9" ht="13">
      <c r="A15" s="736"/>
      <c r="B15" s="742" t="s">
        <v>1038</v>
      </c>
      <c r="C15" s="737">
        <v>100</v>
      </c>
      <c r="D15" s="737">
        <v>0</v>
      </c>
      <c r="E15" s="737">
        <v>0</v>
      </c>
      <c r="F15" s="736"/>
      <c r="G15" s="736"/>
      <c r="H15" s="736"/>
      <c r="I15" s="736"/>
    </row>
    <row r="16" spans="1:9" s="731" customFormat="1">
      <c r="B16" s="745"/>
      <c r="C16" s="746"/>
      <c r="D16" s="746"/>
      <c r="E16" s="746"/>
      <c r="F16" s="746"/>
      <c r="G16" s="746"/>
      <c r="H16" s="746"/>
    </row>
    <row r="17" spans="1:9" ht="26.25" customHeight="1">
      <c r="A17" s="736" t="str">
        <f>'Step2-Energy'!A26</f>
        <v>Extraction and processing of natural gas</v>
      </c>
      <c r="B17" s="742" t="s">
        <v>1129</v>
      </c>
      <c r="C17" s="740" t="str">
        <f>'Step2-Energy'!G27</f>
        <v>Without mercury removal</v>
      </c>
      <c r="D17" s="740" t="str">
        <f>'Step2-Energy'!H27</f>
        <v>With mercury removal</v>
      </c>
      <c r="E17" s="736"/>
      <c r="F17" s="736"/>
      <c r="G17" s="736"/>
      <c r="H17" s="736"/>
      <c r="I17" s="736" t="s">
        <v>71</v>
      </c>
    </row>
    <row r="18" spans="1:9" ht="13">
      <c r="A18" s="736"/>
      <c r="B18" s="742" t="s">
        <v>1038</v>
      </c>
      <c r="C18" s="737">
        <v>50</v>
      </c>
      <c r="D18" s="737">
        <v>50</v>
      </c>
      <c r="E18" s="736"/>
      <c r="F18" s="736"/>
      <c r="G18" s="736"/>
      <c r="H18" s="736"/>
      <c r="I18" s="736"/>
    </row>
    <row r="19" spans="1:9" s="731" customFormat="1">
      <c r="B19" s="745"/>
      <c r="C19" s="746"/>
      <c r="D19" s="746"/>
      <c r="E19" s="746"/>
      <c r="F19" s="746"/>
      <c r="G19" s="746"/>
      <c r="H19" s="746"/>
    </row>
    <row r="20" spans="1:9" ht="25">
      <c r="A20" s="736" t="str">
        <f>'Step3-Metals-RawMat'!A7</f>
        <v>Production of zinc from concentrates</v>
      </c>
      <c r="B20" s="742" t="s">
        <v>1129</v>
      </c>
      <c r="C20" s="740" t="str">
        <f>'Step3-Metals-RawMat'!G8</f>
        <v>No filters used or coarse, dry PM retention</v>
      </c>
      <c r="D20" s="740" t="str">
        <f>'Step3-Metals-RawMat'!H8</f>
        <v>Wet gas cleaning</v>
      </c>
      <c r="E20" s="740" t="str">
        <f>'Step3-Metals-RawMat'!I8</f>
        <v>Wet gas cleaning and acid plant</v>
      </c>
      <c r="F20" s="740" t="str">
        <f>'Step3-Metals-RawMat'!J8</f>
        <v>Wet gas cleaning, acid plant and Hg specific filter</v>
      </c>
      <c r="G20" s="736"/>
      <c r="H20" s="736"/>
      <c r="I20" s="736" t="s">
        <v>373</v>
      </c>
    </row>
    <row r="21" spans="1:9" ht="13">
      <c r="A21" s="736"/>
      <c r="B21" s="742" t="s">
        <v>1038</v>
      </c>
      <c r="C21" s="737">
        <v>0</v>
      </c>
      <c r="D21" s="737">
        <v>0</v>
      </c>
      <c r="E21" s="737">
        <v>100</v>
      </c>
      <c r="F21" s="737">
        <v>0</v>
      </c>
      <c r="G21" s="736"/>
      <c r="H21" s="736"/>
      <c r="I21" s="736"/>
    </row>
    <row r="22" spans="1:9" s="731" customFormat="1">
      <c r="B22" s="745"/>
      <c r="C22" s="746"/>
      <c r="D22" s="746"/>
      <c r="E22" s="746"/>
      <c r="F22" s="746"/>
      <c r="G22" s="746"/>
      <c r="H22" s="746"/>
    </row>
    <row r="23" spans="1:9" ht="25">
      <c r="A23" s="736" t="str">
        <f>'Step3-Metals-RawMat'!A10</f>
        <v>Production of copper from concentrates</v>
      </c>
      <c r="B23" s="742" t="s">
        <v>1129</v>
      </c>
      <c r="C23" s="740" t="str">
        <f>'Step3-Metals-RawMat'!G11</f>
        <v>No filters used or coarse, dry PM retention</v>
      </c>
      <c r="D23" s="740" t="str">
        <f>'Step3-Metals-RawMat'!H11</f>
        <v>Wet gas cleaning</v>
      </c>
      <c r="E23" s="740" t="str">
        <f>'Step3-Metals-RawMat'!I11</f>
        <v>Wet gas cleaning and acid plant</v>
      </c>
      <c r="F23" s="740" t="str">
        <f>'Step3-Metals-RawMat'!J11</f>
        <v>Wet gas cleaning, acid plant and Hg specific filter</v>
      </c>
      <c r="G23" s="736"/>
      <c r="H23" s="736"/>
      <c r="I23" s="736" t="s">
        <v>374</v>
      </c>
    </row>
    <row r="24" spans="1:9" ht="13">
      <c r="A24" s="736"/>
      <c r="B24" s="742" t="s">
        <v>1038</v>
      </c>
      <c r="C24" s="737">
        <v>0</v>
      </c>
      <c r="D24" s="737">
        <v>0</v>
      </c>
      <c r="E24" s="737">
        <v>100</v>
      </c>
      <c r="F24" s="737">
        <v>0</v>
      </c>
      <c r="G24" s="736"/>
      <c r="H24" s="736"/>
      <c r="I24" s="736"/>
    </row>
    <row r="25" spans="1:9" s="731" customFormat="1">
      <c r="B25" s="745"/>
      <c r="C25" s="746"/>
      <c r="D25" s="746"/>
      <c r="E25" s="746"/>
      <c r="F25" s="746"/>
      <c r="G25" s="746"/>
      <c r="H25" s="746"/>
    </row>
    <row r="26" spans="1:9" ht="25">
      <c r="A26" s="736" t="str">
        <f>'Step3-Metals-RawMat'!A13</f>
        <v>Production of lead from concentrates</v>
      </c>
      <c r="B26" s="742" t="s">
        <v>1129</v>
      </c>
      <c r="C26" s="740" t="str">
        <f>'Step3-Metals-RawMat'!G14</f>
        <v>No filters used or coarse, dry PM retention</v>
      </c>
      <c r="D26" s="740" t="str">
        <f>'Step3-Metals-RawMat'!H14</f>
        <v>Wet gas cleaning</v>
      </c>
      <c r="E26" s="740" t="str">
        <f>'Step3-Metals-RawMat'!I14</f>
        <v>Wet gas cleaning and acid plant</v>
      </c>
      <c r="F26" s="740" t="str">
        <f>'Step3-Metals-RawMat'!J14</f>
        <v>Wet gas cleaning, acid plant and Hg specific filter</v>
      </c>
      <c r="G26" s="736"/>
      <c r="H26" s="736"/>
      <c r="I26" s="736" t="s">
        <v>375</v>
      </c>
    </row>
    <row r="27" spans="1:9" ht="13">
      <c r="A27" s="736"/>
      <c r="B27" s="742" t="s">
        <v>1038</v>
      </c>
      <c r="C27" s="737">
        <v>0</v>
      </c>
      <c r="D27" s="737">
        <v>0</v>
      </c>
      <c r="E27" s="737">
        <v>100</v>
      </c>
      <c r="F27" s="737">
        <v>0</v>
      </c>
      <c r="G27" s="736"/>
      <c r="H27" s="736"/>
      <c r="I27" s="736"/>
    </row>
    <row r="28" spans="1:9" s="731" customFormat="1">
      <c r="B28" s="745"/>
      <c r="C28" s="746"/>
      <c r="D28" s="746"/>
      <c r="E28" s="746"/>
      <c r="F28" s="746"/>
      <c r="G28" s="746"/>
      <c r="H28" s="746"/>
    </row>
    <row r="29" spans="1:9" ht="25">
      <c r="A29" s="743" t="str">
        <f>'Step3-Metals-RawMat'!A19</f>
        <v>Gold extraction with mercury amalgamation - from whole ore</v>
      </c>
      <c r="B29" s="742" t="s">
        <v>1129</v>
      </c>
      <c r="C29" s="740" t="str">
        <f>'Step3-Metals-RawMat'!G20</f>
        <v xml:space="preserve">No retorts used </v>
      </c>
      <c r="D29" s="740" t="str">
        <f>'Step3-Metals-RawMat'!H20</f>
        <v>Use of retorts</v>
      </c>
      <c r="E29" s="736"/>
      <c r="F29" s="736"/>
      <c r="G29" s="736"/>
      <c r="H29" s="736"/>
      <c r="I29" s="736" t="s">
        <v>158</v>
      </c>
    </row>
    <row r="30" spans="1:9" ht="13">
      <c r="A30" s="736"/>
      <c r="B30" s="742" t="s">
        <v>1038</v>
      </c>
      <c r="C30" s="737">
        <v>100</v>
      </c>
      <c r="D30" s="737">
        <v>0</v>
      </c>
      <c r="E30" s="736"/>
      <c r="F30" s="736"/>
      <c r="G30" s="736"/>
      <c r="H30" s="736"/>
      <c r="I30" s="736"/>
    </row>
    <row r="31" spans="1:9" s="731" customFormat="1">
      <c r="B31" s="745"/>
      <c r="C31" s="746"/>
      <c r="D31" s="746"/>
      <c r="E31" s="746"/>
      <c r="F31" s="746"/>
      <c r="G31" s="746"/>
      <c r="H31" s="746"/>
    </row>
    <row r="32" spans="1:9" ht="25">
      <c r="A32" s="736" t="str">
        <f>'Step3-Metals-RawMat'!A22</f>
        <v>Gold extraction with mercury amalgamation - from concentrate</v>
      </c>
      <c r="B32" s="742" t="s">
        <v>1129</v>
      </c>
      <c r="C32" s="740" t="str">
        <f>'Step3-Metals-RawMat'!G23</f>
        <v xml:space="preserve">No retorts used </v>
      </c>
      <c r="D32" s="740" t="str">
        <f>'Step3-Metals-RawMat'!H23</f>
        <v>Use of retorts</v>
      </c>
      <c r="E32" s="736"/>
      <c r="F32" s="736"/>
      <c r="G32" s="736"/>
      <c r="H32" s="736"/>
      <c r="I32" s="736" t="s">
        <v>158</v>
      </c>
    </row>
    <row r="33" spans="1:9" ht="13">
      <c r="A33" s="736"/>
      <c r="B33" s="742" t="s">
        <v>1038</v>
      </c>
      <c r="C33" s="737">
        <v>100</v>
      </c>
      <c r="D33" s="737">
        <v>0</v>
      </c>
      <c r="E33" s="736"/>
      <c r="F33" s="736"/>
      <c r="G33" s="736"/>
      <c r="H33" s="736"/>
      <c r="I33" s="736"/>
    </row>
    <row r="34" spans="1:9" s="731" customFormat="1">
      <c r="B34" s="745"/>
      <c r="C34" s="746"/>
      <c r="D34" s="746"/>
      <c r="E34" s="746"/>
      <c r="F34" s="746"/>
      <c r="G34" s="746"/>
      <c r="H34" s="746"/>
    </row>
    <row r="35" spans="1:9" ht="37.5">
      <c r="A35" s="736" t="str">
        <f>'Step3-Metals-RawMat'!A26</f>
        <v>Cement clinker production</v>
      </c>
      <c r="B35" s="742" t="str">
        <f>'Step3-Metals-RawMat'!E27</f>
        <v>1) WITH WASTE USED as fuel (&gt;3% of energy); relevant pollution abatement options</v>
      </c>
      <c r="C35" s="740" t="str">
        <f>'Step3-Metals-RawMat'!G27</f>
        <v>No filter</v>
      </c>
      <c r="D35" s="740" t="str">
        <f>'Step3-Metals-RawMat'!H27</f>
        <v>Simple particle control (ESP / PS / FF)</v>
      </c>
      <c r="E35" s="740" t="str">
        <f>'Step3-Metals-RawMat'!I27</f>
        <v>Optimized particle control (FF+SNCR / FF+WS / ESP+FGD / optimized FF)</v>
      </c>
      <c r="F35" s="740" t="str">
        <f>'Step3-Metals-RawMat'!J27</f>
        <v>Efficient air pollution control (FF+DS / ESP+DS / ESP+WS / ESP+SNCR)</v>
      </c>
      <c r="G35" s="740" t="str">
        <f>'Step3-Metals-RawMat'!K27</f>
        <v>Very efficient Hg pollution control (wetFGD+ACI / FF+scrubber+SNCR)</v>
      </c>
      <c r="H35" s="736"/>
      <c r="I35" s="736" t="s">
        <v>186</v>
      </c>
    </row>
    <row r="36" spans="1:9" ht="13">
      <c r="A36" s="736"/>
      <c r="B36" s="742" t="s">
        <v>1038</v>
      </c>
      <c r="C36" s="737">
        <v>25</v>
      </c>
      <c r="D36" s="737">
        <v>25</v>
      </c>
      <c r="E36" s="737">
        <v>0</v>
      </c>
      <c r="F36" s="737">
        <v>0</v>
      </c>
      <c r="G36" s="740">
        <v>0</v>
      </c>
      <c r="H36" s="736"/>
      <c r="I36" s="736"/>
    </row>
    <row r="37" spans="1:9" ht="37.5">
      <c r="A37" s="736"/>
      <c r="B37" s="742" t="str">
        <f>'Step3-Metals-RawMat'!E29</f>
        <v>2) NO/LOW WASTE use as fuel; relevant pollution abatement options</v>
      </c>
      <c r="C37" s="740" t="str">
        <f>'Step3-Metals-RawMat'!G29</f>
        <v>No filter</v>
      </c>
      <c r="D37" s="740" t="str">
        <f>'Step3-Metals-RawMat'!H29</f>
        <v>Simple particle control (ESP / PS / FF)</v>
      </c>
      <c r="E37" s="740" t="str">
        <f>'Step3-Metals-RawMat'!I29</f>
        <v>Optimized particle control (FF+SNCR / FF+WS / ESP+FGD / optimized FF)</v>
      </c>
      <c r="F37" s="740" t="str">
        <f>'Step3-Metals-RawMat'!J29</f>
        <v>Efficient air pollution control (FF+DS / ESP+DS / ESP+WS / ESP+SNCR)</v>
      </c>
      <c r="G37" s="740" t="str">
        <f>'Step3-Metals-RawMat'!K29</f>
        <v>Very efficient Hg pollution control (wetFGD+ACI / FF+scrubber+SNCR)</v>
      </c>
      <c r="H37" s="736"/>
      <c r="I37" s="736"/>
    </row>
    <row r="38" spans="1:9" ht="13">
      <c r="A38" s="736"/>
      <c r="B38" s="742" t="s">
        <v>1038</v>
      </c>
      <c r="C38" s="737">
        <v>25</v>
      </c>
      <c r="D38" s="737">
        <v>25</v>
      </c>
      <c r="E38" s="737">
        <v>0</v>
      </c>
      <c r="F38" s="737">
        <v>0</v>
      </c>
      <c r="G38" s="740">
        <v>0</v>
      </c>
      <c r="H38" s="736"/>
      <c r="I38" s="736"/>
    </row>
    <row r="39" spans="1:9" s="731" customFormat="1">
      <c r="B39" s="745"/>
      <c r="C39" s="746"/>
      <c r="D39" s="746"/>
      <c r="E39" s="746"/>
      <c r="F39" s="746"/>
      <c r="G39" s="746"/>
      <c r="H39" s="746"/>
    </row>
    <row r="40" spans="1:9" ht="25">
      <c r="A40" s="736" t="str">
        <f>'Step3-Metals-RawMat'!A31</f>
        <v>Pulp and paper production</v>
      </c>
      <c r="B40" s="742" t="s">
        <v>1129</v>
      </c>
      <c r="C40" s="740" t="str">
        <f>'Step3-Metals-RawMat'!G32</f>
        <v xml:space="preserve">No filters used </v>
      </c>
      <c r="D40" s="740" t="str">
        <f>'Step3-Metals-RawMat'!H32</f>
        <v>PM control with general ESP, or PS</v>
      </c>
      <c r="E40" s="736"/>
      <c r="F40" s="736"/>
      <c r="G40" s="736"/>
      <c r="H40" s="736"/>
      <c r="I40" s="736" t="s">
        <v>187</v>
      </c>
    </row>
    <row r="41" spans="1:9" ht="13">
      <c r="A41" s="736"/>
      <c r="B41" s="742" t="s">
        <v>1038</v>
      </c>
      <c r="C41" s="737">
        <v>100</v>
      </c>
      <c r="D41" s="737">
        <v>0</v>
      </c>
      <c r="E41" s="736"/>
      <c r="F41" s="736"/>
      <c r="G41" s="736"/>
      <c r="H41" s="736"/>
      <c r="I41" s="736"/>
    </row>
    <row r="42" spans="1:9" s="731" customFormat="1">
      <c r="B42" s="745"/>
      <c r="C42" s="746"/>
      <c r="D42" s="746"/>
      <c r="E42" s="746"/>
      <c r="F42" s="746"/>
      <c r="G42" s="746"/>
      <c r="H42" s="746"/>
    </row>
    <row r="43" spans="1:9" ht="37.5">
      <c r="A43" s="736" t="str">
        <f>'Step5-Waste treatment+recycling'!A13</f>
        <v>Incineration of municipal/general waste</v>
      </c>
      <c r="B43" s="742" t="s">
        <v>1129</v>
      </c>
      <c r="C43" s="740" t="str">
        <f>'Step5-Waste treatment+recycling'!G14</f>
        <v>No emission reduction devices</v>
      </c>
      <c r="D43" s="740" t="str">
        <f>'Step5-Waste treatment+recycling'!H14</f>
        <v>PM reduction, simple ESP, or similar</v>
      </c>
      <c r="E43" s="740" t="str">
        <f>'Step5-Waste treatment+recycling'!I14</f>
        <v>Acid gas control +  high efficiency FF or ESP PM retention</v>
      </c>
      <c r="F43" s="740" t="str">
        <f>'Step5-Waste treatment+recycling'!J14</f>
        <v>Mercury specific absorbents + FF</v>
      </c>
      <c r="G43" s="736"/>
      <c r="H43" s="736"/>
      <c r="I43" s="736" t="s">
        <v>194</v>
      </c>
    </row>
    <row r="44" spans="1:9" ht="13">
      <c r="A44" s="736"/>
      <c r="B44" s="742" t="s">
        <v>1038</v>
      </c>
      <c r="C44" s="737">
        <v>0</v>
      </c>
      <c r="D44" s="737">
        <v>100</v>
      </c>
      <c r="E44" s="737">
        <v>0</v>
      </c>
      <c r="F44" s="737">
        <v>0</v>
      </c>
      <c r="G44" s="736"/>
      <c r="H44" s="736"/>
      <c r="I44" s="736"/>
    </row>
    <row r="45" spans="1:9" s="731" customFormat="1">
      <c r="B45" s="745"/>
      <c r="C45" s="746"/>
      <c r="D45" s="746"/>
      <c r="E45" s="746"/>
      <c r="F45" s="746"/>
      <c r="G45" s="746"/>
      <c r="H45" s="746"/>
    </row>
    <row r="46" spans="1:9" ht="37.5">
      <c r="A46" s="736" t="str">
        <f>'Step5-Waste treatment+recycling'!A16</f>
        <v>Incineration of hazardous waste</v>
      </c>
      <c r="B46" s="742" t="s">
        <v>1129</v>
      </c>
      <c r="C46" s="740" t="str">
        <f>'Step5-Waste treatment+recycling'!G17</f>
        <v>No emission reduction devices</v>
      </c>
      <c r="D46" s="740" t="str">
        <f>'Step5-Waste treatment+recycling'!H17</f>
        <v>PM reduction, simple ESP, or similar</v>
      </c>
      <c r="E46" s="740" t="str">
        <f>'Step5-Waste treatment+recycling'!I17</f>
        <v>Acid gas control +  high efficiency FF or ESP PM retention</v>
      </c>
      <c r="F46" s="740" t="str">
        <f>'Step5-Waste treatment+recycling'!J17</f>
        <v>Mercury specific absorbents + FF</v>
      </c>
      <c r="G46" s="736"/>
      <c r="H46" s="736"/>
      <c r="I46" s="736" t="s">
        <v>199</v>
      </c>
    </row>
    <row r="47" spans="1:9" ht="13">
      <c r="A47" s="736"/>
      <c r="B47" s="742" t="s">
        <v>1038</v>
      </c>
      <c r="C47" s="737">
        <v>0</v>
      </c>
      <c r="D47" s="737">
        <v>100</v>
      </c>
      <c r="E47" s="737">
        <v>0</v>
      </c>
      <c r="F47" s="737">
        <v>0</v>
      </c>
      <c r="G47" s="736"/>
      <c r="H47" s="736"/>
      <c r="I47" s="736"/>
    </row>
    <row r="48" spans="1:9" s="731" customFormat="1">
      <c r="B48" s="745"/>
      <c r="C48" s="746"/>
      <c r="D48" s="746"/>
      <c r="E48" s="746"/>
      <c r="F48" s="746"/>
      <c r="G48" s="746"/>
      <c r="H48" s="746"/>
    </row>
    <row r="49" spans="1:9" ht="37.5">
      <c r="A49" s="736" t="str">
        <f>'Step5-Waste treatment+recycling'!A19</f>
        <v>Incineration / burning of medical waste</v>
      </c>
      <c r="B49" s="742" t="s">
        <v>1129</v>
      </c>
      <c r="C49" s="740" t="str">
        <f>'Step5-Waste treatment+recycling'!G20</f>
        <v>No emission reduction devices</v>
      </c>
      <c r="D49" s="740" t="str">
        <f>'Step5-Waste treatment+recycling'!H20</f>
        <v>PM reduction, simple ESP, or similar</v>
      </c>
      <c r="E49" s="740" t="str">
        <f>'Step5-Waste treatment+recycling'!I20</f>
        <v>Acid gas control +  high efficiency FF or ESP PM retention</v>
      </c>
      <c r="F49" s="740" t="str">
        <f>'Step5-Waste treatment+recycling'!J20</f>
        <v>Mercury specific absorbents + FF</v>
      </c>
      <c r="G49" s="736"/>
      <c r="H49" s="736"/>
      <c r="I49" s="736" t="s">
        <v>204</v>
      </c>
    </row>
    <row r="50" spans="1:9" ht="13">
      <c r="A50" s="736"/>
      <c r="B50" s="742" t="s">
        <v>1038</v>
      </c>
      <c r="C50" s="737">
        <v>100</v>
      </c>
      <c r="D50" s="737">
        <v>0</v>
      </c>
      <c r="E50" s="737">
        <v>0</v>
      </c>
      <c r="F50" s="737">
        <v>0</v>
      </c>
      <c r="G50" s="736"/>
      <c r="H50" s="736"/>
      <c r="I50" s="736"/>
    </row>
    <row r="51" spans="1:9" s="731" customFormat="1">
      <c r="B51" s="745"/>
      <c r="C51" s="746"/>
      <c r="D51" s="746"/>
      <c r="E51" s="746"/>
      <c r="F51" s="746"/>
      <c r="G51" s="746"/>
      <c r="H51" s="746"/>
    </row>
    <row r="52" spans="1:9" ht="37.5">
      <c r="A52" s="736" t="str">
        <f>'Step5-Waste treatment+recycling'!A29</f>
        <v>Waste water system/treatment</v>
      </c>
      <c r="B52" s="742" t="s">
        <v>1129</v>
      </c>
      <c r="C52" s="740" t="str">
        <f>'Step5-Waste treatment+recycling'!G30</f>
        <v>No treatment</v>
      </c>
      <c r="D52" s="740" t="str">
        <f>'Step5-Waste treatment+recycling'!H30</f>
        <v>Mechanical treatment only</v>
      </c>
      <c r="E52" s="740" t="str">
        <f>'Step5-Waste treatment+recycling'!I30</f>
        <v>Mechanical and biological treatment; no land application of sludge</v>
      </c>
      <c r="F52" s="740" t="str">
        <f>'Step5-Waste treatment+recycling'!J30</f>
        <v>Mechanical and biological treatment; with &gt;40% of sludge used for land application</v>
      </c>
      <c r="G52" s="736"/>
      <c r="H52" s="736"/>
      <c r="I52" s="736" t="s">
        <v>294</v>
      </c>
    </row>
    <row r="53" spans="1:9" ht="13">
      <c r="A53" s="736"/>
      <c r="B53" s="742" t="s">
        <v>1038</v>
      </c>
      <c r="C53" s="737">
        <v>0</v>
      </c>
      <c r="D53" s="737">
        <v>100</v>
      </c>
      <c r="E53" s="737">
        <v>0</v>
      </c>
      <c r="F53" s="737">
        <v>0</v>
      </c>
      <c r="G53" s="736"/>
      <c r="H53" s="736"/>
      <c r="I53" s="736"/>
    </row>
    <row r="54" spans="1:9" s="731" customFormat="1">
      <c r="B54" s="745"/>
      <c r="C54" s="746"/>
      <c r="D54" s="746"/>
      <c r="E54" s="746"/>
      <c r="F54" s="746"/>
      <c r="G54" s="746"/>
      <c r="H54" s="746"/>
    </row>
    <row r="55" spans="1:9" ht="25">
      <c r="A55" s="736" t="str">
        <f>'Step6-Hg products-substances'!A7</f>
        <v>Dental amalgam fillings ("silver" fillings)</v>
      </c>
      <c r="B55" s="741" t="s">
        <v>1129</v>
      </c>
      <c r="C55" s="740" t="str">
        <f>'Step6-Hg products-substances'!G12</f>
        <v>Clinics where only simple chair strainers/filters are used</v>
      </c>
      <c r="D55" s="740" t="str">
        <f>'Step6-Hg products-substances'!H12</f>
        <v>Clinics where high efficiency amalgam separators are used</v>
      </c>
      <c r="E55" s="736"/>
      <c r="F55" s="736"/>
      <c r="G55" s="736"/>
      <c r="H55" s="736"/>
      <c r="I55" s="739" t="s">
        <v>211</v>
      </c>
    </row>
    <row r="56" spans="1:9" ht="13">
      <c r="A56" s="736"/>
      <c r="B56" s="738" t="s">
        <v>1038</v>
      </c>
      <c r="C56" s="737">
        <v>100</v>
      </c>
      <c r="D56" s="737">
        <v>0</v>
      </c>
      <c r="E56" s="736"/>
      <c r="F56" s="736"/>
      <c r="G56" s="736"/>
      <c r="H56" s="736"/>
      <c r="I56" s="736"/>
    </row>
    <row r="57" spans="1:9">
      <c r="A57" s="735"/>
      <c r="B57" s="731"/>
      <c r="C57" s="731"/>
      <c r="D57" s="731"/>
      <c r="E57" s="731"/>
      <c r="F57" s="731"/>
      <c r="G57" s="731"/>
      <c r="H57" s="731"/>
      <c r="I57" s="731"/>
    </row>
    <row r="58" spans="1:9">
      <c r="A58" s="735"/>
      <c r="B58" s="731"/>
      <c r="C58" s="731"/>
      <c r="D58" s="731"/>
      <c r="E58" s="731"/>
      <c r="F58" s="731"/>
      <c r="G58" s="731"/>
      <c r="H58" s="731"/>
      <c r="I58" s="731"/>
    </row>
    <row r="59" spans="1:9">
      <c r="A59" s="735"/>
      <c r="B59" s="731"/>
      <c r="C59" s="731"/>
      <c r="D59" s="731"/>
      <c r="E59" s="731"/>
      <c r="F59" s="731"/>
      <c r="G59" s="731"/>
      <c r="H59" s="731"/>
      <c r="I59" s="731"/>
    </row>
    <row r="60" spans="1:9">
      <c r="A60" s="735"/>
      <c r="B60" s="731"/>
      <c r="C60" s="731"/>
      <c r="D60" s="731"/>
      <c r="E60" s="731"/>
      <c r="F60" s="731"/>
      <c r="G60" s="731"/>
      <c r="H60" s="731"/>
      <c r="I60" s="731"/>
    </row>
    <row r="61" spans="1:9">
      <c r="A61" s="735"/>
      <c r="B61" s="731"/>
      <c r="C61" s="731"/>
      <c r="D61" s="731"/>
      <c r="E61" s="731"/>
      <c r="F61" s="731"/>
      <c r="G61" s="731"/>
      <c r="H61" s="731"/>
      <c r="I61" s="731"/>
    </row>
    <row r="62" spans="1:9">
      <c r="A62" s="735"/>
      <c r="B62" s="731"/>
      <c r="C62" s="731"/>
      <c r="D62" s="731"/>
      <c r="E62" s="731"/>
      <c r="F62" s="731"/>
      <c r="G62" s="731"/>
      <c r="H62" s="731"/>
      <c r="I62" s="731"/>
    </row>
    <row r="63" spans="1:9">
      <c r="A63" s="735"/>
      <c r="B63" s="731"/>
      <c r="C63" s="731"/>
      <c r="D63" s="731"/>
      <c r="E63" s="731"/>
      <c r="F63" s="731"/>
      <c r="G63" s="731"/>
      <c r="H63" s="731"/>
      <c r="I63" s="731"/>
    </row>
    <row r="64" spans="1:9">
      <c r="A64" s="735"/>
      <c r="B64" s="731"/>
      <c r="C64" s="731"/>
      <c r="D64" s="731"/>
      <c r="E64" s="731"/>
      <c r="F64" s="731"/>
      <c r="G64" s="731"/>
      <c r="H64" s="731"/>
      <c r="I64" s="731"/>
    </row>
    <row r="65" spans="1:9">
      <c r="A65" s="735"/>
      <c r="B65" s="731"/>
      <c r="C65" s="731"/>
      <c r="D65" s="731"/>
      <c r="E65" s="731"/>
      <c r="F65" s="731"/>
      <c r="G65" s="731"/>
      <c r="H65" s="731"/>
      <c r="I65" s="731"/>
    </row>
    <row r="66" spans="1:9">
      <c r="A66" s="735"/>
      <c r="B66" s="731"/>
      <c r="C66" s="731"/>
      <c r="D66" s="731"/>
      <c r="E66" s="731"/>
      <c r="F66" s="731"/>
      <c r="G66" s="731"/>
      <c r="H66" s="731"/>
      <c r="I66" s="731"/>
    </row>
    <row r="67" spans="1:9" s="731" customFormat="1">
      <c r="A67" s="735"/>
    </row>
    <row r="68" spans="1:9" s="731" customFormat="1">
      <c r="A68" s="735"/>
    </row>
    <row r="69" spans="1:9" s="731" customFormat="1">
      <c r="A69" s="735"/>
    </row>
    <row r="70" spans="1:9" s="731" customFormat="1">
      <c r="A70" s="735"/>
    </row>
    <row r="71" spans="1:9" s="731" customFormat="1">
      <c r="A71" s="735"/>
    </row>
    <row r="72" spans="1:9" s="731" customFormat="1">
      <c r="A72" s="735"/>
    </row>
    <row r="73" spans="1:9" s="731" customFormat="1">
      <c r="A73" s="735"/>
    </row>
    <row r="74" spans="1:9" s="731" customFormat="1">
      <c r="A74" s="735"/>
    </row>
    <row r="75" spans="1:9" s="731" customFormat="1">
      <c r="A75" s="735"/>
    </row>
    <row r="76" spans="1:9" s="731" customFormat="1">
      <c r="A76" s="735"/>
    </row>
    <row r="77" spans="1:9" s="731" customFormat="1">
      <c r="A77" s="735"/>
    </row>
    <row r="78" spans="1:9" s="731" customFormat="1">
      <c r="A78" s="735"/>
    </row>
    <row r="79" spans="1:9" s="731" customFormat="1">
      <c r="A79" s="735"/>
    </row>
    <row r="80" spans="1:9" s="731" customFormat="1">
      <c r="A80" s="735"/>
    </row>
    <row r="81" spans="1:9" s="731" customFormat="1">
      <c r="A81" s="735"/>
    </row>
    <row r="82" spans="1:9" s="731" customFormat="1">
      <c r="A82" s="735"/>
    </row>
    <row r="83" spans="1:9" s="731" customFormat="1">
      <c r="A83" s="735"/>
    </row>
    <row r="84" spans="1:9" s="731" customFormat="1">
      <c r="A84" s="735"/>
    </row>
    <row r="85" spans="1:9" s="731" customFormat="1">
      <c r="A85" s="735"/>
    </row>
    <row r="86" spans="1:9" s="731" customFormat="1">
      <c r="A86" s="735"/>
    </row>
    <row r="87" spans="1:9" s="731" customFormat="1">
      <c r="A87" s="735"/>
    </row>
    <row r="88" spans="1:9" s="731" customFormat="1">
      <c r="A88" s="735"/>
    </row>
    <row r="89" spans="1:9" s="731" customFormat="1">
      <c r="A89" s="735"/>
    </row>
    <row r="90" spans="1:9" s="731" customFormat="1">
      <c r="A90" s="735"/>
    </row>
    <row r="91" spans="1:9" s="731" customFormat="1">
      <c r="A91" s="735"/>
    </row>
    <row r="92" spans="1:9" s="731" customFormat="1">
      <c r="A92" s="735"/>
      <c r="C92" s="735"/>
      <c r="D92" s="735"/>
      <c r="E92" s="735"/>
      <c r="F92" s="735"/>
      <c r="G92" s="735"/>
      <c r="H92" s="735"/>
      <c r="I92" s="735"/>
    </row>
    <row r="93" spans="1:9" s="731" customFormat="1">
      <c r="A93" s="735"/>
      <c r="C93" s="735"/>
      <c r="D93" s="735"/>
      <c r="E93" s="735"/>
      <c r="F93" s="735"/>
      <c r="G93" s="735"/>
      <c r="H93" s="735"/>
      <c r="I93" s="735"/>
    </row>
    <row r="94" spans="1:9" s="731" customFormat="1">
      <c r="A94" s="735"/>
      <c r="C94" s="735"/>
      <c r="D94" s="735"/>
      <c r="E94" s="735"/>
      <c r="F94" s="735"/>
      <c r="G94" s="735"/>
      <c r="H94" s="735"/>
      <c r="I94" s="735"/>
    </row>
    <row r="95" spans="1:9" s="731" customFormat="1">
      <c r="A95" s="735"/>
      <c r="C95" s="735"/>
      <c r="D95" s="735"/>
      <c r="E95" s="735"/>
      <c r="F95" s="735"/>
      <c r="G95" s="735"/>
      <c r="H95" s="735"/>
      <c r="I95" s="735"/>
    </row>
    <row r="96" spans="1:9" s="731" customFormat="1">
      <c r="A96" s="735"/>
      <c r="C96" s="735"/>
      <c r="D96" s="735"/>
      <c r="E96" s="735"/>
      <c r="F96" s="735"/>
      <c r="G96" s="735"/>
      <c r="H96" s="735"/>
      <c r="I96" s="735"/>
    </row>
    <row r="97" spans="1:9" s="731" customFormat="1">
      <c r="A97" s="735"/>
      <c r="C97" s="735"/>
      <c r="D97" s="735"/>
      <c r="E97" s="735"/>
      <c r="F97" s="735"/>
      <c r="G97" s="735"/>
      <c r="H97" s="735"/>
      <c r="I97" s="735"/>
    </row>
    <row r="98" spans="1:9" s="731" customFormat="1">
      <c r="A98" s="735"/>
      <c r="C98" s="735"/>
      <c r="D98" s="735"/>
      <c r="E98" s="735"/>
      <c r="F98" s="735"/>
      <c r="G98" s="735"/>
      <c r="H98" s="735"/>
      <c r="I98" s="735"/>
    </row>
    <row r="99" spans="1:9" s="731" customFormat="1">
      <c r="A99" s="735"/>
      <c r="C99" s="735"/>
      <c r="D99" s="735"/>
      <c r="E99" s="735"/>
      <c r="F99" s="735"/>
      <c r="G99" s="735"/>
      <c r="H99" s="735"/>
      <c r="I99" s="735"/>
    </row>
    <row r="100" spans="1:9" s="731" customFormat="1">
      <c r="A100" s="735"/>
      <c r="C100" s="735"/>
      <c r="D100" s="735"/>
      <c r="E100" s="735"/>
      <c r="F100" s="735"/>
      <c r="G100" s="735"/>
      <c r="H100" s="735"/>
      <c r="I100" s="735"/>
    </row>
    <row r="101" spans="1:9" s="731" customFormat="1">
      <c r="A101" s="735"/>
      <c r="C101" s="735"/>
      <c r="D101" s="735"/>
      <c r="E101" s="735"/>
      <c r="F101" s="735"/>
      <c r="G101" s="735"/>
      <c r="H101" s="735"/>
      <c r="I101" s="735"/>
    </row>
    <row r="102" spans="1:9" s="731" customFormat="1">
      <c r="A102" s="735"/>
      <c r="C102" s="735"/>
      <c r="D102" s="735"/>
      <c r="E102" s="735"/>
      <c r="F102" s="735"/>
      <c r="G102" s="735"/>
      <c r="H102" s="735"/>
      <c r="I102" s="735"/>
    </row>
    <row r="103" spans="1:9" s="731" customFormat="1">
      <c r="A103" s="735"/>
      <c r="C103" s="735"/>
      <c r="D103" s="735"/>
      <c r="E103" s="735"/>
      <c r="F103" s="735"/>
      <c r="G103" s="735"/>
      <c r="H103" s="735"/>
      <c r="I103" s="735"/>
    </row>
    <row r="104" spans="1:9" s="731" customFormat="1">
      <c r="A104" s="735"/>
      <c r="C104" s="735"/>
      <c r="D104" s="735"/>
      <c r="E104" s="735"/>
      <c r="F104" s="735"/>
      <c r="G104" s="735"/>
      <c r="H104" s="735"/>
      <c r="I104" s="735"/>
    </row>
    <row r="105" spans="1:9" s="731" customFormat="1">
      <c r="A105" s="735"/>
      <c r="C105" s="735"/>
      <c r="D105" s="735"/>
      <c r="E105" s="735"/>
      <c r="F105" s="735"/>
      <c r="G105" s="735"/>
      <c r="H105" s="735"/>
      <c r="I105" s="735"/>
    </row>
    <row r="106" spans="1:9" s="731" customFormat="1">
      <c r="A106" s="735"/>
      <c r="C106" s="735"/>
      <c r="D106" s="735"/>
      <c r="E106" s="735"/>
      <c r="F106" s="735"/>
      <c r="G106" s="735"/>
      <c r="H106" s="735"/>
      <c r="I106" s="735"/>
    </row>
    <row r="107" spans="1:9" s="731" customFormat="1">
      <c r="A107" s="735"/>
      <c r="C107" s="735"/>
      <c r="D107" s="735"/>
      <c r="E107" s="735"/>
      <c r="F107" s="735"/>
      <c r="G107" s="735"/>
      <c r="H107" s="735"/>
      <c r="I107" s="735"/>
    </row>
    <row r="108" spans="1:9" s="731" customFormat="1">
      <c r="A108" s="735"/>
      <c r="C108" s="735"/>
      <c r="D108" s="735"/>
      <c r="E108" s="735"/>
      <c r="F108" s="735"/>
      <c r="G108" s="735"/>
      <c r="H108" s="735"/>
      <c r="I108" s="735"/>
    </row>
    <row r="109" spans="1:9" s="731" customFormat="1">
      <c r="A109" s="735"/>
      <c r="C109" s="735"/>
      <c r="D109" s="735"/>
      <c r="E109" s="735"/>
      <c r="F109" s="735"/>
      <c r="G109" s="735"/>
      <c r="H109" s="735"/>
      <c r="I109" s="735"/>
    </row>
    <row r="110" spans="1:9" s="731" customFormat="1">
      <c r="A110" s="735"/>
      <c r="C110" s="735"/>
      <c r="D110" s="735"/>
      <c r="E110" s="735"/>
      <c r="F110" s="735"/>
      <c r="G110" s="735"/>
      <c r="H110" s="735"/>
      <c r="I110" s="735"/>
    </row>
    <row r="111" spans="1:9" s="731" customFormat="1">
      <c r="A111" s="735"/>
      <c r="C111" s="735"/>
      <c r="D111" s="735"/>
      <c r="E111" s="735"/>
      <c r="F111" s="735"/>
      <c r="G111" s="735"/>
      <c r="H111" s="735"/>
      <c r="I111" s="735"/>
    </row>
    <row r="112" spans="1:9" s="731" customFormat="1">
      <c r="A112" s="735"/>
      <c r="C112" s="735"/>
      <c r="D112" s="735"/>
      <c r="E112" s="735"/>
      <c r="F112" s="735"/>
      <c r="G112" s="735"/>
      <c r="H112" s="735"/>
      <c r="I112" s="735"/>
    </row>
    <row r="113" spans="1:9" s="731" customFormat="1">
      <c r="A113" s="735"/>
      <c r="C113" s="735"/>
      <c r="D113" s="735"/>
      <c r="E113" s="735"/>
      <c r="F113" s="735"/>
      <c r="G113" s="735"/>
      <c r="H113" s="735"/>
      <c r="I113" s="735"/>
    </row>
    <row r="114" spans="1:9" s="731" customFormat="1">
      <c r="A114" s="735"/>
      <c r="C114" s="735"/>
      <c r="D114" s="735"/>
      <c r="E114" s="735"/>
      <c r="F114" s="735"/>
      <c r="G114" s="735"/>
      <c r="H114" s="735"/>
      <c r="I114" s="735"/>
    </row>
    <row r="115" spans="1:9" s="731" customFormat="1">
      <c r="A115" s="735"/>
      <c r="C115" s="735"/>
      <c r="D115" s="735"/>
      <c r="E115" s="735"/>
      <c r="F115" s="735"/>
      <c r="G115" s="735"/>
      <c r="H115" s="735"/>
      <c r="I115" s="735"/>
    </row>
    <row r="116" spans="1:9" s="731" customFormat="1">
      <c r="A116" s="735"/>
      <c r="C116" s="735"/>
      <c r="D116" s="735"/>
      <c r="E116" s="735"/>
      <c r="F116" s="735"/>
      <c r="G116" s="735"/>
      <c r="H116" s="735"/>
      <c r="I116" s="735"/>
    </row>
    <row r="117" spans="1:9" s="731" customFormat="1">
      <c r="A117" s="735"/>
      <c r="C117" s="735"/>
      <c r="D117" s="735"/>
      <c r="E117" s="735"/>
      <c r="F117" s="735"/>
      <c r="G117" s="735"/>
      <c r="H117" s="735"/>
      <c r="I117" s="735"/>
    </row>
    <row r="118" spans="1:9" s="731" customFormat="1">
      <c r="A118" s="735"/>
      <c r="C118" s="735"/>
      <c r="D118" s="735"/>
      <c r="E118" s="735"/>
      <c r="F118" s="735"/>
      <c r="G118" s="735"/>
      <c r="H118" s="735"/>
      <c r="I118" s="735"/>
    </row>
    <row r="119" spans="1:9" s="731" customFormat="1">
      <c r="A119" s="735"/>
      <c r="C119" s="735"/>
      <c r="D119" s="735"/>
      <c r="E119" s="735"/>
      <c r="F119" s="735"/>
      <c r="G119" s="735"/>
      <c r="H119" s="735"/>
      <c r="I119" s="735"/>
    </row>
    <row r="120" spans="1:9" s="731" customFormat="1">
      <c r="A120" s="735"/>
      <c r="C120" s="735"/>
      <c r="D120" s="735"/>
      <c r="E120" s="735"/>
      <c r="F120" s="735"/>
      <c r="G120" s="735"/>
      <c r="H120" s="735"/>
      <c r="I120" s="735"/>
    </row>
    <row r="121" spans="1:9" s="731" customFormat="1">
      <c r="A121" s="735"/>
      <c r="C121" s="735"/>
      <c r="D121" s="735"/>
      <c r="E121" s="735"/>
      <c r="F121" s="735"/>
      <c r="G121" s="735"/>
      <c r="H121" s="735"/>
      <c r="I121" s="735"/>
    </row>
    <row r="122" spans="1:9" s="731" customFormat="1">
      <c r="A122" s="735"/>
      <c r="C122" s="735"/>
      <c r="D122" s="735"/>
      <c r="E122" s="735"/>
      <c r="F122" s="735"/>
      <c r="G122" s="735"/>
      <c r="H122" s="735"/>
      <c r="I122" s="735"/>
    </row>
    <row r="123" spans="1:9" s="731" customFormat="1">
      <c r="A123" s="735"/>
      <c r="C123" s="735"/>
      <c r="D123" s="735"/>
      <c r="E123" s="735"/>
      <c r="F123" s="735"/>
      <c r="G123" s="735"/>
      <c r="H123" s="735"/>
      <c r="I123" s="735"/>
    </row>
    <row r="124" spans="1:9" s="731" customFormat="1">
      <c r="A124" s="735"/>
      <c r="C124" s="735"/>
      <c r="D124" s="735"/>
      <c r="E124" s="735"/>
      <c r="F124" s="735"/>
      <c r="G124" s="735"/>
      <c r="H124" s="735"/>
      <c r="I124" s="735"/>
    </row>
    <row r="125" spans="1:9" s="731" customFormat="1">
      <c r="A125" s="735"/>
      <c r="C125" s="735"/>
      <c r="D125" s="735"/>
      <c r="E125" s="735"/>
      <c r="F125" s="735"/>
      <c r="G125" s="735"/>
      <c r="H125" s="735"/>
      <c r="I125" s="735"/>
    </row>
    <row r="126" spans="1:9" s="731" customFormat="1">
      <c r="A126" s="735"/>
      <c r="C126" s="735"/>
      <c r="D126" s="735"/>
      <c r="E126" s="735"/>
      <c r="F126" s="735"/>
      <c r="G126" s="735"/>
      <c r="H126" s="735"/>
      <c r="I126" s="735"/>
    </row>
    <row r="127" spans="1:9" s="731" customFormat="1">
      <c r="A127" s="735"/>
      <c r="C127" s="735"/>
      <c r="D127" s="735"/>
      <c r="E127" s="735"/>
      <c r="F127" s="735"/>
      <c r="G127" s="735"/>
      <c r="H127" s="735"/>
      <c r="I127" s="735"/>
    </row>
    <row r="128" spans="1:9" s="731" customFormat="1">
      <c r="A128" s="735"/>
      <c r="C128" s="735"/>
      <c r="D128" s="735"/>
      <c r="E128" s="735"/>
      <c r="F128" s="735"/>
      <c r="G128" s="735"/>
      <c r="H128" s="735"/>
      <c r="I128" s="735"/>
    </row>
    <row r="129" spans="1:9" s="731" customFormat="1">
      <c r="A129" s="735"/>
      <c r="C129" s="735"/>
      <c r="D129" s="735"/>
      <c r="E129" s="735"/>
      <c r="F129" s="735"/>
      <c r="G129" s="735"/>
      <c r="H129" s="735"/>
      <c r="I129" s="735"/>
    </row>
    <row r="130" spans="1:9" s="731" customFormat="1">
      <c r="A130" s="735"/>
      <c r="C130" s="735"/>
      <c r="D130" s="735"/>
      <c r="E130" s="735"/>
      <c r="F130" s="735"/>
      <c r="G130" s="735"/>
      <c r="H130" s="735"/>
      <c r="I130" s="735"/>
    </row>
  </sheetData>
  <sheetProtection algorithmName="SHA-512" hashValue="gj6aCZwqQQxPCiqcGj/dGJ9gZ/4tAJT6Bm0tgQ3tcEd/IMd4JVDTG1eq0QBuYf2JX8K8j2U4y++Wwm/2bj4TuA==" saltValue="KjV6K0a6T893OlvV52N7Xw==" spinCount="100000" sheet="1"/>
  <customSheetViews>
    <customSheetView guid="{EB7FE26D-7077-48F2-8515-D783BE87A220}">
      <selection activeCell="A12" sqref="A12"/>
      <pageMargins left="0.7" right="0.7" top="0.75" bottom="0.75" header="0.3" footer="0.3"/>
      <pageSetup paperSize="9" orientation="portrait" r:id="rId1"/>
    </customSheetView>
  </customSheetViews>
  <conditionalFormatting sqref="B55:B56">
    <cfRule type="expression" dxfId="2" priority="1">
      <formula>$E$7="y"</formula>
    </cfRule>
  </conditionalFormatting>
  <dataValidations count="1">
    <dataValidation allowBlank="1" showInputMessage="1" showErrorMessage="1" promptTitle="Controls" sqref="C56:D56" xr:uid="{00000000-0002-0000-1D00-000000000000}"/>
  </dataValidations>
  <pageMargins left="0.7" right="0.7"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K237"/>
  <sheetViews>
    <sheetView topLeftCell="A197" workbookViewId="0">
      <selection activeCell="A218" sqref="A218"/>
    </sheetView>
  </sheetViews>
  <sheetFormatPr defaultColWidth="8.81640625" defaultRowHeight="12.5"/>
  <cols>
    <col min="1" max="1" width="26" customWidth="1"/>
    <col min="2" max="2" width="14" customWidth="1"/>
    <col min="3" max="3" width="9.1796875" style="8"/>
    <col min="4" max="5" width="11.1796875" customWidth="1"/>
    <col min="6" max="6" width="10.1796875" customWidth="1"/>
    <col min="7" max="7" width="12.6328125" style="3" customWidth="1"/>
    <col min="8" max="8" width="14.453125" customWidth="1"/>
    <col min="9" max="9" width="22.1796875" style="503" customWidth="1"/>
    <col min="10" max="10" width="18.453125" customWidth="1"/>
  </cols>
  <sheetData>
    <row r="1" spans="1:11" ht="13">
      <c r="A1" s="307" t="s">
        <v>829</v>
      </c>
      <c r="B1" s="8"/>
    </row>
    <row r="2" spans="1:11" ht="13">
      <c r="A2" s="5" t="s">
        <v>591</v>
      </c>
      <c r="B2" s="8"/>
    </row>
    <row r="3" spans="1:11" ht="13">
      <c r="A3" s="5" t="s">
        <v>592</v>
      </c>
      <c r="B3" s="8"/>
    </row>
    <row r="4" spans="1:11" ht="13">
      <c r="A4" s="5" t="s">
        <v>593</v>
      </c>
      <c r="B4" s="8"/>
    </row>
    <row r="6" spans="1:11">
      <c r="D6" s="3"/>
      <c r="E6" s="3"/>
      <c r="F6" s="3"/>
    </row>
    <row r="7" spans="1:11" ht="78">
      <c r="A7" s="124" t="s">
        <v>594</v>
      </c>
      <c r="B7" s="125" t="s">
        <v>1128</v>
      </c>
      <c r="C7" s="125" t="s">
        <v>727</v>
      </c>
      <c r="D7" s="125" t="s">
        <v>811</v>
      </c>
      <c r="E7" s="125" t="s">
        <v>812</v>
      </c>
      <c r="F7" s="125" t="s">
        <v>813</v>
      </c>
      <c r="G7" s="636" t="s">
        <v>1248</v>
      </c>
      <c r="K7" s="510"/>
    </row>
    <row r="8" spans="1:11" s="532" customFormat="1" ht="13">
      <c r="A8" s="521" t="s">
        <v>822</v>
      </c>
      <c r="B8" s="522">
        <v>0</v>
      </c>
      <c r="C8" s="523">
        <v>100</v>
      </c>
      <c r="D8" s="524">
        <v>0.82919079065322876</v>
      </c>
      <c r="E8" s="524"/>
      <c r="F8" s="525"/>
      <c r="G8" s="3"/>
      <c r="H8" s="533"/>
    </row>
    <row r="9" spans="1:11" s="532" customFormat="1" ht="13">
      <c r="A9" s="521" t="s">
        <v>595</v>
      </c>
      <c r="B9" s="526">
        <v>33736494</v>
      </c>
      <c r="C9" s="523">
        <v>15.5</v>
      </c>
      <c r="D9" s="524">
        <f t="shared" ref="D9:D16" si="0">IF(E9&lt;$B$211,$B$211,E9)</f>
        <v>2.8528733178973198E-2</v>
      </c>
      <c r="E9" s="524">
        <v>2.8528733178973198E-2</v>
      </c>
      <c r="F9" s="525">
        <v>2001</v>
      </c>
      <c r="G9" s="3" t="s">
        <v>723</v>
      </c>
      <c r="H9" s="533"/>
    </row>
    <row r="10" spans="1:11">
      <c r="A10" s="527" t="s">
        <v>728</v>
      </c>
      <c r="B10" s="526">
        <v>2923352</v>
      </c>
      <c r="C10" s="523">
        <v>100</v>
      </c>
      <c r="D10" s="524">
        <f t="shared" si="0"/>
        <v>0.44522741436958313</v>
      </c>
      <c r="E10" s="524">
        <v>0.44522741436958313</v>
      </c>
      <c r="F10" s="525">
        <v>1998</v>
      </c>
      <c r="K10" s="48"/>
    </row>
    <row r="11" spans="1:11" ht="14.5">
      <c r="A11" s="521" t="s">
        <v>596</v>
      </c>
      <c r="B11" s="504">
        <v>39871528</v>
      </c>
      <c r="C11" s="523">
        <v>99.3</v>
      </c>
      <c r="D11" s="524">
        <f t="shared" si="0"/>
        <v>0.3055395781993866</v>
      </c>
      <c r="E11" s="524">
        <v>0.3055395781993866</v>
      </c>
      <c r="F11" s="525">
        <v>2002</v>
      </c>
      <c r="G11" s="3" t="s">
        <v>723</v>
      </c>
      <c r="K11" s="48"/>
    </row>
    <row r="12" spans="1:11" ht="14.5">
      <c r="A12" s="521" t="s">
        <v>729</v>
      </c>
      <c r="B12" s="504">
        <v>78014</v>
      </c>
      <c r="C12" s="523">
        <v>99.8</v>
      </c>
      <c r="D12" s="524">
        <f t="shared" si="0"/>
        <v>0.66666668653488159</v>
      </c>
      <c r="E12" s="524">
        <v>0.66666668653488159</v>
      </c>
      <c r="F12" s="525">
        <v>2003</v>
      </c>
      <c r="K12" s="48"/>
    </row>
    <row r="13" spans="1:11" ht="14.5">
      <c r="A13" s="527" t="s">
        <v>597</v>
      </c>
      <c r="B13" s="504">
        <v>27859305</v>
      </c>
      <c r="C13" s="523">
        <v>26.2</v>
      </c>
      <c r="D13" s="524">
        <f t="shared" si="0"/>
        <v>1.6919938474893571E-2</v>
      </c>
      <c r="E13" s="524">
        <v>1.7471826868131757E-4</v>
      </c>
      <c r="F13" s="525">
        <v>1997</v>
      </c>
      <c r="G13" s="3" t="s">
        <v>723</v>
      </c>
      <c r="K13" s="534"/>
    </row>
    <row r="14" spans="1:11" ht="14.5">
      <c r="A14" s="521" t="s">
        <v>730</v>
      </c>
      <c r="B14" s="504">
        <v>99923</v>
      </c>
      <c r="C14" s="523">
        <v>99.8</v>
      </c>
      <c r="D14" s="524">
        <f t="shared" si="0"/>
        <v>0.18840579688549042</v>
      </c>
      <c r="E14" s="524">
        <v>0.18840579688549042</v>
      </c>
      <c r="F14" s="525">
        <v>1997</v>
      </c>
      <c r="I14" s="505"/>
    </row>
    <row r="15" spans="1:11" ht="14.5">
      <c r="A15" s="521" t="s">
        <v>598</v>
      </c>
      <c r="B15" s="504">
        <v>43417765</v>
      </c>
      <c r="C15" s="523">
        <v>97.2</v>
      </c>
      <c r="D15" s="524">
        <f t="shared" si="0"/>
        <v>0.79938042163848877</v>
      </c>
      <c r="E15" s="524">
        <v>0.79938042163848877</v>
      </c>
      <c r="F15" s="525">
        <v>1998</v>
      </c>
      <c r="G15" s="36" t="s">
        <v>723</v>
      </c>
      <c r="I15" s="505"/>
    </row>
    <row r="16" spans="1:11" ht="14.5">
      <c r="A16" s="521" t="s">
        <v>599</v>
      </c>
      <c r="B16" s="504">
        <v>2916950</v>
      </c>
      <c r="C16" s="523">
        <v>99.8</v>
      </c>
      <c r="D16" s="524">
        <f t="shared" si="0"/>
        <v>0.26200586557388306</v>
      </c>
      <c r="E16" s="524">
        <v>0.26200586557388306</v>
      </c>
      <c r="F16" s="525">
        <v>2003</v>
      </c>
      <c r="I16" s="505"/>
    </row>
    <row r="17" spans="1:9" ht="14.5">
      <c r="A17" s="521" t="s">
        <v>731</v>
      </c>
      <c r="B17" s="504">
        <v>23799556</v>
      </c>
      <c r="C17" s="523">
        <v>99.8</v>
      </c>
      <c r="D17" s="524">
        <f>IF(E17&lt;$B$209,$B$209,E17)</f>
        <v>1.1004546880722046</v>
      </c>
      <c r="E17" s="524">
        <v>1.1004546880722046</v>
      </c>
      <c r="F17" s="525">
        <v>2001</v>
      </c>
      <c r="G17" s="36" t="s">
        <v>712</v>
      </c>
      <c r="I17" s="505"/>
    </row>
    <row r="18" spans="1:9" ht="14.5">
      <c r="A18" s="521" t="s">
        <v>600</v>
      </c>
      <c r="B18" s="504">
        <v>8678657</v>
      </c>
      <c r="C18" s="523">
        <v>100</v>
      </c>
      <c r="D18" s="524">
        <v>0.49741253256797791</v>
      </c>
      <c r="E18" s="524">
        <v>0.49741253256797791</v>
      </c>
      <c r="F18" s="525">
        <v>2003</v>
      </c>
      <c r="G18" s="36" t="s">
        <v>712</v>
      </c>
      <c r="I18" s="505"/>
    </row>
    <row r="19" spans="1:9" ht="14.5">
      <c r="A19" s="521" t="s">
        <v>732</v>
      </c>
      <c r="B19" s="504">
        <v>9617484</v>
      </c>
      <c r="C19" s="523">
        <v>100</v>
      </c>
      <c r="D19" s="524">
        <f t="shared" ref="D19:D24" si="1">IF(E19&lt;$B$211,$B$211,E19)</f>
        <v>0.271445631980896</v>
      </c>
      <c r="E19" s="524">
        <v>0.271445631980896</v>
      </c>
      <c r="F19" s="525">
        <v>2003</v>
      </c>
      <c r="I19" s="505"/>
    </row>
    <row r="20" spans="1:9" ht="14.5">
      <c r="A20" s="521" t="s">
        <v>733</v>
      </c>
      <c r="B20" s="504">
        <v>386838</v>
      </c>
      <c r="C20" s="523">
        <v>100</v>
      </c>
      <c r="D20" s="524">
        <f t="shared" si="1"/>
        <v>7.0945948362350464E-2</v>
      </c>
      <c r="E20" s="524">
        <v>7.0945948362350464E-2</v>
      </c>
      <c r="F20" s="525">
        <v>1998</v>
      </c>
      <c r="I20" s="505"/>
    </row>
    <row r="21" spans="1:9" ht="14.5">
      <c r="A21" s="521" t="s">
        <v>601</v>
      </c>
      <c r="B21" s="504">
        <v>1371855</v>
      </c>
      <c r="C21" s="523">
        <v>99.4</v>
      </c>
      <c r="D21" s="524">
        <f t="shared" si="1"/>
        <v>0.46278753876686096</v>
      </c>
      <c r="E21" s="524">
        <v>0.46278753876686096</v>
      </c>
      <c r="F21" s="525">
        <v>2004</v>
      </c>
      <c r="G21" s="36" t="s">
        <v>723</v>
      </c>
      <c r="I21" s="505"/>
    </row>
    <row r="22" spans="1:9" ht="14.5">
      <c r="A22" s="521" t="s">
        <v>602</v>
      </c>
      <c r="B22" s="504">
        <v>161200886</v>
      </c>
      <c r="C22" s="523">
        <v>41</v>
      </c>
      <c r="D22" s="524">
        <f t="shared" si="1"/>
        <v>1.69513039290905E-2</v>
      </c>
      <c r="E22" s="524">
        <v>1.69513039290905E-2</v>
      </c>
      <c r="F22" s="525">
        <v>2004</v>
      </c>
      <c r="G22" s="36" t="s">
        <v>723</v>
      </c>
      <c r="I22" s="505"/>
    </row>
    <row r="23" spans="1:9" ht="14.5">
      <c r="A23" s="521" t="s">
        <v>734</v>
      </c>
      <c r="B23" s="504">
        <v>284217</v>
      </c>
      <c r="C23" s="523">
        <v>100</v>
      </c>
      <c r="D23" s="524">
        <f t="shared" si="1"/>
        <v>0.23595505952835083</v>
      </c>
      <c r="E23" s="524">
        <v>0.23595505952835083</v>
      </c>
      <c r="F23" s="525">
        <v>1999</v>
      </c>
      <c r="I23" s="505"/>
    </row>
    <row r="24" spans="1:9" ht="14.5">
      <c r="A24" s="521" t="s">
        <v>735</v>
      </c>
      <c r="B24" s="504">
        <v>9485772</v>
      </c>
      <c r="C24" s="523">
        <v>78.3</v>
      </c>
      <c r="D24" s="524">
        <f t="shared" si="1"/>
        <v>0.43607881665229797</v>
      </c>
      <c r="E24" s="524">
        <v>0.43607881665229797</v>
      </c>
      <c r="F24" s="525">
        <v>2003</v>
      </c>
      <c r="I24" s="505"/>
    </row>
    <row r="25" spans="1:9" ht="14.5">
      <c r="A25" s="521" t="s">
        <v>603</v>
      </c>
      <c r="B25" s="504">
        <v>11287940</v>
      </c>
      <c r="C25" s="523">
        <v>100</v>
      </c>
      <c r="D25" s="524">
        <v>0.80827504396438599</v>
      </c>
      <c r="E25" s="524">
        <v>0.80827504396438599</v>
      </c>
      <c r="F25" s="525">
        <v>2002</v>
      </c>
      <c r="G25" s="36" t="s">
        <v>712</v>
      </c>
      <c r="I25" s="505"/>
    </row>
    <row r="26" spans="1:9" ht="14.5">
      <c r="A26" s="521" t="s">
        <v>736</v>
      </c>
      <c r="B26" s="504">
        <v>359288</v>
      </c>
      <c r="C26" s="523">
        <v>85</v>
      </c>
      <c r="D26" s="524">
        <f t="shared" ref="D26:D38" si="2">IF(E26&lt;$B$211,$B$211,E26)</f>
        <v>0.13333334028720856</v>
      </c>
      <c r="E26" s="524">
        <v>0.13333334028720856</v>
      </c>
      <c r="F26" s="525">
        <v>2000</v>
      </c>
      <c r="I26" s="505"/>
    </row>
    <row r="27" spans="1:9" ht="14.5">
      <c r="A27" s="521" t="s">
        <v>604</v>
      </c>
      <c r="B27" s="504">
        <v>10575952</v>
      </c>
      <c r="C27" s="523">
        <v>24.8</v>
      </c>
      <c r="D27" s="524">
        <f t="shared" si="2"/>
        <v>1.6919938474893571E-2</v>
      </c>
      <c r="E27" s="524">
        <v>1.7346054082736373E-3</v>
      </c>
      <c r="F27" s="525">
        <v>2004</v>
      </c>
      <c r="G27" s="3" t="s">
        <v>723</v>
      </c>
      <c r="I27" s="505"/>
    </row>
    <row r="28" spans="1:9" ht="14.5">
      <c r="A28" s="521" t="s">
        <v>737</v>
      </c>
      <c r="B28" s="504">
        <v>787386</v>
      </c>
      <c r="C28" s="523">
        <v>72</v>
      </c>
      <c r="D28" s="524">
        <f t="shared" si="2"/>
        <v>2.4946236982941628E-2</v>
      </c>
      <c r="E28" s="524">
        <v>2.4946236982941628E-2</v>
      </c>
      <c r="F28" s="525">
        <v>2004</v>
      </c>
      <c r="I28" s="505"/>
    </row>
    <row r="29" spans="1:9" ht="14.5">
      <c r="A29" s="521" t="s">
        <v>605</v>
      </c>
      <c r="B29" s="504">
        <v>10724705</v>
      </c>
      <c r="C29" s="523">
        <v>77.5</v>
      </c>
      <c r="D29" s="524">
        <f t="shared" si="2"/>
        <v>0.70710998773574829</v>
      </c>
      <c r="E29" s="524">
        <v>0.70710998773574829</v>
      </c>
      <c r="F29" s="525">
        <v>2001</v>
      </c>
      <c r="G29" s="3" t="s">
        <v>723</v>
      </c>
      <c r="I29" s="505"/>
    </row>
    <row r="30" spans="1:9" ht="14.5">
      <c r="A30" s="521" t="s">
        <v>738</v>
      </c>
      <c r="B30" s="504">
        <v>3535961</v>
      </c>
      <c r="C30" s="523">
        <v>98.5</v>
      </c>
      <c r="D30" s="524">
        <f t="shared" si="2"/>
        <v>0.16582551598548889</v>
      </c>
      <c r="E30" s="524">
        <v>0.16582551598548889</v>
      </c>
      <c r="F30" s="525">
        <v>2003</v>
      </c>
      <c r="I30" s="505"/>
    </row>
    <row r="31" spans="1:9" ht="14.5">
      <c r="A31" s="521" t="s">
        <v>606</v>
      </c>
      <c r="B31" s="504">
        <v>2209197</v>
      </c>
      <c r="C31" s="523">
        <v>45.4</v>
      </c>
      <c r="D31" s="524">
        <f t="shared" si="2"/>
        <v>2.1169915795326233E-2</v>
      </c>
      <c r="E31" s="524">
        <v>2.1169915795326233E-2</v>
      </c>
      <c r="F31" s="525">
        <v>2004</v>
      </c>
      <c r="G31" s="3" t="s">
        <v>723</v>
      </c>
      <c r="I31" s="505"/>
    </row>
    <row r="32" spans="1:9" ht="14.5">
      <c r="A32" s="521" t="s">
        <v>607</v>
      </c>
      <c r="B32" s="504">
        <v>205962108</v>
      </c>
      <c r="C32" s="523">
        <v>98.3</v>
      </c>
      <c r="D32" s="524">
        <f t="shared" si="2"/>
        <v>1.1085705757141113</v>
      </c>
      <c r="E32" s="524">
        <v>1.1085705757141113</v>
      </c>
      <c r="F32" s="525">
        <v>2000</v>
      </c>
      <c r="G32" s="3" t="s">
        <v>723</v>
      </c>
      <c r="I32" s="505"/>
    </row>
    <row r="33" spans="1:9" ht="14.5">
      <c r="A33" s="527" t="s">
        <v>608</v>
      </c>
      <c r="B33" s="504">
        <v>417542</v>
      </c>
      <c r="C33" s="523">
        <v>99.7</v>
      </c>
      <c r="D33" s="524">
        <f t="shared" si="2"/>
        <v>0.14371258020401001</v>
      </c>
      <c r="E33" s="524">
        <v>0.14371258020401001</v>
      </c>
      <c r="F33" s="525">
        <v>2000</v>
      </c>
      <c r="G33" s="3" t="s">
        <v>723</v>
      </c>
      <c r="I33" s="505"/>
    </row>
    <row r="34" spans="1:9" ht="14.5">
      <c r="A34" s="521" t="s">
        <v>739</v>
      </c>
      <c r="B34" s="504">
        <v>7177396</v>
      </c>
      <c r="C34" s="523">
        <v>99</v>
      </c>
      <c r="D34" s="524">
        <f t="shared" si="2"/>
        <v>0.81993162631988525</v>
      </c>
      <c r="E34" s="524">
        <v>0.81993162631988525</v>
      </c>
      <c r="F34" s="525">
        <v>2003</v>
      </c>
      <c r="G34" s="36"/>
      <c r="I34" s="505"/>
    </row>
    <row r="35" spans="1:9" ht="14.5">
      <c r="A35" s="521" t="s">
        <v>609</v>
      </c>
      <c r="B35" s="504">
        <v>18110624</v>
      </c>
      <c r="C35" s="523">
        <v>14.6</v>
      </c>
      <c r="D35" s="524">
        <f t="shared" si="2"/>
        <v>1.6919938474893571E-2</v>
      </c>
      <c r="E35" s="524">
        <v>4.3306206353008747E-3</v>
      </c>
      <c r="F35" s="525">
        <v>2004</v>
      </c>
      <c r="G35" s="36" t="s">
        <v>723</v>
      </c>
      <c r="I35" s="505"/>
    </row>
    <row r="36" spans="1:9" ht="14.5">
      <c r="A36" s="521" t="s">
        <v>740</v>
      </c>
      <c r="B36" s="504">
        <v>10199270</v>
      </c>
      <c r="C36" s="523">
        <v>3.9</v>
      </c>
      <c r="D36" s="524">
        <f t="shared" si="2"/>
        <v>1.6919938474893571E-2</v>
      </c>
      <c r="E36" s="524">
        <v>1.9807582721114159E-3</v>
      </c>
      <c r="F36" s="525">
        <v>2004</v>
      </c>
      <c r="I36" s="505"/>
    </row>
    <row r="37" spans="1:9" ht="14.5">
      <c r="A37" s="521" t="s">
        <v>610</v>
      </c>
      <c r="B37" s="504">
        <v>15517635</v>
      </c>
      <c r="C37" s="523">
        <v>24</v>
      </c>
      <c r="D37" s="524">
        <f t="shared" si="2"/>
        <v>1.6919938474893571E-2</v>
      </c>
      <c r="E37" s="524">
        <v>1.5897162258625031E-2</v>
      </c>
      <c r="F37" s="525">
        <v>2000</v>
      </c>
      <c r="G37" s="3" t="s">
        <v>723</v>
      </c>
      <c r="I37" s="505"/>
    </row>
    <row r="38" spans="1:9" ht="14.5">
      <c r="A38" s="521" t="s">
        <v>611</v>
      </c>
      <c r="B38" s="504">
        <v>22834522</v>
      </c>
      <c r="C38" s="523">
        <v>48.7</v>
      </c>
      <c r="D38" s="524">
        <f t="shared" si="2"/>
        <v>1.6919938474893571E-2</v>
      </c>
      <c r="E38" s="524">
        <v>9.020618163049221E-3</v>
      </c>
      <c r="F38" s="525">
        <v>2004</v>
      </c>
      <c r="G38" s="3" t="s">
        <v>723</v>
      </c>
      <c r="I38" s="505"/>
    </row>
    <row r="39" spans="1:9" ht="14.5">
      <c r="A39" s="521" t="s">
        <v>741</v>
      </c>
      <c r="B39" s="504">
        <v>35949709</v>
      </c>
      <c r="C39" s="523">
        <v>97.3</v>
      </c>
      <c r="D39" s="524">
        <v>0.58680844306945801</v>
      </c>
      <c r="E39" s="524">
        <v>0.58680844306945801</v>
      </c>
      <c r="F39" s="525">
        <v>2003</v>
      </c>
      <c r="G39" s="36" t="s">
        <v>712</v>
      </c>
      <c r="I39" s="505"/>
    </row>
    <row r="40" spans="1:9" ht="14.5">
      <c r="A40" s="521" t="s">
        <v>742</v>
      </c>
      <c r="B40" s="504">
        <v>532913</v>
      </c>
      <c r="C40" s="523">
        <v>67</v>
      </c>
      <c r="D40" s="524">
        <f>IF(E40&lt;$B$211,$B$211,E40)</f>
        <v>2.3255813866853714E-2</v>
      </c>
      <c r="E40" s="524">
        <v>2.3255813866853714E-2</v>
      </c>
      <c r="F40" s="525">
        <v>2004</v>
      </c>
      <c r="I40" s="505"/>
    </row>
    <row r="41" spans="1:9" ht="14.5">
      <c r="A41" s="527" t="s">
        <v>743</v>
      </c>
      <c r="B41" s="504">
        <v>4546100</v>
      </c>
      <c r="C41" s="523">
        <v>6</v>
      </c>
      <c r="D41" s="524">
        <f>IF(E41&lt;$B$211,$B$211,E41)</f>
        <v>1.6919938474893571E-2</v>
      </c>
      <c r="E41" s="524">
        <v>3.3231084235012531E-3</v>
      </c>
      <c r="F41" s="525">
        <v>2004</v>
      </c>
      <c r="I41" s="505"/>
    </row>
    <row r="42" spans="1:9" ht="14.5">
      <c r="A42" s="527" t="s">
        <v>744</v>
      </c>
      <c r="B42" s="504">
        <v>14009413</v>
      </c>
      <c r="C42" s="523">
        <v>3.5</v>
      </c>
      <c r="D42" s="524">
        <f>IF(E42&lt;$B$211,$B$211,E42)</f>
        <v>1.6919938474893571E-2</v>
      </c>
      <c r="E42" s="524">
        <v>1.6941495705395937E-3</v>
      </c>
      <c r="F42" s="525">
        <v>2004</v>
      </c>
      <c r="I42" s="505"/>
    </row>
    <row r="43" spans="1:9" ht="14.5">
      <c r="A43" s="521" t="s">
        <v>612</v>
      </c>
      <c r="B43" s="504">
        <v>17762681</v>
      </c>
      <c r="C43" s="523">
        <v>98.5</v>
      </c>
      <c r="D43" s="524">
        <v>0.42705300450325012</v>
      </c>
      <c r="E43" s="524">
        <v>0.42705300450325012</v>
      </c>
      <c r="F43" s="525">
        <v>2003</v>
      </c>
      <c r="G43" s="36" t="s">
        <v>724</v>
      </c>
      <c r="I43" s="505"/>
    </row>
    <row r="44" spans="1:9" ht="14.5">
      <c r="A44" s="521" t="s">
        <v>613</v>
      </c>
      <c r="B44" s="504">
        <v>1397028553</v>
      </c>
      <c r="C44" s="523">
        <v>99.4</v>
      </c>
      <c r="D44" s="524">
        <f t="shared" ref="D44:D53" si="3">IF(E44&lt;$B$211,$B$211,E44)</f>
        <v>0.10561773180961609</v>
      </c>
      <c r="E44" s="524">
        <v>0.10561773180961609</v>
      </c>
      <c r="F44" s="525">
        <v>2001</v>
      </c>
      <c r="G44" s="3" t="s">
        <v>723</v>
      </c>
    </row>
    <row r="45" spans="1:9" ht="14.5">
      <c r="A45" s="521" t="s">
        <v>815</v>
      </c>
      <c r="B45" s="504">
        <v>23485755</v>
      </c>
      <c r="C45" s="523">
        <v>99</v>
      </c>
      <c r="D45" s="524">
        <f t="shared" si="3"/>
        <v>0.40781129896640778</v>
      </c>
      <c r="E45" s="524">
        <f>($E$44+$E$95)/2</f>
        <v>0.40781129896640778</v>
      </c>
      <c r="F45" s="531"/>
    </row>
    <row r="46" spans="1:9" ht="14.5">
      <c r="A46" s="521" t="s">
        <v>614</v>
      </c>
      <c r="B46" s="504">
        <v>48228697</v>
      </c>
      <c r="C46" s="523">
        <v>93.6</v>
      </c>
      <c r="D46" s="524">
        <f t="shared" si="3"/>
        <v>0.78001654148101807</v>
      </c>
      <c r="E46" s="524">
        <v>0.78001654148101807</v>
      </c>
      <c r="F46" s="525">
        <v>2002</v>
      </c>
      <c r="G46" s="36" t="s">
        <v>723</v>
      </c>
    </row>
    <row r="47" spans="1:9" ht="14.5">
      <c r="A47" s="521" t="s">
        <v>745</v>
      </c>
      <c r="B47" s="528">
        <v>777424</v>
      </c>
      <c r="C47" s="523">
        <v>44.8</v>
      </c>
      <c r="D47" s="524">
        <f t="shared" si="3"/>
        <v>3.6708861589431763E-2</v>
      </c>
      <c r="E47" s="524">
        <v>3.6708861589431763E-2</v>
      </c>
      <c r="F47" s="525">
        <v>2004</v>
      </c>
    </row>
    <row r="48" spans="1:9" ht="14.5">
      <c r="A48" s="521" t="s">
        <v>747</v>
      </c>
      <c r="B48" s="504">
        <v>17449</v>
      </c>
      <c r="C48" s="523">
        <v>99</v>
      </c>
      <c r="D48" s="524">
        <f t="shared" si="3"/>
        <v>0.55555558204650879</v>
      </c>
      <c r="E48" s="524">
        <v>0.55555558204650879</v>
      </c>
      <c r="F48" s="525">
        <v>2001</v>
      </c>
    </row>
    <row r="49" spans="1:11" ht="14.5">
      <c r="A49" s="521" t="s">
        <v>615</v>
      </c>
      <c r="B49" s="504">
        <v>4807852</v>
      </c>
      <c r="C49" s="523">
        <v>99.3</v>
      </c>
      <c r="D49" s="524">
        <f t="shared" si="3"/>
        <v>0.48485618829727173</v>
      </c>
      <c r="E49" s="524">
        <v>0.48485618829727173</v>
      </c>
      <c r="F49" s="525">
        <v>2000</v>
      </c>
      <c r="G49" s="3" t="s">
        <v>723</v>
      </c>
    </row>
    <row r="50" spans="1:11" ht="14.5">
      <c r="A50" s="527" t="s">
        <v>616</v>
      </c>
      <c r="B50" s="504">
        <v>23108472</v>
      </c>
      <c r="C50" s="523">
        <v>47.3</v>
      </c>
      <c r="D50" s="524">
        <f t="shared" si="3"/>
        <v>2.0062733441591263E-2</v>
      </c>
      <c r="E50" s="524">
        <v>2.0062733441591263E-2</v>
      </c>
      <c r="F50" s="525">
        <v>2004</v>
      </c>
      <c r="G50" s="3" t="s">
        <v>723</v>
      </c>
    </row>
    <row r="51" spans="1:11" ht="14.5">
      <c r="A51" s="521" t="s">
        <v>748</v>
      </c>
      <c r="B51" s="504">
        <v>4236016</v>
      </c>
      <c r="C51" s="523">
        <v>99</v>
      </c>
      <c r="D51" s="524">
        <f t="shared" si="3"/>
        <v>0.69670277833938599</v>
      </c>
      <c r="E51" s="524">
        <v>0.69670277833938599</v>
      </c>
      <c r="F51" s="525">
        <v>2003</v>
      </c>
      <c r="G51" s="36"/>
      <c r="J51" s="506"/>
      <c r="K51" s="505"/>
    </row>
    <row r="52" spans="1:11" ht="14.5">
      <c r="A52" s="521" t="s">
        <v>617</v>
      </c>
      <c r="B52" s="504">
        <v>11461432</v>
      </c>
      <c r="C52" s="523">
        <v>97</v>
      </c>
      <c r="D52" s="524">
        <f t="shared" si="3"/>
        <v>0.87312573194503784</v>
      </c>
      <c r="E52" s="524">
        <v>0.87312573194503784</v>
      </c>
      <c r="F52" s="525">
        <v>2002</v>
      </c>
      <c r="G52" s="36" t="s">
        <v>723</v>
      </c>
      <c r="J52" s="506"/>
      <c r="K52" s="507"/>
    </row>
    <row r="53" spans="1:11" ht="14.5">
      <c r="A53" s="521" t="s">
        <v>749</v>
      </c>
      <c r="B53" s="504">
        <v>1160985</v>
      </c>
      <c r="C53" s="523">
        <v>99.5</v>
      </c>
      <c r="D53" s="524">
        <f t="shared" si="3"/>
        <v>0.81658291816711426</v>
      </c>
      <c r="E53" s="524">
        <v>0.81658291816711426</v>
      </c>
      <c r="F53" s="525">
        <v>2002</v>
      </c>
      <c r="J53" s="506"/>
      <c r="K53" s="507"/>
    </row>
    <row r="54" spans="1:11" ht="14.5">
      <c r="A54" s="521" t="s">
        <v>750</v>
      </c>
      <c r="B54" s="504">
        <v>10603762</v>
      </c>
      <c r="C54" s="523">
        <v>99</v>
      </c>
      <c r="D54" s="524">
        <v>0.65816724300384521</v>
      </c>
      <c r="E54" s="524">
        <v>0.65816724300384521</v>
      </c>
      <c r="F54" s="525">
        <v>2003</v>
      </c>
      <c r="G54" s="36" t="s">
        <v>712</v>
      </c>
      <c r="J54" s="506"/>
      <c r="K54" s="507"/>
    </row>
    <row r="55" spans="1:11" ht="14.5">
      <c r="A55" s="527" t="s">
        <v>618</v>
      </c>
      <c r="B55" s="504">
        <v>25243917</v>
      </c>
      <c r="C55" s="523">
        <v>26</v>
      </c>
      <c r="D55" s="524">
        <f>IF(E55&lt;$B$211,$B$211,E55)</f>
        <v>0.36688140034675598</v>
      </c>
      <c r="E55" s="524">
        <v>0.36688140034675598</v>
      </c>
      <c r="F55" s="525">
        <v>2003</v>
      </c>
      <c r="G55" s="36" t="s">
        <v>723</v>
      </c>
      <c r="J55" s="506"/>
      <c r="K55" s="505"/>
    </row>
    <row r="56" spans="1:11" ht="14.5">
      <c r="A56" s="527" t="s">
        <v>619</v>
      </c>
      <c r="B56" s="504">
        <v>76196619</v>
      </c>
      <c r="C56" s="523">
        <v>11.1</v>
      </c>
      <c r="D56" s="524">
        <f>IF(E56&lt;$B$211,$B$211,E56)</f>
        <v>1.6919938474893571E-2</v>
      </c>
      <c r="E56" s="524">
        <v>2.9218809213489294E-3</v>
      </c>
      <c r="F56" s="525">
        <v>2004</v>
      </c>
      <c r="G56" s="36" t="s">
        <v>723</v>
      </c>
      <c r="J56" s="506"/>
      <c r="K56" s="507"/>
    </row>
    <row r="57" spans="1:11">
      <c r="A57" s="521" t="s">
        <v>620</v>
      </c>
      <c r="B57" s="526">
        <v>5688695</v>
      </c>
      <c r="C57" s="523">
        <v>100</v>
      </c>
      <c r="D57" s="524">
        <v>0.82919079065322876</v>
      </c>
      <c r="E57" s="524">
        <v>0.82919079065322876</v>
      </c>
      <c r="F57" s="525">
        <v>2002</v>
      </c>
      <c r="G57" s="36" t="s">
        <v>712</v>
      </c>
      <c r="J57" s="506"/>
      <c r="K57" s="505"/>
    </row>
    <row r="58" spans="1:11">
      <c r="A58" s="527" t="s">
        <v>751</v>
      </c>
      <c r="B58" s="526">
        <v>927414</v>
      </c>
      <c r="C58" s="523">
        <v>62.2</v>
      </c>
      <c r="D58" s="524">
        <f t="shared" ref="D58:D69" si="4">IF(E58&lt;$B$211,$B$211,E58)</f>
        <v>1.6919938474893571E-2</v>
      </c>
      <c r="E58" s="524">
        <v>1.4044944196939468E-2</v>
      </c>
      <c r="F58" s="525">
        <v>2004</v>
      </c>
      <c r="G58" s="36"/>
      <c r="J58" s="506"/>
      <c r="K58" s="507"/>
    </row>
    <row r="59" spans="1:11">
      <c r="A59" s="527" t="s">
        <v>752</v>
      </c>
      <c r="B59" s="526">
        <v>73162</v>
      </c>
      <c r="C59" s="523">
        <v>87.7</v>
      </c>
      <c r="D59" s="524">
        <f t="shared" si="4"/>
        <v>5.2631579339504242E-2</v>
      </c>
      <c r="E59" s="524">
        <v>5.2631579339504242E-2</v>
      </c>
      <c r="F59" s="525">
        <v>1997</v>
      </c>
      <c r="G59" s="36"/>
      <c r="J59" s="506"/>
      <c r="K59" s="505"/>
    </row>
    <row r="60" spans="1:11" ht="14.5">
      <c r="A60" s="521" t="s">
        <v>621</v>
      </c>
      <c r="B60" s="504">
        <v>10528394</v>
      </c>
      <c r="C60" s="523">
        <v>95.9</v>
      </c>
      <c r="D60" s="524">
        <f t="shared" si="4"/>
        <v>0.83802229166030884</v>
      </c>
      <c r="E60" s="524">
        <v>0.83802229166030884</v>
      </c>
      <c r="F60" s="525">
        <v>2000</v>
      </c>
      <c r="G60" s="36" t="s">
        <v>723</v>
      </c>
      <c r="J60" s="506"/>
      <c r="K60" s="507"/>
    </row>
    <row r="61" spans="1:11" ht="14.5">
      <c r="A61" s="521" t="s">
        <v>622</v>
      </c>
      <c r="B61" s="504">
        <v>16144368</v>
      </c>
      <c r="C61" s="523">
        <v>92.2</v>
      </c>
      <c r="D61" s="524">
        <f t="shared" si="4"/>
        <v>0.16602253913879395</v>
      </c>
      <c r="E61" s="524">
        <v>0.16602253913879395</v>
      </c>
      <c r="F61" s="525">
        <v>2000</v>
      </c>
      <c r="G61" s="36" t="s">
        <v>723</v>
      </c>
      <c r="J61" s="506"/>
      <c r="K61" s="507"/>
    </row>
    <row r="62" spans="1:11" ht="14.5">
      <c r="A62" s="521" t="s">
        <v>623</v>
      </c>
      <c r="B62" s="504">
        <v>93778172</v>
      </c>
      <c r="C62" s="523">
        <v>99.6</v>
      </c>
      <c r="D62" s="524">
        <f t="shared" si="4"/>
        <v>0.13512739539146423</v>
      </c>
      <c r="E62" s="524">
        <v>0.13512739539146423</v>
      </c>
      <c r="F62" s="525">
        <v>2004</v>
      </c>
      <c r="G62" s="36" t="s">
        <v>723</v>
      </c>
      <c r="J62" s="506"/>
      <c r="K62" s="507"/>
    </row>
    <row r="63" spans="1:11" ht="14.5">
      <c r="A63" s="521" t="s">
        <v>624</v>
      </c>
      <c r="B63" s="504">
        <v>6312478</v>
      </c>
      <c r="C63" s="523">
        <v>86.4</v>
      </c>
      <c r="D63" s="524">
        <f t="shared" si="4"/>
        <v>0.54014027118682861</v>
      </c>
      <c r="E63" s="524">
        <v>0.54014027118682861</v>
      </c>
      <c r="F63" s="525">
        <v>2002</v>
      </c>
      <c r="G63" s="36" t="s">
        <v>723</v>
      </c>
      <c r="J63" s="506"/>
      <c r="K63" s="505"/>
    </row>
    <row r="64" spans="1:11" ht="14.5">
      <c r="A64" s="527" t="s">
        <v>817</v>
      </c>
      <c r="B64" s="504">
        <v>1175389</v>
      </c>
      <c r="C64" s="523">
        <f>C73</f>
        <v>34.299999999999997</v>
      </c>
      <c r="D64" s="524">
        <f t="shared" si="4"/>
        <v>2.958579920232296E-2</v>
      </c>
      <c r="E64" s="524">
        <v>2.958579920232296E-2</v>
      </c>
      <c r="F64" s="525">
        <v>2004</v>
      </c>
      <c r="J64" s="506"/>
      <c r="K64" s="505"/>
    </row>
    <row r="65" spans="1:11" ht="14.5">
      <c r="A65" s="527" t="s">
        <v>625</v>
      </c>
      <c r="B65" s="504">
        <v>4846976</v>
      </c>
      <c r="C65" s="523">
        <v>32</v>
      </c>
      <c r="D65" s="524">
        <f t="shared" si="4"/>
        <v>1.6919938474893571E-2</v>
      </c>
      <c r="E65" s="524">
        <v>3.7235280033200979E-3</v>
      </c>
      <c r="F65" s="525">
        <v>2004</v>
      </c>
      <c r="G65" s="3" t="s">
        <v>723</v>
      </c>
      <c r="J65" s="506"/>
      <c r="K65" s="507"/>
    </row>
    <row r="66" spans="1:11" ht="14.5">
      <c r="A66" s="521" t="s">
        <v>753</v>
      </c>
      <c r="B66" s="504">
        <v>1315321</v>
      </c>
      <c r="C66" s="523">
        <v>99</v>
      </c>
      <c r="D66" s="524">
        <f t="shared" si="4"/>
        <v>1.2779809236526489</v>
      </c>
      <c r="E66" s="524">
        <v>1.2779809236526489</v>
      </c>
      <c r="F66" s="525">
        <v>2000</v>
      </c>
      <c r="G66" s="36" t="s">
        <v>712</v>
      </c>
      <c r="J66" s="506"/>
      <c r="K66" s="507"/>
    </row>
    <row r="67" spans="1:11" ht="14.5">
      <c r="A67" s="729" t="s">
        <v>1127</v>
      </c>
      <c r="B67" s="504">
        <v>1319011</v>
      </c>
      <c r="C67" s="523">
        <v>27</v>
      </c>
      <c r="D67" s="524">
        <f t="shared" si="4"/>
        <v>2.9547553509473801E-2</v>
      </c>
      <c r="E67" s="524">
        <v>2.9547553509473801E-2</v>
      </c>
      <c r="F67" s="525">
        <v>2004</v>
      </c>
      <c r="G67" s="36"/>
      <c r="J67" s="506"/>
      <c r="K67" s="505"/>
    </row>
    <row r="68" spans="1:11" ht="14.5">
      <c r="A68" s="521" t="s">
        <v>820</v>
      </c>
      <c r="B68" s="517">
        <v>99873033</v>
      </c>
      <c r="C68" s="523">
        <v>41</v>
      </c>
      <c r="D68" s="524">
        <f t="shared" si="4"/>
        <v>1.6919938474893571E-2</v>
      </c>
      <c r="E68" s="524">
        <f>($E$65+$E$169)/2</f>
        <v>2.8280098340474069E-3</v>
      </c>
      <c r="F68" s="525"/>
      <c r="J68" s="506"/>
      <c r="K68" s="505"/>
    </row>
    <row r="69" spans="1:11" ht="14.5">
      <c r="A69" s="521" t="s">
        <v>626</v>
      </c>
      <c r="B69" s="504">
        <v>892149</v>
      </c>
      <c r="C69" s="523">
        <v>87</v>
      </c>
      <c r="D69" s="524">
        <f t="shared" si="4"/>
        <v>3.9751552045345306E-2</v>
      </c>
      <c r="E69" s="524">
        <v>3.9751552045345306E-2</v>
      </c>
      <c r="F69" s="525">
        <v>1999</v>
      </c>
      <c r="G69" s="36" t="s">
        <v>712</v>
      </c>
    </row>
    <row r="70" spans="1:11" ht="14.5">
      <c r="A70" s="521" t="s">
        <v>627</v>
      </c>
      <c r="B70" s="504">
        <v>5481966</v>
      </c>
      <c r="C70" s="523">
        <v>100</v>
      </c>
      <c r="D70" s="524">
        <v>1.2842024564743042</v>
      </c>
      <c r="E70" s="524">
        <v>1.2842024564743042</v>
      </c>
      <c r="F70" s="525">
        <v>2002</v>
      </c>
      <c r="G70" s="36" t="s">
        <v>712</v>
      </c>
    </row>
    <row r="71" spans="1:11" ht="14.5">
      <c r="A71" s="521" t="s">
        <v>628</v>
      </c>
      <c r="B71" s="504">
        <v>64457201</v>
      </c>
      <c r="C71" s="523">
        <v>100</v>
      </c>
      <c r="D71" s="524">
        <v>0.67683756351470947</v>
      </c>
      <c r="E71" s="524">
        <v>0.67683756351470947</v>
      </c>
      <c r="F71" s="525">
        <v>2004</v>
      </c>
      <c r="G71" s="36" t="s">
        <v>723</v>
      </c>
    </row>
    <row r="72" spans="1:11" ht="14.5">
      <c r="A72" s="527" t="s">
        <v>629</v>
      </c>
      <c r="B72" s="504">
        <v>1930175</v>
      </c>
      <c r="C72" s="523">
        <v>36.700000000000003</v>
      </c>
      <c r="D72" s="524">
        <f>IF(E72&lt;$B$211,$B$211,E72)</f>
        <v>4.8852700740098953E-2</v>
      </c>
      <c r="E72" s="524">
        <v>4.8852700740098953E-2</v>
      </c>
      <c r="F72" s="525">
        <v>2004</v>
      </c>
    </row>
    <row r="73" spans="1:11" ht="14.5">
      <c r="A73" s="527" t="s">
        <v>754</v>
      </c>
      <c r="B73" s="504">
        <v>1977590</v>
      </c>
      <c r="C73" s="523">
        <v>34.299999999999997</v>
      </c>
      <c r="D73" s="524">
        <f>IF(E73&lt;$B$211,$B$211,E73)</f>
        <v>3.0154278501868248E-2</v>
      </c>
      <c r="E73" s="524">
        <v>3.0154278501868248E-2</v>
      </c>
      <c r="F73" s="525">
        <v>2003</v>
      </c>
      <c r="G73" s="36"/>
    </row>
    <row r="74" spans="1:11" ht="14.5">
      <c r="A74" s="521" t="s">
        <v>755</v>
      </c>
      <c r="B74" s="504">
        <v>3951524</v>
      </c>
      <c r="C74" s="523">
        <v>99.9</v>
      </c>
      <c r="D74" s="524">
        <f>IF(E74&lt;$B$211,$B$211,E74)</f>
        <v>0.28053063154220581</v>
      </c>
      <c r="E74" s="524">
        <v>0.28053063154220581</v>
      </c>
      <c r="F74" s="525">
        <v>2003</v>
      </c>
      <c r="G74" s="36" t="s">
        <v>712</v>
      </c>
    </row>
    <row r="75" spans="1:11" ht="14.5">
      <c r="A75" s="521" t="s">
        <v>630</v>
      </c>
      <c r="B75" s="504">
        <v>81707789</v>
      </c>
      <c r="C75" s="523">
        <v>100</v>
      </c>
      <c r="D75" s="524">
        <v>0.78336727619171143</v>
      </c>
      <c r="E75" s="524">
        <v>0.78336727619171143</v>
      </c>
      <c r="F75" s="525">
        <v>2003</v>
      </c>
      <c r="G75" s="36" t="s">
        <v>723</v>
      </c>
    </row>
    <row r="76" spans="1:11" ht="14.5">
      <c r="A76" s="521" t="s">
        <v>631</v>
      </c>
      <c r="B76" s="504">
        <v>27582821</v>
      </c>
      <c r="C76" s="523">
        <v>60.5</v>
      </c>
      <c r="D76" s="524">
        <f>IF(E76&lt;$B$211,$B$211,E76)</f>
        <v>1.8384244292974472E-2</v>
      </c>
      <c r="E76" s="524">
        <v>1.8384244292974472E-2</v>
      </c>
      <c r="F76" s="525">
        <v>2004</v>
      </c>
      <c r="G76" s="36" t="s">
        <v>712</v>
      </c>
    </row>
    <row r="77" spans="1:11" ht="14.5">
      <c r="A77" s="521" t="s">
        <v>632</v>
      </c>
      <c r="B77" s="504">
        <v>11217800</v>
      </c>
      <c r="C77" s="523">
        <v>100</v>
      </c>
      <c r="D77" s="524">
        <v>1.1321823596954346</v>
      </c>
      <c r="E77" s="524">
        <v>1.1321823596954346</v>
      </c>
      <c r="F77" s="525">
        <v>2001</v>
      </c>
    </row>
    <row r="78" spans="1:11" ht="14.5">
      <c r="A78" s="527" t="s">
        <v>756</v>
      </c>
      <c r="B78" s="504">
        <v>106823</v>
      </c>
      <c r="C78" s="523">
        <v>99.5</v>
      </c>
      <c r="D78" s="524">
        <f t="shared" ref="D78:D84" si="5">IF(E78&lt;$B$211,$B$211,E78)</f>
        <v>8.5365854203701019E-2</v>
      </c>
      <c r="E78" s="524">
        <v>8.5365854203701019E-2</v>
      </c>
      <c r="F78" s="525">
        <v>1997</v>
      </c>
      <c r="G78" s="3" t="s">
        <v>723</v>
      </c>
    </row>
    <row r="79" spans="1:11" ht="14.5">
      <c r="A79" s="521" t="s">
        <v>633</v>
      </c>
      <c r="B79" s="504">
        <v>16252429</v>
      </c>
      <c r="C79" s="523">
        <v>80.5</v>
      </c>
      <c r="D79" s="524">
        <f t="shared" si="5"/>
        <v>0.18397626280784607</v>
      </c>
      <c r="E79" s="524">
        <v>0.18397626280784607</v>
      </c>
      <c r="F79" s="525">
        <v>1999</v>
      </c>
    </row>
    <row r="80" spans="1:11" ht="14.5">
      <c r="A80" s="521" t="s">
        <v>757</v>
      </c>
      <c r="B80" s="504">
        <v>12091533</v>
      </c>
      <c r="C80" s="523">
        <v>20.2</v>
      </c>
      <c r="D80" s="524">
        <f t="shared" si="5"/>
        <v>1.6919938474893571E-2</v>
      </c>
      <c r="E80" s="524">
        <v>6.9605568423867226E-3</v>
      </c>
      <c r="F80" s="525">
        <v>2004</v>
      </c>
    </row>
    <row r="81" spans="1:7" ht="14.5">
      <c r="A81" s="521" t="s">
        <v>758</v>
      </c>
      <c r="B81" s="504">
        <v>1770526</v>
      </c>
      <c r="C81" s="523">
        <v>53.5</v>
      </c>
      <c r="D81" s="524">
        <f t="shared" si="5"/>
        <v>1.6919938474893571E-2</v>
      </c>
      <c r="E81" s="524">
        <v>1.430429145693779E-2</v>
      </c>
      <c r="F81" s="525">
        <v>2004</v>
      </c>
    </row>
    <row r="82" spans="1:7" ht="14.5">
      <c r="A82" s="521" t="s">
        <v>759</v>
      </c>
      <c r="B82" s="504">
        <v>768514</v>
      </c>
      <c r="C82" s="523">
        <v>77.5</v>
      </c>
      <c r="D82" s="524">
        <f t="shared" si="5"/>
        <v>3.9525691419839859E-2</v>
      </c>
      <c r="E82" s="524">
        <v>3.9525691419839859E-2</v>
      </c>
      <c r="F82" s="525">
        <v>2000</v>
      </c>
      <c r="G82" s="3" t="s">
        <v>723</v>
      </c>
    </row>
    <row r="83" spans="1:7" ht="14.5">
      <c r="A83" s="521" t="s">
        <v>634</v>
      </c>
      <c r="B83" s="504">
        <v>10711061</v>
      </c>
      <c r="C83" s="523">
        <v>38.5</v>
      </c>
      <c r="D83" s="524">
        <f t="shared" si="5"/>
        <v>1.6919938474893571E-2</v>
      </c>
      <c r="E83" s="524">
        <v>1.2055918574333191E-2</v>
      </c>
      <c r="F83" s="525">
        <v>1998</v>
      </c>
      <c r="G83" s="3" t="s">
        <v>723</v>
      </c>
    </row>
    <row r="84" spans="1:7" ht="14.5">
      <c r="A84" s="521" t="s">
        <v>635</v>
      </c>
      <c r="B84" s="504">
        <v>8960829</v>
      </c>
      <c r="C84" s="523">
        <v>70.3</v>
      </c>
      <c r="D84" s="524">
        <f t="shared" si="5"/>
        <v>0.21232770383358002</v>
      </c>
      <c r="E84" s="524">
        <v>0.21232770383358002</v>
      </c>
      <c r="F84" s="525">
        <v>2000</v>
      </c>
      <c r="G84" s="36" t="s">
        <v>712</v>
      </c>
    </row>
    <row r="85" spans="1:7" ht="14.5">
      <c r="A85" s="521" t="s">
        <v>760</v>
      </c>
      <c r="B85" s="504">
        <v>9783925</v>
      </c>
      <c r="C85" s="523">
        <v>99</v>
      </c>
      <c r="D85" s="524">
        <v>0.54307985305786133</v>
      </c>
      <c r="E85" s="524">
        <v>0.54307985305786133</v>
      </c>
      <c r="F85" s="525">
        <v>2003</v>
      </c>
      <c r="G85" s="36" t="s">
        <v>712</v>
      </c>
    </row>
    <row r="86" spans="1:7" ht="14.5">
      <c r="A86" s="521" t="s">
        <v>636</v>
      </c>
      <c r="B86" s="504">
        <v>330243</v>
      </c>
      <c r="C86" s="523">
        <v>100</v>
      </c>
      <c r="D86" s="524">
        <v>1.0035461187362671</v>
      </c>
      <c r="E86" s="524">
        <v>1.0035461187362671</v>
      </c>
      <c r="F86" s="525">
        <v>2000</v>
      </c>
      <c r="G86" s="36" t="s">
        <v>723</v>
      </c>
    </row>
    <row r="87" spans="1:7" ht="14.5">
      <c r="A87" s="521" t="s">
        <v>637</v>
      </c>
      <c r="B87" s="504">
        <v>1309053980</v>
      </c>
      <c r="C87" s="523">
        <v>75</v>
      </c>
      <c r="D87" s="524">
        <f>IF(E87&lt;$B$211,$B$211,E87)</f>
        <v>5.6809425354003906E-2</v>
      </c>
      <c r="E87" s="524">
        <v>5.6809425354003906E-2</v>
      </c>
      <c r="F87" s="525">
        <v>2004</v>
      </c>
      <c r="G87" s="36" t="s">
        <v>723</v>
      </c>
    </row>
    <row r="88" spans="1:7" ht="14.5">
      <c r="A88" s="521" t="s">
        <v>638</v>
      </c>
      <c r="B88" s="504">
        <v>258162113</v>
      </c>
      <c r="C88" s="523">
        <v>64.5</v>
      </c>
      <c r="D88" s="524">
        <f>IF(E88&lt;$B$211,$B$211,E88)</f>
        <v>3.1362134963274002E-2</v>
      </c>
      <c r="E88" s="524">
        <v>3.1362134963274002E-2</v>
      </c>
      <c r="F88" s="525">
        <v>2003</v>
      </c>
      <c r="G88" s="36" t="s">
        <v>723</v>
      </c>
    </row>
    <row r="89" spans="1:7" ht="14.5">
      <c r="A89" s="521" t="s">
        <v>639</v>
      </c>
      <c r="B89" s="504">
        <v>79360487</v>
      </c>
      <c r="C89" s="523">
        <v>98.4</v>
      </c>
      <c r="D89" s="524">
        <f>IF(E89&lt;$B$211,$B$211,E89)</f>
        <v>9.438449889421463E-2</v>
      </c>
      <c r="E89" s="524">
        <v>9.438449889421463E-2</v>
      </c>
      <c r="F89" s="525">
        <v>2004</v>
      </c>
      <c r="G89" s="36" t="s">
        <v>723</v>
      </c>
    </row>
    <row r="90" spans="1:7" ht="14.5">
      <c r="A90" s="527" t="s">
        <v>640</v>
      </c>
      <c r="B90" s="504">
        <v>36115649</v>
      </c>
      <c r="C90" s="523">
        <v>86</v>
      </c>
      <c r="D90" s="524">
        <f>IF(E90&lt;$B$211,$B$211,E90)</f>
        <v>0.44434559345245361</v>
      </c>
      <c r="E90" s="524">
        <v>0.44434559345245361</v>
      </c>
      <c r="F90" s="525">
        <v>2004</v>
      </c>
      <c r="G90" s="36" t="s">
        <v>712</v>
      </c>
    </row>
    <row r="91" spans="1:7" ht="14.5">
      <c r="A91" s="521" t="s">
        <v>641</v>
      </c>
      <c r="B91" s="504">
        <v>4700107</v>
      </c>
      <c r="C91" s="523">
        <v>100</v>
      </c>
      <c r="D91" s="524">
        <v>0.55938982963562012</v>
      </c>
      <c r="E91" s="524">
        <v>0.55938982963562012</v>
      </c>
      <c r="F91" s="525">
        <v>2004</v>
      </c>
      <c r="G91" s="36" t="s">
        <v>724</v>
      </c>
    </row>
    <row r="92" spans="1:7" ht="14.5">
      <c r="A92" s="521" t="s">
        <v>642</v>
      </c>
      <c r="B92" s="504">
        <v>8064547</v>
      </c>
      <c r="C92" s="523">
        <v>99.7</v>
      </c>
      <c r="D92" s="524">
        <v>1.1674180030822754</v>
      </c>
      <c r="E92" s="524">
        <v>1.1674180030822754</v>
      </c>
      <c r="F92" s="525">
        <v>2003</v>
      </c>
      <c r="G92" s="36" t="s">
        <v>712</v>
      </c>
    </row>
    <row r="93" spans="1:7" ht="14.5">
      <c r="A93" s="521" t="s">
        <v>643</v>
      </c>
      <c r="B93" s="504">
        <v>59504212</v>
      </c>
      <c r="C93" s="523">
        <v>100</v>
      </c>
      <c r="D93" s="524">
        <v>0.5754542350769043</v>
      </c>
      <c r="E93" s="524">
        <v>0.5754542350769043</v>
      </c>
      <c r="F93" s="525">
        <v>2004</v>
      </c>
      <c r="G93" s="36" t="s">
        <v>723</v>
      </c>
    </row>
    <row r="94" spans="1:7" ht="14.5">
      <c r="A94" s="521" t="s">
        <v>644</v>
      </c>
      <c r="B94" s="504">
        <v>2871934</v>
      </c>
      <c r="C94" s="523">
        <v>92</v>
      </c>
      <c r="D94" s="524">
        <f>IF(E94&lt;$B$211,$B$211,E94)</f>
        <v>7.9969823360443115E-2</v>
      </c>
      <c r="E94" s="524">
        <v>7.9969823360443115E-2</v>
      </c>
      <c r="F94" s="525">
        <v>2003</v>
      </c>
      <c r="G94" s="36" t="s">
        <v>712</v>
      </c>
    </row>
    <row r="95" spans="1:7" ht="14.5">
      <c r="A95" s="521" t="s">
        <v>761</v>
      </c>
      <c r="B95" s="504">
        <v>127974958</v>
      </c>
      <c r="C95" s="523">
        <v>100</v>
      </c>
      <c r="D95" s="524">
        <v>0.71000486612319946</v>
      </c>
      <c r="E95" s="524">
        <v>0.71000486612319946</v>
      </c>
      <c r="F95" s="525">
        <v>2002</v>
      </c>
      <c r="G95" s="36" t="s">
        <v>723</v>
      </c>
    </row>
    <row r="96" spans="1:7" ht="14.5">
      <c r="A96" s="521" t="s">
        <v>645</v>
      </c>
      <c r="B96" s="504">
        <v>9159302</v>
      </c>
      <c r="C96" s="523">
        <v>99.9</v>
      </c>
      <c r="D96" s="524">
        <f t="shared" ref="D96:D108" si="6">IF(E96&lt;$B$211,$B$211,E96)</f>
        <v>1.2949768304824829</v>
      </c>
      <c r="E96" s="524">
        <v>1.2949768304824829</v>
      </c>
      <c r="F96" s="525">
        <v>2004</v>
      </c>
    </row>
    <row r="97" spans="1:7" ht="14.5">
      <c r="A97" s="521" t="s">
        <v>762</v>
      </c>
      <c r="B97" s="504">
        <v>17749648</v>
      </c>
      <c r="C97" s="523">
        <v>72.7</v>
      </c>
      <c r="D97" s="524">
        <f t="shared" si="6"/>
        <v>0.33791226148605347</v>
      </c>
      <c r="E97" s="524">
        <v>0.33791226148605347</v>
      </c>
      <c r="F97" s="525">
        <v>2003</v>
      </c>
      <c r="G97" s="3" t="s">
        <v>723</v>
      </c>
    </row>
    <row r="98" spans="1:7" ht="14.5">
      <c r="A98" s="521" t="s">
        <v>646</v>
      </c>
      <c r="B98" s="504">
        <v>47236259</v>
      </c>
      <c r="C98" s="523">
        <v>16.100000000000001</v>
      </c>
      <c r="D98" s="524">
        <f t="shared" si="6"/>
        <v>4.1332509368658066E-2</v>
      </c>
      <c r="E98" s="524">
        <v>4.1332509368658066E-2</v>
      </c>
      <c r="F98" s="525">
        <v>2004</v>
      </c>
    </row>
    <row r="99" spans="1:7" ht="14.5">
      <c r="A99" s="527" t="s">
        <v>818</v>
      </c>
      <c r="B99" s="504">
        <v>112407</v>
      </c>
      <c r="C99" s="523">
        <f>C120</f>
        <v>95</v>
      </c>
      <c r="D99" s="524">
        <f t="shared" si="6"/>
        <v>4.9382716417312622E-2</v>
      </c>
      <c r="E99" s="524">
        <v>4.9382716417312622E-2</v>
      </c>
      <c r="F99" s="525">
        <v>1998</v>
      </c>
      <c r="G99" s="36" t="s">
        <v>723</v>
      </c>
    </row>
    <row r="100" spans="1:7" ht="14.5">
      <c r="A100" s="521" t="s">
        <v>647</v>
      </c>
      <c r="B100" s="504">
        <v>3935794</v>
      </c>
      <c r="C100" s="523">
        <v>100</v>
      </c>
      <c r="D100" s="524">
        <f t="shared" si="6"/>
        <v>0.28601783514022827</v>
      </c>
      <c r="E100" s="524">
        <v>0.28601783514022827</v>
      </c>
      <c r="F100" s="525">
        <v>2001</v>
      </c>
    </row>
    <row r="101" spans="1:7" ht="14.5">
      <c r="A101" s="521" t="s">
        <v>648</v>
      </c>
      <c r="B101" s="504">
        <v>5865401</v>
      </c>
      <c r="C101" s="523">
        <v>100</v>
      </c>
      <c r="D101" s="524">
        <f t="shared" si="6"/>
        <v>0.19307123124599457</v>
      </c>
      <c r="E101" s="524">
        <v>0.19307123124599457</v>
      </c>
      <c r="F101" s="525">
        <v>2003</v>
      </c>
      <c r="G101" s="3" t="s">
        <v>723</v>
      </c>
    </row>
    <row r="102" spans="1:7" ht="14.5">
      <c r="A102" s="521" t="s">
        <v>649</v>
      </c>
      <c r="B102" s="504">
        <v>6663967</v>
      </c>
      <c r="C102" s="523">
        <v>55</v>
      </c>
      <c r="D102" s="524">
        <f t="shared" si="6"/>
        <v>4.0824826806783676E-2</v>
      </c>
      <c r="E102" s="524">
        <v>4.0824826806783676E-2</v>
      </c>
      <c r="F102" s="525">
        <v>1996</v>
      </c>
      <c r="G102" s="36"/>
    </row>
    <row r="103" spans="1:7" ht="14.5">
      <c r="A103" s="521" t="s">
        <v>763</v>
      </c>
      <c r="B103" s="504">
        <v>1992663</v>
      </c>
      <c r="C103" s="523">
        <v>98</v>
      </c>
      <c r="D103" s="524">
        <f t="shared" si="6"/>
        <v>0.55786734819412231</v>
      </c>
      <c r="E103" s="524">
        <v>0.55786734819412231</v>
      </c>
      <c r="F103" s="525">
        <v>2003</v>
      </c>
      <c r="G103" s="3" t="s">
        <v>723</v>
      </c>
    </row>
    <row r="104" spans="1:7" ht="14.5">
      <c r="A104" s="527" t="s">
        <v>650</v>
      </c>
      <c r="B104" s="504">
        <v>5851479</v>
      </c>
      <c r="C104" s="523">
        <v>99.9</v>
      </c>
      <c r="D104" s="524">
        <f t="shared" si="6"/>
        <v>1.2109131813049316</v>
      </c>
      <c r="E104" s="524">
        <v>1.2109131813049316</v>
      </c>
      <c r="F104" s="525">
        <v>2001</v>
      </c>
      <c r="G104" s="3" t="s">
        <v>723</v>
      </c>
    </row>
    <row r="105" spans="1:7" ht="14.5">
      <c r="A105" s="521" t="s">
        <v>651</v>
      </c>
      <c r="B105" s="504">
        <v>2174645</v>
      </c>
      <c r="C105" s="523">
        <v>16</v>
      </c>
      <c r="D105" s="524">
        <f t="shared" si="6"/>
        <v>1.6919938474893571E-2</v>
      </c>
      <c r="E105" s="524">
        <v>8.8790236040949821E-3</v>
      </c>
      <c r="F105" s="525">
        <v>2003</v>
      </c>
    </row>
    <row r="106" spans="1:7" ht="14.5">
      <c r="A106" s="527" t="s">
        <v>764</v>
      </c>
      <c r="B106" s="504">
        <v>4499621</v>
      </c>
      <c r="C106" s="523">
        <v>1.9</v>
      </c>
      <c r="D106" s="524">
        <f t="shared" si="6"/>
        <v>1.6919938474893571E-2</v>
      </c>
      <c r="E106" s="524">
        <v>3.7281331606209278E-3</v>
      </c>
      <c r="F106" s="525">
        <v>2004</v>
      </c>
      <c r="G106" s="3" t="s">
        <v>723</v>
      </c>
    </row>
    <row r="107" spans="1:7" ht="14.5">
      <c r="A107" s="527" t="s">
        <v>652</v>
      </c>
      <c r="B107" s="504">
        <v>6234955</v>
      </c>
      <c r="C107" s="523">
        <v>99.8</v>
      </c>
      <c r="D107" s="524">
        <f t="shared" si="6"/>
        <v>0.14031180739402771</v>
      </c>
      <c r="E107" s="524">
        <v>0.14031180739402771</v>
      </c>
      <c r="F107" s="525">
        <v>1997</v>
      </c>
      <c r="G107" s="36"/>
    </row>
    <row r="108" spans="1:7" ht="14.5">
      <c r="A108" s="521" t="s">
        <v>765</v>
      </c>
      <c r="B108" s="504">
        <v>2931926</v>
      </c>
      <c r="C108" s="523">
        <v>99</v>
      </c>
      <c r="D108" s="524">
        <f t="shared" si="6"/>
        <v>0.68873405456542969</v>
      </c>
      <c r="E108" s="524">
        <v>0.68873405456542969</v>
      </c>
      <c r="F108" s="525">
        <v>2003</v>
      </c>
      <c r="G108" s="36" t="s">
        <v>712</v>
      </c>
    </row>
    <row r="109" spans="1:7" ht="14.5">
      <c r="A109" s="521" t="s">
        <v>653</v>
      </c>
      <c r="B109" s="504">
        <v>566741</v>
      </c>
      <c r="C109" s="523">
        <v>100</v>
      </c>
      <c r="D109" s="524">
        <v>0.71302425861358643</v>
      </c>
      <c r="E109" s="524">
        <v>0.71302425861358643</v>
      </c>
      <c r="F109" s="525">
        <v>2003</v>
      </c>
      <c r="G109" s="36" t="s">
        <v>723</v>
      </c>
    </row>
    <row r="110" spans="1:7" ht="14.5">
      <c r="A110" s="521" t="s">
        <v>654</v>
      </c>
      <c r="B110" s="504">
        <v>24234088</v>
      </c>
      <c r="C110" s="523">
        <v>19</v>
      </c>
      <c r="D110" s="524">
        <f t="shared" ref="D110:D118" si="7">IF(E110&lt;$B$211,$B$211,E110)</f>
        <v>2.2903747856616974E-2</v>
      </c>
      <c r="E110" s="524">
        <v>2.2903747856616974E-2</v>
      </c>
      <c r="F110" s="525">
        <v>2004</v>
      </c>
      <c r="G110" s="36" t="s">
        <v>723</v>
      </c>
    </row>
    <row r="111" spans="1:7" ht="14.5">
      <c r="A111" s="521" t="s">
        <v>826</v>
      </c>
      <c r="B111" s="504">
        <v>17573607</v>
      </c>
      <c r="C111" s="523">
        <v>9</v>
      </c>
      <c r="D111" s="524">
        <f t="shared" si="7"/>
        <v>1.6919938474893571E-2</v>
      </c>
      <c r="E111" s="524">
        <f>$E$125</f>
        <v>8.2890205085277557E-3</v>
      </c>
      <c r="F111" s="522"/>
      <c r="G111" s="36" t="s">
        <v>723</v>
      </c>
    </row>
    <row r="112" spans="1:7" ht="14.5">
      <c r="A112" s="521" t="s">
        <v>655</v>
      </c>
      <c r="B112" s="504">
        <v>30723155</v>
      </c>
      <c r="C112" s="523">
        <v>99.4</v>
      </c>
      <c r="D112" s="524">
        <f t="shared" si="7"/>
        <v>9.3213342130184174E-2</v>
      </c>
      <c r="E112" s="524">
        <v>9.3213342130184174E-2</v>
      </c>
      <c r="F112" s="525">
        <v>2000</v>
      </c>
    </row>
    <row r="113" spans="1:11" ht="14.5">
      <c r="A113" s="521" t="s">
        <v>766</v>
      </c>
      <c r="B113" s="504">
        <v>418403</v>
      </c>
      <c r="C113" s="523">
        <v>99.8</v>
      </c>
      <c r="D113" s="524">
        <f t="shared" si="7"/>
        <v>4.268292710185051E-2</v>
      </c>
      <c r="E113" s="524">
        <v>4.268292710185051E-2</v>
      </c>
      <c r="F113" s="525">
        <v>2004</v>
      </c>
    </row>
    <row r="114" spans="1:11" ht="14.5">
      <c r="A114" s="527" t="s">
        <v>767</v>
      </c>
      <c r="B114" s="504">
        <v>17467905</v>
      </c>
      <c r="C114" s="523">
        <v>16.600000000000001</v>
      </c>
      <c r="D114" s="524">
        <f t="shared" si="7"/>
        <v>1.6919938474893571E-2</v>
      </c>
      <c r="E114" s="524">
        <v>6.2644490972161293E-3</v>
      </c>
      <c r="F114" s="525">
        <v>2004</v>
      </c>
      <c r="G114" s="36"/>
      <c r="J114" s="506"/>
      <c r="K114" s="507"/>
    </row>
    <row r="115" spans="1:11" ht="14.5">
      <c r="A115" s="521" t="s">
        <v>656</v>
      </c>
      <c r="B115" s="504">
        <v>427616</v>
      </c>
      <c r="C115" s="523">
        <v>100</v>
      </c>
      <c r="D115" s="524">
        <f t="shared" si="7"/>
        <v>0.42385786771774292</v>
      </c>
      <c r="E115" s="524">
        <v>0.42385786771774292</v>
      </c>
      <c r="F115" s="525">
        <v>2003</v>
      </c>
      <c r="J115" s="506"/>
      <c r="K115" s="507"/>
    </row>
    <row r="116" spans="1:11" ht="14.5">
      <c r="A116" s="521" t="s">
        <v>768</v>
      </c>
      <c r="B116" s="504">
        <v>52994</v>
      </c>
      <c r="C116" s="523">
        <v>68.5</v>
      </c>
      <c r="D116" s="524">
        <f t="shared" si="7"/>
        <v>7.8431375324726105E-2</v>
      </c>
      <c r="E116" s="524">
        <v>7.8431375324726105E-2</v>
      </c>
      <c r="F116" s="525">
        <v>2000</v>
      </c>
      <c r="J116" s="506"/>
      <c r="K116" s="507"/>
    </row>
    <row r="117" spans="1:11" ht="14.5">
      <c r="A117" s="521" t="s">
        <v>769</v>
      </c>
      <c r="B117" s="504">
        <v>4182341.0000000005</v>
      </c>
      <c r="C117" s="523">
        <v>19</v>
      </c>
      <c r="D117" s="524">
        <f t="shared" si="7"/>
        <v>2.1476510912179947E-2</v>
      </c>
      <c r="E117" s="524">
        <v>2.1476510912179947E-2</v>
      </c>
      <c r="F117" s="525">
        <v>2004</v>
      </c>
      <c r="G117" s="3" t="s">
        <v>723</v>
      </c>
      <c r="J117" s="506"/>
      <c r="K117" s="505"/>
    </row>
    <row r="118" spans="1:11" ht="14.5">
      <c r="A118" s="521" t="s">
        <v>657</v>
      </c>
      <c r="B118" s="504">
        <v>1259456</v>
      </c>
      <c r="C118" s="523">
        <v>99.4</v>
      </c>
      <c r="D118" s="524">
        <f t="shared" si="7"/>
        <v>0.18896998465061188</v>
      </c>
      <c r="E118" s="524">
        <v>0.18896998465061188</v>
      </c>
      <c r="F118" s="525">
        <v>2004</v>
      </c>
      <c r="G118" s="36" t="s">
        <v>712</v>
      </c>
      <c r="J118" s="506"/>
      <c r="K118" s="507"/>
    </row>
    <row r="119" spans="1:11" ht="14.5">
      <c r="A119" s="521" t="s">
        <v>770</v>
      </c>
      <c r="B119" s="504">
        <v>125890949</v>
      </c>
      <c r="C119" s="523">
        <v>97</v>
      </c>
      <c r="D119" s="524">
        <v>0.79125267267227173</v>
      </c>
      <c r="E119" s="524">
        <v>0.79125267267227173</v>
      </c>
      <c r="F119" s="525">
        <v>2000</v>
      </c>
      <c r="J119" s="506"/>
      <c r="K119" s="505"/>
    </row>
    <row r="120" spans="1:11" ht="14.5">
      <c r="A120" s="521" t="s">
        <v>771</v>
      </c>
      <c r="B120" s="504">
        <v>104433</v>
      </c>
      <c r="C120" s="523">
        <v>95</v>
      </c>
      <c r="D120" s="524">
        <f t="shared" ref="D120:D129" si="8">IF(E120&lt;$B$211,$B$211,E120)</f>
        <v>0.13084112107753754</v>
      </c>
      <c r="E120" s="524">
        <v>0.13084112107753754</v>
      </c>
      <c r="F120" s="525">
        <v>2000</v>
      </c>
      <c r="G120" s="36"/>
      <c r="J120" s="506"/>
      <c r="K120" s="505"/>
    </row>
    <row r="121" spans="1:11" ht="14.5">
      <c r="A121" s="527" t="s">
        <v>658</v>
      </c>
      <c r="B121" s="504">
        <v>38307</v>
      </c>
      <c r="C121" s="523">
        <v>100</v>
      </c>
      <c r="D121" s="524">
        <f t="shared" si="8"/>
        <v>1.0625</v>
      </c>
      <c r="E121" s="524">
        <v>1.0625</v>
      </c>
      <c r="F121" s="525">
        <v>1995</v>
      </c>
      <c r="G121" s="3" t="s">
        <v>723</v>
      </c>
      <c r="J121" s="506"/>
      <c r="K121" s="507"/>
    </row>
    <row r="122" spans="1:11" ht="14.5">
      <c r="A122" s="521" t="s">
        <v>772</v>
      </c>
      <c r="B122" s="504">
        <v>2976877</v>
      </c>
      <c r="C122" s="523">
        <v>87.5</v>
      </c>
      <c r="D122" s="524">
        <f t="shared" si="8"/>
        <v>0.1316920667886734</v>
      </c>
      <c r="E122" s="524">
        <v>0.1316920667886734</v>
      </c>
      <c r="F122" s="525">
        <v>2002</v>
      </c>
      <c r="J122" s="506"/>
      <c r="K122" s="507"/>
    </row>
    <row r="123" spans="1:11" ht="14.5">
      <c r="A123" s="521" t="s">
        <v>719</v>
      </c>
      <c r="B123" s="504">
        <v>628178</v>
      </c>
      <c r="C123" s="523">
        <v>100</v>
      </c>
      <c r="D123" s="524">
        <f t="shared" si="8"/>
        <v>0.35994303226470947</v>
      </c>
      <c r="E123" s="524">
        <v>0.35994303226470947</v>
      </c>
      <c r="F123" s="525">
        <v>2002</v>
      </c>
      <c r="G123" s="3" t="s">
        <v>723</v>
      </c>
      <c r="J123" s="506"/>
      <c r="K123" s="507"/>
    </row>
    <row r="124" spans="1:11" ht="14.5">
      <c r="A124" s="521" t="s">
        <v>659</v>
      </c>
      <c r="B124" s="504">
        <v>34803322</v>
      </c>
      <c r="C124" s="523">
        <v>97</v>
      </c>
      <c r="D124" s="524">
        <f t="shared" si="8"/>
        <v>9.9504247307777405E-2</v>
      </c>
      <c r="E124" s="524">
        <v>9.9504247307777405E-2</v>
      </c>
      <c r="F124" s="525">
        <v>2004</v>
      </c>
      <c r="G124" s="3" t="s">
        <v>723</v>
      </c>
      <c r="J124" s="506"/>
      <c r="K124" s="505"/>
    </row>
    <row r="125" spans="1:11" ht="14.5">
      <c r="A125" s="521" t="s">
        <v>660</v>
      </c>
      <c r="B125" s="504">
        <v>28010691</v>
      </c>
      <c r="C125" s="523">
        <v>11.7</v>
      </c>
      <c r="D125" s="524">
        <f t="shared" si="8"/>
        <v>1.6919938474893571E-2</v>
      </c>
      <c r="E125" s="524">
        <v>8.2890205085277557E-3</v>
      </c>
      <c r="F125" s="525">
        <v>2004</v>
      </c>
      <c r="G125" s="3" t="s">
        <v>723</v>
      </c>
    </row>
    <row r="126" spans="1:11" ht="14.5">
      <c r="A126" s="527" t="s">
        <v>661</v>
      </c>
      <c r="B126" s="504">
        <v>52403669</v>
      </c>
      <c r="C126" s="523">
        <v>13</v>
      </c>
      <c r="D126" s="524">
        <f t="shared" si="8"/>
        <v>2.7863714843988419E-2</v>
      </c>
      <c r="E126" s="524">
        <v>2.7863714843988419E-2</v>
      </c>
      <c r="F126" s="525">
        <v>2004</v>
      </c>
      <c r="G126" s="3" t="s">
        <v>723</v>
      </c>
    </row>
    <row r="127" spans="1:11" ht="14.5">
      <c r="A127" s="521" t="s">
        <v>662</v>
      </c>
      <c r="B127" s="504">
        <v>2425561</v>
      </c>
      <c r="C127" s="523">
        <v>34</v>
      </c>
      <c r="D127" s="524">
        <f t="shared" si="8"/>
        <v>5.6190948933362961E-2</v>
      </c>
      <c r="E127" s="524">
        <v>5.6190948933362961E-2</v>
      </c>
      <c r="F127" s="525">
        <v>2004</v>
      </c>
    </row>
    <row r="128" spans="1:11" ht="14.5">
      <c r="A128" s="527" t="s">
        <v>825</v>
      </c>
      <c r="B128" s="504">
        <v>11260</v>
      </c>
      <c r="C128" s="523">
        <v>100</v>
      </c>
      <c r="D128" s="524">
        <f t="shared" si="8"/>
        <v>0.13084112107753754</v>
      </c>
      <c r="E128" s="524">
        <f>$E$120</f>
        <v>0.13084112107753754</v>
      </c>
      <c r="F128" s="522"/>
      <c r="G128" s="3" t="s">
        <v>723</v>
      </c>
    </row>
    <row r="129" spans="1:7" ht="14.5">
      <c r="A129" s="521" t="s">
        <v>663</v>
      </c>
      <c r="B129" s="504">
        <v>28656282</v>
      </c>
      <c r="C129" s="523">
        <v>43.6</v>
      </c>
      <c r="D129" s="524">
        <f t="shared" si="8"/>
        <v>1.6919938474893571E-2</v>
      </c>
      <c r="E129" s="524">
        <v>1.3955296017229557E-2</v>
      </c>
      <c r="F129" s="525">
        <v>2004</v>
      </c>
      <c r="G129" s="36" t="s">
        <v>712</v>
      </c>
    </row>
    <row r="130" spans="1:7" ht="14.5">
      <c r="A130" s="521" t="s">
        <v>664</v>
      </c>
      <c r="B130" s="504">
        <v>16938499</v>
      </c>
      <c r="C130" s="523">
        <v>100</v>
      </c>
      <c r="D130" s="524">
        <v>0.4804631769657135</v>
      </c>
      <c r="E130" s="524">
        <v>0.4804631769657135</v>
      </c>
      <c r="F130" s="525">
        <v>2003</v>
      </c>
      <c r="G130" s="36" t="s">
        <v>712</v>
      </c>
    </row>
    <row r="131" spans="1:7" ht="14.5">
      <c r="A131" s="521" t="s">
        <v>773</v>
      </c>
      <c r="B131" s="504">
        <v>4614532</v>
      </c>
      <c r="C131" s="523">
        <v>87</v>
      </c>
      <c r="D131" s="524">
        <v>0.67785060405731201</v>
      </c>
      <c r="E131" s="524">
        <v>0.67785060405731201</v>
      </c>
      <c r="F131" s="525">
        <v>2001</v>
      </c>
      <c r="G131" s="36" t="s">
        <v>723</v>
      </c>
    </row>
    <row r="132" spans="1:7" ht="14.5">
      <c r="A132" s="521" t="s">
        <v>665</v>
      </c>
      <c r="B132" s="504">
        <v>6082035</v>
      </c>
      <c r="C132" s="523">
        <v>72.099999999999994</v>
      </c>
      <c r="D132" s="524">
        <f>IF(E132&lt;$B$211,$B$211,E132)</f>
        <v>4.4456642121076584E-2</v>
      </c>
      <c r="E132" s="524">
        <v>4.4456642121076584E-2</v>
      </c>
      <c r="F132" s="525">
        <v>2003</v>
      </c>
    </row>
    <row r="133" spans="1:7" ht="14.5">
      <c r="A133" s="521" t="s">
        <v>774</v>
      </c>
      <c r="B133" s="504">
        <v>19896965</v>
      </c>
      <c r="C133" s="523">
        <v>9.3000000000000007</v>
      </c>
      <c r="D133" s="524">
        <f>IF(E133&lt;$B$211,$B$211,E133)</f>
        <v>1.6919938474893571E-2</v>
      </c>
      <c r="E133" s="524">
        <v>1.2082158355042338E-3</v>
      </c>
      <c r="F133" s="525">
        <v>2004</v>
      </c>
      <c r="G133" s="3" t="s">
        <v>723</v>
      </c>
    </row>
    <row r="134" spans="1:7" ht="14.5">
      <c r="A134" s="527" t="s">
        <v>666</v>
      </c>
      <c r="B134" s="504">
        <v>181181744</v>
      </c>
      <c r="C134" s="523">
        <v>50.6</v>
      </c>
      <c r="D134" s="524">
        <f>IF(E134&lt;$B$211,$B$211,E134)</f>
        <v>2.0014677196741104E-2</v>
      </c>
      <c r="E134" s="524">
        <v>2.0014677196741104E-2</v>
      </c>
      <c r="F134" s="525">
        <v>2003</v>
      </c>
    </row>
    <row r="135" spans="1:7" ht="14.5">
      <c r="A135" s="521" t="s">
        <v>775</v>
      </c>
      <c r="B135" s="504">
        <v>1629</v>
      </c>
      <c r="C135" s="523">
        <v>97</v>
      </c>
      <c r="D135" s="524">
        <f>IF(E135&lt;$B$211,$B$211,E135)</f>
        <v>1</v>
      </c>
      <c r="E135" s="524">
        <v>1</v>
      </c>
      <c r="F135" s="525">
        <v>1996</v>
      </c>
      <c r="G135" s="36" t="s">
        <v>712</v>
      </c>
    </row>
    <row r="136" spans="1:7" ht="14.5">
      <c r="A136" s="521" t="s">
        <v>667</v>
      </c>
      <c r="B136" s="504">
        <v>5199836</v>
      </c>
      <c r="C136" s="523">
        <v>100</v>
      </c>
      <c r="D136" s="524">
        <v>0.82351642847061157</v>
      </c>
      <c r="E136" s="524">
        <v>0.82351642847061157</v>
      </c>
      <c r="F136" s="525">
        <v>2003</v>
      </c>
      <c r="G136" s="36" t="s">
        <v>723</v>
      </c>
    </row>
    <row r="137" spans="1:7" ht="14.5">
      <c r="A137" s="521" t="s">
        <v>668</v>
      </c>
      <c r="B137" s="504">
        <v>4199810</v>
      </c>
      <c r="C137" s="523">
        <v>98</v>
      </c>
      <c r="D137" s="524">
        <f t="shared" ref="D137:D144" si="9">IF(E137&lt;$B$211,$B$211,E137)</f>
        <v>0.1853492259979248</v>
      </c>
      <c r="E137" s="524">
        <v>0.1853492259979248</v>
      </c>
      <c r="F137" s="525">
        <v>2004</v>
      </c>
      <c r="G137" s="36" t="s">
        <v>723</v>
      </c>
    </row>
    <row r="138" spans="1:7" ht="14.5">
      <c r="A138" s="527" t="s">
        <v>669</v>
      </c>
      <c r="B138" s="504">
        <v>189380513</v>
      </c>
      <c r="C138" s="523">
        <v>62.4</v>
      </c>
      <c r="D138" s="524">
        <f t="shared" si="9"/>
        <v>4.9976162612438202E-2</v>
      </c>
      <c r="E138" s="524">
        <v>4.9976162612438202E-2</v>
      </c>
      <c r="F138" s="525">
        <v>2004</v>
      </c>
    </row>
    <row r="139" spans="1:7" ht="14.5">
      <c r="A139" s="527" t="s">
        <v>776</v>
      </c>
      <c r="B139" s="504">
        <v>21288</v>
      </c>
      <c r="C139" s="523">
        <v>97</v>
      </c>
      <c r="D139" s="524">
        <f t="shared" si="9"/>
        <v>0.1111111119389534</v>
      </c>
      <c r="E139" s="524">
        <v>0.1111111119389534</v>
      </c>
      <c r="F139" s="525">
        <v>1998</v>
      </c>
      <c r="G139" s="36" t="s">
        <v>723</v>
      </c>
    </row>
    <row r="140" spans="1:7" ht="14.5">
      <c r="A140" s="521" t="s">
        <v>670</v>
      </c>
      <c r="B140" s="504">
        <v>3969249</v>
      </c>
      <c r="C140" s="523">
        <v>88.1</v>
      </c>
      <c r="D140" s="524">
        <f t="shared" si="9"/>
        <v>0.75627118349075317</v>
      </c>
      <c r="E140" s="524">
        <v>0.75627118349075317</v>
      </c>
      <c r="F140" s="525">
        <v>2000</v>
      </c>
    </row>
    <row r="141" spans="1:7" ht="14.5">
      <c r="A141" s="527" t="s">
        <v>777</v>
      </c>
      <c r="B141" s="504">
        <v>7919825</v>
      </c>
      <c r="C141" s="523">
        <v>11</v>
      </c>
      <c r="D141" s="524">
        <f t="shared" si="9"/>
        <v>1.6919938474893571E-2</v>
      </c>
      <c r="E141" s="524">
        <v>1.6872890293598175E-2</v>
      </c>
      <c r="F141" s="525">
        <v>2000</v>
      </c>
      <c r="G141" s="3" t="s">
        <v>723</v>
      </c>
    </row>
    <row r="142" spans="1:7" ht="14.5">
      <c r="A142" s="521" t="s">
        <v>671</v>
      </c>
      <c r="B142" s="504">
        <v>6639119</v>
      </c>
      <c r="C142" s="523">
        <v>96.7</v>
      </c>
      <c r="D142" s="524">
        <f t="shared" si="9"/>
        <v>0.55435538291931152</v>
      </c>
      <c r="E142" s="524">
        <v>0.55435538291931152</v>
      </c>
      <c r="F142" s="525">
        <v>2002</v>
      </c>
      <c r="G142" s="36" t="s">
        <v>723</v>
      </c>
    </row>
    <row r="143" spans="1:7" ht="14.5">
      <c r="A143" s="521" t="s">
        <v>672</v>
      </c>
      <c r="B143" s="504">
        <v>31376671</v>
      </c>
      <c r="C143" s="523">
        <v>85.7</v>
      </c>
      <c r="D143" s="524">
        <f t="shared" si="9"/>
        <v>0.11000587791204453</v>
      </c>
      <c r="E143" s="524">
        <v>0.11000587791204453</v>
      </c>
      <c r="F143" s="525">
        <v>1999</v>
      </c>
      <c r="G143" s="36" t="s">
        <v>723</v>
      </c>
    </row>
    <row r="144" spans="1:7" ht="14.5">
      <c r="A144" s="521" t="s">
        <v>673</v>
      </c>
      <c r="B144" s="504">
        <v>101716359</v>
      </c>
      <c r="C144" s="523">
        <v>89.7</v>
      </c>
      <c r="D144" s="524">
        <f t="shared" si="9"/>
        <v>0.11311434209346771</v>
      </c>
      <c r="E144" s="524">
        <v>0.11311434209346771</v>
      </c>
      <c r="F144" s="525">
        <v>2000</v>
      </c>
      <c r="G144" s="36" t="s">
        <v>712</v>
      </c>
    </row>
    <row r="145" spans="1:11" ht="14.5">
      <c r="A145" s="521" t="s">
        <v>778</v>
      </c>
      <c r="B145" s="504">
        <v>38265226</v>
      </c>
      <c r="C145" s="523">
        <v>100</v>
      </c>
      <c r="D145" s="524">
        <v>0.29675796627998352</v>
      </c>
      <c r="E145" s="524">
        <v>0.29675796627998352</v>
      </c>
      <c r="F145" s="525">
        <v>2003</v>
      </c>
      <c r="G145" s="36" t="s">
        <v>712</v>
      </c>
    </row>
    <row r="146" spans="1:11" ht="14.5">
      <c r="A146" s="521" t="s">
        <v>674</v>
      </c>
      <c r="B146" s="504">
        <v>10418473</v>
      </c>
      <c r="C146" s="523">
        <v>100</v>
      </c>
      <c r="D146" s="524">
        <v>0.54765927791595459</v>
      </c>
      <c r="E146" s="524">
        <v>0.54765927791595459</v>
      </c>
      <c r="F146" s="525">
        <v>2003</v>
      </c>
      <c r="G146" s="36" t="s">
        <v>723</v>
      </c>
    </row>
    <row r="147" spans="1:11" ht="14.5">
      <c r="A147" s="521" t="s">
        <v>675</v>
      </c>
      <c r="B147" s="504">
        <v>2481539</v>
      </c>
      <c r="C147" s="523">
        <v>98.7</v>
      </c>
      <c r="D147" s="524">
        <f>IF(E147&lt;$B$211,$B$211,E147)</f>
        <v>0.37225043773651123</v>
      </c>
      <c r="E147" s="524">
        <v>0.37225043773651123</v>
      </c>
      <c r="F147" s="525">
        <v>2001</v>
      </c>
      <c r="G147" s="36" t="s">
        <v>712</v>
      </c>
    </row>
    <row r="148" spans="1:11" ht="14.5">
      <c r="A148" s="521" t="s">
        <v>779</v>
      </c>
      <c r="B148" s="504">
        <v>50593662</v>
      </c>
      <c r="C148" s="523">
        <v>100</v>
      </c>
      <c r="D148" s="524">
        <v>0.33612158894538879</v>
      </c>
      <c r="E148" s="524">
        <v>0.33612158894538879</v>
      </c>
      <c r="F148" s="525">
        <v>2003</v>
      </c>
    </row>
    <row r="149" spans="1:11" ht="14.5">
      <c r="A149" s="521" t="s">
        <v>780</v>
      </c>
      <c r="B149" s="504">
        <v>4065980</v>
      </c>
      <c r="C149" s="523">
        <v>98.6</v>
      </c>
      <c r="D149" s="524">
        <f t="shared" ref="D149:D165" si="10">IF(E149&lt;$B$211,$B$211,E149)</f>
        <v>0.3288024365901947</v>
      </c>
      <c r="E149" s="524">
        <v>0.3288024365901947</v>
      </c>
      <c r="F149" s="525">
        <v>2003</v>
      </c>
      <c r="G149" s="3" t="s">
        <v>723</v>
      </c>
    </row>
    <row r="150" spans="1:11" ht="14.5">
      <c r="A150" s="527" t="s">
        <v>746</v>
      </c>
      <c r="B150" s="504">
        <v>4995648</v>
      </c>
      <c r="C150" s="523">
        <v>37.1</v>
      </c>
      <c r="D150" s="524">
        <f t="shared" si="10"/>
        <v>1.6919938474893571E-2</v>
      </c>
      <c r="E150" s="524">
        <v>3.1430067028850317E-3</v>
      </c>
      <c r="F150" s="525">
        <v>2004</v>
      </c>
    </row>
    <row r="151" spans="1:11" ht="14.5">
      <c r="A151" s="521" t="s">
        <v>676</v>
      </c>
      <c r="B151" s="504">
        <v>19876621</v>
      </c>
      <c r="C151" s="523">
        <v>99</v>
      </c>
      <c r="D151" s="524">
        <f t="shared" si="10"/>
        <v>0.22024714946746826</v>
      </c>
      <c r="E151" s="524">
        <v>0.22024714946746826</v>
      </c>
      <c r="F151" s="525">
        <v>2003</v>
      </c>
      <c r="G151" s="36"/>
    </row>
    <row r="152" spans="1:11" ht="14.5">
      <c r="A152" s="521" t="s">
        <v>781</v>
      </c>
      <c r="B152" s="504">
        <v>143888004</v>
      </c>
      <c r="C152" s="523">
        <v>93</v>
      </c>
      <c r="D152" s="524">
        <f t="shared" si="10"/>
        <v>0.32093042135238647</v>
      </c>
      <c r="E152" s="524">
        <v>0.32093042135238647</v>
      </c>
      <c r="F152" s="525">
        <v>2003</v>
      </c>
      <c r="J152" s="506"/>
      <c r="K152" s="507"/>
    </row>
    <row r="153" spans="1:11" ht="14.5">
      <c r="A153" s="521" t="s">
        <v>782</v>
      </c>
      <c r="B153" s="504">
        <v>11629553</v>
      </c>
      <c r="C153" s="523">
        <v>6</v>
      </c>
      <c r="D153" s="524">
        <f t="shared" si="10"/>
        <v>1.6919938474893571E-2</v>
      </c>
      <c r="E153" s="524">
        <v>2.4761231616139412E-3</v>
      </c>
      <c r="F153" s="525">
        <v>2004</v>
      </c>
      <c r="J153" s="506"/>
      <c r="K153" s="507"/>
    </row>
    <row r="154" spans="1:11" ht="14.5">
      <c r="A154" s="527" t="s">
        <v>677</v>
      </c>
      <c r="B154" s="504">
        <v>54288</v>
      </c>
      <c r="C154" s="523">
        <v>95</v>
      </c>
      <c r="D154" s="524">
        <f t="shared" si="10"/>
        <v>0.18604651093482971</v>
      </c>
      <c r="E154" s="524">
        <v>0.18604651093482971</v>
      </c>
      <c r="F154" s="525">
        <v>1997</v>
      </c>
      <c r="J154" s="506"/>
      <c r="K154" s="507"/>
    </row>
    <row r="155" spans="1:11" ht="14.5">
      <c r="A155" s="521" t="s">
        <v>678</v>
      </c>
      <c r="B155" s="504">
        <v>177206</v>
      </c>
      <c r="C155" s="523">
        <v>98</v>
      </c>
      <c r="D155" s="524">
        <f t="shared" si="10"/>
        <v>6.2068965286016464E-2</v>
      </c>
      <c r="E155" s="524">
        <v>6.2068965286016464E-2</v>
      </c>
      <c r="F155" s="525">
        <v>1999</v>
      </c>
      <c r="J155" s="506"/>
      <c r="K155" s="507"/>
    </row>
    <row r="156" spans="1:11" ht="14.5">
      <c r="A156" s="527" t="s">
        <v>783</v>
      </c>
      <c r="B156" s="504">
        <v>109455</v>
      </c>
      <c r="C156" s="523">
        <v>66.8</v>
      </c>
      <c r="D156" s="524">
        <f t="shared" si="10"/>
        <v>5.1724139600992203E-2</v>
      </c>
      <c r="E156" s="524">
        <v>5.1724139600992203E-2</v>
      </c>
      <c r="F156" s="525">
        <v>1997</v>
      </c>
      <c r="J156" s="506"/>
      <c r="K156" s="505"/>
    </row>
    <row r="157" spans="1:11" ht="14.5">
      <c r="A157" s="521" t="s">
        <v>679</v>
      </c>
      <c r="B157" s="504">
        <v>193759</v>
      </c>
      <c r="C157" s="523">
        <v>93</v>
      </c>
      <c r="D157" s="524">
        <f t="shared" si="10"/>
        <v>0.17543859779834747</v>
      </c>
      <c r="E157" s="524">
        <v>0.17543859779834747</v>
      </c>
      <c r="F157" s="525">
        <v>1999</v>
      </c>
      <c r="J157" s="506"/>
      <c r="K157" s="507"/>
    </row>
    <row r="158" spans="1:11" ht="14.5">
      <c r="A158" s="521" t="s">
        <v>784</v>
      </c>
      <c r="B158" s="504">
        <v>32960</v>
      </c>
      <c r="C158" s="523">
        <v>100</v>
      </c>
      <c r="D158" s="524">
        <f t="shared" si="10"/>
        <v>0.34782609343528748</v>
      </c>
      <c r="E158" s="524">
        <v>0.34782609343528748</v>
      </c>
      <c r="F158" s="525">
        <v>1990</v>
      </c>
    </row>
    <row r="159" spans="1:11" ht="14.5">
      <c r="A159" s="521" t="s">
        <v>785</v>
      </c>
      <c r="B159" s="504">
        <v>195553</v>
      </c>
      <c r="C159" s="523">
        <v>60</v>
      </c>
      <c r="D159" s="524">
        <f t="shared" si="10"/>
        <v>6.6666670143604279E-2</v>
      </c>
      <c r="E159" s="524">
        <v>6.6666670143604279E-2</v>
      </c>
      <c r="F159" s="525">
        <v>2004</v>
      </c>
      <c r="G159" s="36" t="s">
        <v>723</v>
      </c>
    </row>
    <row r="160" spans="1:11" ht="14.5">
      <c r="A160" s="521" t="s">
        <v>680</v>
      </c>
      <c r="B160" s="504">
        <v>31557144</v>
      </c>
      <c r="C160" s="523">
        <v>99</v>
      </c>
      <c r="D160" s="524">
        <f t="shared" si="10"/>
        <v>0.16995063424110413</v>
      </c>
      <c r="E160" s="524">
        <v>0.16995063424110413</v>
      </c>
      <c r="F160" s="525">
        <v>2004</v>
      </c>
      <c r="G160" s="3" t="s">
        <v>723</v>
      </c>
    </row>
    <row r="161" spans="1:7" ht="14.5">
      <c r="A161" s="521" t="s">
        <v>681</v>
      </c>
      <c r="B161" s="504">
        <v>14976994</v>
      </c>
      <c r="C161" s="523">
        <v>42</v>
      </c>
      <c r="D161" s="524">
        <f t="shared" si="10"/>
        <v>1.6919938474893571E-2</v>
      </c>
      <c r="E161" s="524">
        <v>9.3819517642259598E-3</v>
      </c>
      <c r="F161" s="525">
        <v>2004</v>
      </c>
      <c r="G161" s="36"/>
    </row>
    <row r="162" spans="1:7" ht="14.5">
      <c r="A162" s="521" t="s">
        <v>786</v>
      </c>
      <c r="B162" s="504">
        <v>8851280</v>
      </c>
      <c r="C162" s="523">
        <v>100</v>
      </c>
      <c r="D162" s="524">
        <f t="shared" si="10"/>
        <v>0.35994303226470947</v>
      </c>
      <c r="E162" s="524">
        <v>0.35994303226470947</v>
      </c>
      <c r="F162" s="525">
        <v>2002</v>
      </c>
    </row>
    <row r="163" spans="1:7" ht="14.5">
      <c r="A163" s="521" t="s">
        <v>787</v>
      </c>
      <c r="B163" s="504">
        <v>93742</v>
      </c>
      <c r="C163" s="523">
        <v>96</v>
      </c>
      <c r="D163" s="524">
        <f t="shared" si="10"/>
        <v>1.1749999523162842</v>
      </c>
      <c r="E163" s="524">
        <v>1.1749999523162842</v>
      </c>
      <c r="F163" s="525">
        <v>2004</v>
      </c>
    </row>
    <row r="164" spans="1:7" ht="14.5">
      <c r="A164" s="521" t="s">
        <v>788</v>
      </c>
      <c r="B164" s="504">
        <v>7237025</v>
      </c>
      <c r="C164" s="523">
        <v>12.1</v>
      </c>
      <c r="D164" s="524">
        <f t="shared" si="10"/>
        <v>1.6919938474893571E-2</v>
      </c>
      <c r="E164" s="524">
        <v>9.6749223303049803E-4</v>
      </c>
      <c r="F164" s="525">
        <v>2004</v>
      </c>
      <c r="G164" s="36" t="s">
        <v>723</v>
      </c>
    </row>
    <row r="165" spans="1:7" ht="14.5">
      <c r="A165" s="521" t="s">
        <v>789</v>
      </c>
      <c r="B165" s="504">
        <v>5535262</v>
      </c>
      <c r="C165" s="523">
        <v>99.9</v>
      </c>
      <c r="D165" s="524">
        <f t="shared" si="10"/>
        <v>0.26479902863502502</v>
      </c>
      <c r="E165" s="524">
        <v>0.26479902863502502</v>
      </c>
      <c r="F165" s="525">
        <v>2001</v>
      </c>
      <c r="G165" s="36" t="s">
        <v>712</v>
      </c>
    </row>
    <row r="166" spans="1:7" ht="14.5">
      <c r="A166" s="521" t="s">
        <v>682</v>
      </c>
      <c r="B166" s="504">
        <v>5439318</v>
      </c>
      <c r="C166" s="523">
        <v>98</v>
      </c>
      <c r="D166" s="524">
        <v>0.43761569261550903</v>
      </c>
      <c r="E166" s="524">
        <v>0.43761569261550903</v>
      </c>
      <c r="F166" s="525">
        <v>2003</v>
      </c>
      <c r="G166" s="36" t="s">
        <v>712</v>
      </c>
    </row>
    <row r="167" spans="1:7" ht="14.5">
      <c r="A167" s="521" t="s">
        <v>683</v>
      </c>
      <c r="B167" s="504">
        <v>2074788</v>
      </c>
      <c r="C167" s="523">
        <v>99</v>
      </c>
      <c r="D167" s="524">
        <v>0.6037260890007019</v>
      </c>
      <c r="E167" s="524">
        <v>0.6037260890007019</v>
      </c>
      <c r="F167" s="525">
        <v>2002</v>
      </c>
    </row>
    <row r="168" spans="1:7" ht="14.5">
      <c r="A168" s="521" t="s">
        <v>790</v>
      </c>
      <c r="B168" s="504">
        <v>587482</v>
      </c>
      <c r="C168" s="523">
        <v>15.7</v>
      </c>
      <c r="D168" s="524">
        <f>IF(E168&lt;$B$211,$B$211,E168)</f>
        <v>6.1320755630731583E-2</v>
      </c>
      <c r="E168" s="524">
        <v>6.1320755630731583E-2</v>
      </c>
      <c r="F168" s="525">
        <v>1999</v>
      </c>
    </row>
    <row r="169" spans="1:7" ht="14.5">
      <c r="A169" s="527" t="s">
        <v>791</v>
      </c>
      <c r="B169" s="504">
        <v>13908129</v>
      </c>
      <c r="C169" s="523">
        <v>30</v>
      </c>
      <c r="D169" s="524">
        <f>IF(E169&lt;$B$211,$B$211,E169)</f>
        <v>1.6919938474893571E-2</v>
      </c>
      <c r="E169" s="524">
        <v>1.9324916647747159E-3</v>
      </c>
      <c r="F169" s="525">
        <v>1997</v>
      </c>
      <c r="G169" s="36" t="s">
        <v>723</v>
      </c>
    </row>
    <row r="170" spans="1:7" ht="14.5">
      <c r="A170" s="521" t="s">
        <v>684</v>
      </c>
      <c r="B170" s="504">
        <v>55291225</v>
      </c>
      <c r="C170" s="523">
        <v>75</v>
      </c>
      <c r="D170" s="524">
        <f>IF(E170&lt;$B$211,$B$211,E170)</f>
        <v>0.13259167969226837</v>
      </c>
      <c r="E170" s="524">
        <v>0.13259167969226837</v>
      </c>
      <c r="F170" s="525">
        <v>2004</v>
      </c>
      <c r="G170" s="36" t="s">
        <v>712</v>
      </c>
    </row>
    <row r="171" spans="1:7" ht="14.5">
      <c r="A171" s="521" t="s">
        <v>685</v>
      </c>
      <c r="B171" s="504">
        <v>46397664</v>
      </c>
      <c r="C171" s="523">
        <v>100</v>
      </c>
      <c r="D171" s="524">
        <v>0.48721382021903992</v>
      </c>
      <c r="E171" s="524">
        <v>0.48721382021903992</v>
      </c>
      <c r="F171" s="525">
        <v>2003</v>
      </c>
      <c r="G171" s="36" t="s">
        <v>723</v>
      </c>
    </row>
    <row r="172" spans="1:7" ht="14.5">
      <c r="A172" s="521" t="s">
        <v>686</v>
      </c>
      <c r="B172" s="504">
        <v>20714040</v>
      </c>
      <c r="C172" s="523">
        <v>76.599999999999994</v>
      </c>
      <c r="D172" s="524">
        <f>IF(E172&lt;$B$211,$B$211,E172)</f>
        <v>6.4783014357089996E-2</v>
      </c>
      <c r="E172" s="524">
        <v>6.4783014357089996E-2</v>
      </c>
      <c r="F172" s="525">
        <v>2004</v>
      </c>
      <c r="G172" s="36" t="s">
        <v>723</v>
      </c>
    </row>
    <row r="173" spans="1:7" ht="14.5">
      <c r="A173" s="527" t="s">
        <v>687</v>
      </c>
      <c r="B173" s="504">
        <v>38647803</v>
      </c>
      <c r="C173" s="523">
        <v>35.9</v>
      </c>
      <c r="D173" s="524">
        <f>IF(E173&lt;$B$211,$B$211,E173)</f>
        <v>3.1514868140220642E-2</v>
      </c>
      <c r="E173" s="524">
        <v>3.1514868140220642E-2</v>
      </c>
      <c r="F173" s="525">
        <v>2004</v>
      </c>
    </row>
    <row r="174" spans="1:7" ht="14.5">
      <c r="A174" s="521" t="s">
        <v>792</v>
      </c>
      <c r="B174" s="504">
        <v>553208</v>
      </c>
      <c r="C174" s="523">
        <v>84</v>
      </c>
      <c r="D174" s="524">
        <f>IF(E174&lt;$B$211,$B$211,E174)</f>
        <v>1.6919938474893571E-2</v>
      </c>
      <c r="E174" s="524">
        <v>9.4117643311619759E-3</v>
      </c>
      <c r="F174" s="525">
        <v>2000</v>
      </c>
    </row>
    <row r="175" spans="1:7" ht="14.5">
      <c r="A175" s="521" t="s">
        <v>688</v>
      </c>
      <c r="B175" s="504">
        <v>9763565</v>
      </c>
      <c r="C175" s="523">
        <v>100</v>
      </c>
      <c r="D175" s="524">
        <v>0.81989401578903198</v>
      </c>
      <c r="E175" s="524">
        <v>0.81989401578903198</v>
      </c>
      <c r="F175" s="525">
        <v>2002</v>
      </c>
      <c r="G175" s="36" t="s">
        <v>712</v>
      </c>
    </row>
    <row r="176" spans="1:7" ht="14.5">
      <c r="A176" s="521" t="s">
        <v>689</v>
      </c>
      <c r="B176" s="504">
        <v>8319769</v>
      </c>
      <c r="C176" s="523">
        <v>100</v>
      </c>
      <c r="D176" s="524">
        <v>0.50188308954238892</v>
      </c>
      <c r="E176" s="524">
        <v>0.50188308954238892</v>
      </c>
      <c r="F176" s="525">
        <v>2003</v>
      </c>
      <c r="G176" s="36" t="s">
        <v>712</v>
      </c>
    </row>
    <row r="177" spans="1:7" ht="14.5">
      <c r="A177" s="527" t="s">
        <v>690</v>
      </c>
      <c r="B177" s="504">
        <v>18734987</v>
      </c>
      <c r="C177" s="523">
        <v>92.7</v>
      </c>
      <c r="D177" s="524">
        <f t="shared" ref="D177:D187" si="11">IF(E177&lt;$B$211,$B$211,E177)</f>
        <v>0.71935409307479858</v>
      </c>
      <c r="E177" s="524">
        <v>0.71935409307479858</v>
      </c>
      <c r="F177" s="525">
        <v>2001</v>
      </c>
      <c r="G177" s="36" t="s">
        <v>723</v>
      </c>
    </row>
    <row r="178" spans="1:7" ht="14.5">
      <c r="A178" s="527" t="s">
        <v>793</v>
      </c>
      <c r="B178" s="504">
        <v>8548651</v>
      </c>
      <c r="C178" s="523">
        <v>85</v>
      </c>
      <c r="D178" s="524">
        <f t="shared" si="11"/>
        <v>0.15132105350494385</v>
      </c>
      <c r="E178" s="524">
        <v>0.15132105350494385</v>
      </c>
      <c r="F178" s="525">
        <v>2003</v>
      </c>
    </row>
    <row r="179" spans="1:7" ht="14.5">
      <c r="A179" s="521" t="s">
        <v>823</v>
      </c>
      <c r="B179" s="517">
        <v>53879957</v>
      </c>
      <c r="C179" s="523">
        <v>12</v>
      </c>
      <c r="D179" s="524">
        <f t="shared" si="11"/>
        <v>4.1332509368658066E-2</v>
      </c>
      <c r="E179" s="524">
        <f>$E$98</f>
        <v>4.1332509368658066E-2</v>
      </c>
      <c r="F179" s="525"/>
      <c r="G179" s="36"/>
    </row>
    <row r="180" spans="1:7" ht="14.5">
      <c r="A180" s="521" t="s">
        <v>691</v>
      </c>
      <c r="B180" s="504">
        <v>68657600</v>
      </c>
      <c r="C180" s="523">
        <v>99.3</v>
      </c>
      <c r="D180" s="524">
        <f t="shared" si="11"/>
        <v>0.17167007923126221</v>
      </c>
      <c r="E180" s="524">
        <v>0.17167007923126221</v>
      </c>
      <c r="F180" s="525">
        <v>2000</v>
      </c>
      <c r="G180" s="3" t="s">
        <v>723</v>
      </c>
    </row>
    <row r="181" spans="1:7" ht="14.5">
      <c r="A181" s="521" t="s">
        <v>794</v>
      </c>
      <c r="B181" s="504">
        <v>2079308</v>
      </c>
      <c r="C181" s="523">
        <v>97.4</v>
      </c>
      <c r="D181" s="524">
        <f t="shared" si="11"/>
        <v>0.55282557010650635</v>
      </c>
      <c r="E181" s="524">
        <v>0.55282557010650635</v>
      </c>
      <c r="F181" s="525">
        <v>2001</v>
      </c>
    </row>
    <row r="182" spans="1:7" ht="14.5">
      <c r="A182" s="527" t="s">
        <v>692</v>
      </c>
      <c r="B182" s="504">
        <v>1240977</v>
      </c>
      <c r="C182" s="523">
        <v>17</v>
      </c>
      <c r="D182" s="524">
        <f t="shared" si="11"/>
        <v>1.6919938474893571E-2</v>
      </c>
      <c r="E182" s="524">
        <v>1.3158266665413976E-3</v>
      </c>
      <c r="F182" s="525">
        <v>2003</v>
      </c>
      <c r="G182" s="36" t="s">
        <v>723</v>
      </c>
    </row>
    <row r="183" spans="1:7" ht="14.5">
      <c r="A183" s="521" t="s">
        <v>692</v>
      </c>
      <c r="B183" s="504">
        <v>1240977</v>
      </c>
      <c r="C183" s="523">
        <v>22</v>
      </c>
      <c r="D183" s="524">
        <f t="shared" si="11"/>
        <v>5.4878048598766327E-2</v>
      </c>
      <c r="E183" s="524">
        <v>5.4878048598766327E-2</v>
      </c>
      <c r="F183" s="525">
        <v>2004</v>
      </c>
      <c r="G183" s="3" t="s">
        <v>723</v>
      </c>
    </row>
    <row r="184" spans="1:7" ht="14.5">
      <c r="A184" s="521" t="s">
        <v>693</v>
      </c>
      <c r="B184" s="504">
        <v>7416802</v>
      </c>
      <c r="C184" s="523">
        <v>20</v>
      </c>
      <c r="D184" s="524">
        <f t="shared" si="11"/>
        <v>1.6919938474893571E-2</v>
      </c>
      <c r="E184" s="524">
        <v>3.7871238309890032E-3</v>
      </c>
      <c r="F184" s="525">
        <v>2004</v>
      </c>
      <c r="G184" s="3" t="s">
        <v>723</v>
      </c>
    </row>
    <row r="185" spans="1:7" ht="14.5">
      <c r="A185" s="527" t="s">
        <v>694</v>
      </c>
      <c r="B185" s="504">
        <v>106364</v>
      </c>
      <c r="C185" s="523">
        <v>23</v>
      </c>
      <c r="D185" s="524">
        <f t="shared" si="11"/>
        <v>0.32352942228317261</v>
      </c>
      <c r="E185" s="524">
        <v>0.32352942228317261</v>
      </c>
      <c r="F185" s="525">
        <v>2001</v>
      </c>
    </row>
    <row r="186" spans="1:7" ht="14.5">
      <c r="A186" s="521" t="s">
        <v>695</v>
      </c>
      <c r="B186" s="504">
        <v>1360092</v>
      </c>
      <c r="C186" s="523">
        <v>99</v>
      </c>
      <c r="D186" s="524">
        <f t="shared" si="11"/>
        <v>8.3987444639205933E-2</v>
      </c>
      <c r="E186" s="524">
        <v>8.3987444639205933E-2</v>
      </c>
      <c r="F186" s="525">
        <v>1997</v>
      </c>
      <c r="G186" s="3" t="s">
        <v>723</v>
      </c>
    </row>
    <row r="187" spans="1:7" ht="14.5">
      <c r="A187" s="521" t="s">
        <v>696</v>
      </c>
      <c r="B187" s="504">
        <v>11273661</v>
      </c>
      <c r="C187" s="523">
        <v>99.5</v>
      </c>
      <c r="D187" s="524">
        <f t="shared" si="11"/>
        <v>0.24675455689430237</v>
      </c>
      <c r="E187" s="524">
        <v>0.24675455689430237</v>
      </c>
      <c r="F187" s="525">
        <v>2004</v>
      </c>
      <c r="G187" s="3" t="s">
        <v>723</v>
      </c>
    </row>
    <row r="188" spans="1:7" ht="14.5">
      <c r="A188" s="521" t="s">
        <v>795</v>
      </c>
      <c r="B188" s="504">
        <v>78271472</v>
      </c>
      <c r="C188" s="523">
        <v>99.9</v>
      </c>
      <c r="D188" s="524">
        <v>0.2411496639251709</v>
      </c>
      <c r="E188" s="524">
        <v>0.2411496639251709</v>
      </c>
      <c r="F188" s="525">
        <v>2003</v>
      </c>
      <c r="G188" s="36" t="s">
        <v>712</v>
      </c>
    </row>
    <row r="189" spans="1:7" ht="14.5">
      <c r="A189" s="527" t="s">
        <v>796</v>
      </c>
      <c r="B189" s="504">
        <v>5565284</v>
      </c>
      <c r="C189" s="523">
        <v>100</v>
      </c>
      <c r="D189" s="524">
        <f>IF(E189&lt;$B$211,$B$211,E189)</f>
        <v>0.18272840976715088</v>
      </c>
      <c r="E189" s="524">
        <v>0.18272840976715088</v>
      </c>
      <c r="F189" s="525">
        <v>2002</v>
      </c>
    </row>
    <row r="190" spans="1:7" ht="14.5">
      <c r="A190" s="527" t="s">
        <v>797</v>
      </c>
      <c r="B190" s="528">
        <v>11001</v>
      </c>
      <c r="C190" s="523">
        <v>92</v>
      </c>
      <c r="D190" s="524">
        <f>IF(E190&lt;$B$211,$B$211,E190)</f>
        <v>0.18181818723678589</v>
      </c>
      <c r="E190" s="524">
        <v>0.18181818723678589</v>
      </c>
      <c r="F190" s="525">
        <v>2002</v>
      </c>
    </row>
    <row r="191" spans="1:7" ht="14.5">
      <c r="A191" s="527" t="s">
        <v>697</v>
      </c>
      <c r="B191" s="504">
        <v>40144870</v>
      </c>
      <c r="C191" s="523">
        <v>9</v>
      </c>
      <c r="D191" s="524">
        <f>IF(E191&lt;$B$211,$B$211,E191)</f>
        <v>1.6919938474893571E-2</v>
      </c>
      <c r="E191" s="524">
        <v>1.3596015051007271E-2</v>
      </c>
      <c r="F191" s="525">
        <v>2004</v>
      </c>
      <c r="G191" s="3" t="s">
        <v>723</v>
      </c>
    </row>
    <row r="192" spans="1:7" ht="14.5">
      <c r="A192" s="521" t="s">
        <v>698</v>
      </c>
      <c r="B192" s="504">
        <v>44657704</v>
      </c>
      <c r="C192" s="523">
        <v>100</v>
      </c>
      <c r="D192" s="524">
        <f>IF(E192&lt;$B$211,$B$211,E192)</f>
        <v>0.39886239171028137</v>
      </c>
      <c r="E192" s="524">
        <v>0.39886239171028137</v>
      </c>
      <c r="F192" s="525">
        <v>2003</v>
      </c>
    </row>
    <row r="193" spans="1:7" ht="14.5">
      <c r="A193" s="527" t="s">
        <v>699</v>
      </c>
      <c r="B193" s="504">
        <v>9154302</v>
      </c>
      <c r="C193" s="523">
        <v>100</v>
      </c>
      <c r="D193" s="524">
        <f>IF(E193&lt;$B$211,$B$211,E193)</f>
        <v>0.33136504888534546</v>
      </c>
      <c r="E193" s="524">
        <v>0.33136504888534546</v>
      </c>
      <c r="F193" s="525">
        <v>2001</v>
      </c>
      <c r="G193" s="36"/>
    </row>
    <row r="194" spans="1:7" ht="14.5">
      <c r="A194" s="521" t="s">
        <v>700</v>
      </c>
      <c r="B194" s="504">
        <v>65397080</v>
      </c>
      <c r="C194" s="523">
        <v>100</v>
      </c>
      <c r="D194" s="524">
        <v>1.0108957290649414</v>
      </c>
      <c r="E194" s="524">
        <v>1.0108957290649414</v>
      </c>
      <c r="F194" s="525">
        <v>1997</v>
      </c>
      <c r="G194" s="36" t="s">
        <v>712</v>
      </c>
    </row>
    <row r="195" spans="1:7" ht="14.5">
      <c r="A195" s="527" t="s">
        <v>701</v>
      </c>
      <c r="B195" s="504">
        <v>53879957</v>
      </c>
      <c r="C195" s="523">
        <v>13.9</v>
      </c>
      <c r="D195" s="524">
        <f>IF(E195&lt;$B$211,$B$211,E195)</f>
        <v>1.6919938474893571E-2</v>
      </c>
      <c r="E195" s="524">
        <v>7.3602381162345409E-3</v>
      </c>
      <c r="F195" s="525">
        <v>2002</v>
      </c>
      <c r="G195" s="3" t="s">
        <v>723</v>
      </c>
    </row>
    <row r="196" spans="1:7" ht="14.5">
      <c r="A196" s="521" t="s">
        <v>702</v>
      </c>
      <c r="B196" s="504">
        <v>319929162</v>
      </c>
      <c r="C196" s="523">
        <v>100</v>
      </c>
      <c r="D196" s="524">
        <v>1.6268706321716309</v>
      </c>
      <c r="E196" s="524">
        <v>1.6268706321716309</v>
      </c>
      <c r="F196" s="525">
        <v>2000</v>
      </c>
      <c r="G196" s="36" t="s">
        <v>712</v>
      </c>
    </row>
    <row r="197" spans="1:7" ht="14.5">
      <c r="A197" s="521" t="s">
        <v>703</v>
      </c>
      <c r="B197" s="504">
        <v>3431552</v>
      </c>
      <c r="C197" s="523">
        <v>98.3</v>
      </c>
      <c r="D197" s="524">
        <f t="shared" ref="D197:D204" si="12">IF(E197&lt;$B$211,$B$211,E197)</f>
        <v>1.1607195138931274</v>
      </c>
      <c r="E197" s="524">
        <v>1.1607195138931274</v>
      </c>
      <c r="F197" s="525">
        <v>2002</v>
      </c>
      <c r="G197" s="36" t="s">
        <v>723</v>
      </c>
    </row>
    <row r="198" spans="1:7" ht="14.5">
      <c r="A198" s="527" t="s">
        <v>704</v>
      </c>
      <c r="B198" s="504">
        <v>30976021</v>
      </c>
      <c r="C198" s="523">
        <v>100</v>
      </c>
      <c r="D198" s="524">
        <f t="shared" si="12"/>
        <v>0.13819798827171326</v>
      </c>
      <c r="E198" s="524">
        <v>0.13819798827171326</v>
      </c>
      <c r="F198" s="525">
        <v>2003</v>
      </c>
    </row>
    <row r="199" spans="1:7" ht="14.5">
      <c r="A199" s="527" t="s">
        <v>828</v>
      </c>
      <c r="B199" s="504">
        <v>264603</v>
      </c>
      <c r="C199" s="523">
        <v>27</v>
      </c>
      <c r="D199" s="524">
        <f t="shared" si="12"/>
        <v>0.13084112107753754</v>
      </c>
      <c r="E199" s="524">
        <f>$E$120</f>
        <v>0.13084112107753754</v>
      </c>
      <c r="F199" s="522"/>
    </row>
    <row r="200" spans="1:7" ht="14.5">
      <c r="A200" s="521" t="s">
        <v>705</v>
      </c>
      <c r="B200" s="504">
        <v>31155134</v>
      </c>
      <c r="C200" s="523">
        <v>99</v>
      </c>
      <c r="D200" s="524">
        <f t="shared" si="12"/>
        <v>0.55268263816833496</v>
      </c>
      <c r="E200" s="524">
        <v>0.55268263816833496</v>
      </c>
      <c r="F200" s="525">
        <v>2001</v>
      </c>
      <c r="G200" s="3" t="s">
        <v>723</v>
      </c>
    </row>
    <row r="201" spans="1:7" ht="14.5">
      <c r="A201" s="521" t="s">
        <v>715</v>
      </c>
      <c r="B201" s="504">
        <v>93571567</v>
      </c>
      <c r="C201" s="523">
        <v>97.6</v>
      </c>
      <c r="D201" s="524">
        <f t="shared" si="12"/>
        <v>2.8360994532704353E-2</v>
      </c>
      <c r="E201" s="524">
        <f>($E$37+$E$102)/2</f>
        <v>2.8360994532704353E-2</v>
      </c>
      <c r="F201" s="522"/>
      <c r="G201" s="3" t="s">
        <v>723</v>
      </c>
    </row>
    <row r="202" spans="1:7" ht="14.5">
      <c r="A202" s="521" t="s">
        <v>706</v>
      </c>
      <c r="B202" s="504">
        <v>26916207</v>
      </c>
      <c r="C202" s="523">
        <v>39.6</v>
      </c>
      <c r="D202" s="524">
        <f t="shared" si="12"/>
        <v>4.0997441858053207E-2</v>
      </c>
      <c r="E202" s="524">
        <v>4.0997441858053207E-2</v>
      </c>
      <c r="F202" s="525">
        <v>2004</v>
      </c>
      <c r="G202" s="3" t="s">
        <v>723</v>
      </c>
    </row>
    <row r="203" spans="1:7" ht="14.5">
      <c r="A203" s="521" t="s">
        <v>707</v>
      </c>
      <c r="B203" s="504">
        <v>16100587</v>
      </c>
      <c r="C203" s="523">
        <v>18.8</v>
      </c>
      <c r="D203" s="524">
        <f t="shared" si="12"/>
        <v>4.4946905225515366E-2</v>
      </c>
      <c r="E203" s="524">
        <v>4.4946905225515366E-2</v>
      </c>
      <c r="F203" s="525">
        <v>2004</v>
      </c>
      <c r="G203" s="3" t="s">
        <v>723</v>
      </c>
    </row>
    <row r="204" spans="1:7" ht="14.5">
      <c r="A204" s="527" t="s">
        <v>708</v>
      </c>
      <c r="B204" s="529">
        <v>15777451</v>
      </c>
      <c r="C204" s="523">
        <v>41.5</v>
      </c>
      <c r="D204" s="524">
        <f t="shared" si="12"/>
        <v>2.3971542716026306E-2</v>
      </c>
      <c r="E204" s="524">
        <v>2.3971542716026306E-2</v>
      </c>
      <c r="F204" s="525">
        <v>2004</v>
      </c>
      <c r="G204" s="3" t="s">
        <v>723</v>
      </c>
    </row>
    <row r="205" spans="1:7">
      <c r="A205" s="522" t="s">
        <v>714</v>
      </c>
      <c r="B205" s="522"/>
      <c r="C205" s="525">
        <v>100</v>
      </c>
      <c r="D205" s="524">
        <f>B209</f>
        <v>0.73578588050954485</v>
      </c>
      <c r="E205" s="524"/>
      <c r="F205" s="525"/>
    </row>
    <row r="206" spans="1:7">
      <c r="A206" s="522" t="s">
        <v>713</v>
      </c>
      <c r="B206" s="522"/>
      <c r="C206" s="537">
        <f>B212</f>
        <v>68</v>
      </c>
      <c r="D206" s="530">
        <f>B210</f>
        <v>0.23139013240813858</v>
      </c>
      <c r="E206" s="524"/>
      <c r="F206" s="525"/>
    </row>
    <row r="207" spans="1:7">
      <c r="A207" s="278"/>
      <c r="B207" s="278"/>
      <c r="C207" s="494"/>
      <c r="D207" s="493"/>
      <c r="E207" s="493"/>
      <c r="F207" s="492"/>
    </row>
    <row r="208" spans="1:7" ht="13">
      <c r="A208" s="509" t="s">
        <v>842</v>
      </c>
      <c r="B208" s="511"/>
      <c r="C208" s="494"/>
      <c r="D208" s="493"/>
      <c r="E208" s="493"/>
      <c r="F208" s="492"/>
    </row>
    <row r="209" spans="1:6" ht="25">
      <c r="A209" s="536" t="s">
        <v>716</v>
      </c>
      <c r="B209" s="502">
        <v>0.73578588050954485</v>
      </c>
      <c r="C209" s="494"/>
      <c r="D209" s="493"/>
      <c r="E209" s="493"/>
      <c r="F209" s="492"/>
    </row>
    <row r="210" spans="1:6" ht="25">
      <c r="A210" s="508" t="s">
        <v>722</v>
      </c>
      <c r="B210" s="502">
        <v>0.23139013240813858</v>
      </c>
      <c r="C210" s="494"/>
      <c r="D210" s="493"/>
      <c r="E210" s="493"/>
      <c r="F210" s="492"/>
    </row>
    <row r="211" spans="1:6">
      <c r="A211" s="508" t="s">
        <v>717</v>
      </c>
      <c r="B211" s="502">
        <v>1.6919938474893571E-2</v>
      </c>
      <c r="C211" s="494"/>
      <c r="D211" s="493"/>
      <c r="E211" s="493"/>
      <c r="F211" s="492"/>
    </row>
    <row r="212" spans="1:6" ht="25">
      <c r="A212" s="508" t="s">
        <v>821</v>
      </c>
      <c r="B212" s="535">
        <v>68</v>
      </c>
      <c r="C212" s="494"/>
      <c r="D212" s="493"/>
      <c r="E212" s="493"/>
      <c r="F212" s="492"/>
    </row>
    <row r="213" spans="1:6">
      <c r="A213" s="518"/>
      <c r="B213" s="36"/>
      <c r="D213" s="3"/>
      <c r="E213" s="3"/>
      <c r="F213" s="3"/>
    </row>
    <row r="214" spans="1:6">
      <c r="A214" s="518" t="s">
        <v>56</v>
      </c>
    </row>
    <row r="215" spans="1:6">
      <c r="A215" s="769" t="s">
        <v>798</v>
      </c>
      <c r="B215" s="36"/>
    </row>
    <row r="216" spans="1:6">
      <c r="A216" s="518" t="s">
        <v>709</v>
      </c>
      <c r="B216" s="36"/>
    </row>
    <row r="217" spans="1:6">
      <c r="A217" s="518" t="s">
        <v>720</v>
      </c>
      <c r="B217" s="36"/>
    </row>
    <row r="218" spans="1:6">
      <c r="A218" s="519" t="s">
        <v>799</v>
      </c>
    </row>
    <row r="219" spans="1:6">
      <c r="A219" s="518" t="s">
        <v>800</v>
      </c>
    </row>
    <row r="220" spans="1:6">
      <c r="A220" s="519" t="s">
        <v>801</v>
      </c>
    </row>
    <row r="221" spans="1:6">
      <c r="A221" s="727" t="s">
        <v>1125</v>
      </c>
    </row>
    <row r="222" spans="1:6">
      <c r="A222" s="728" t="s">
        <v>1126</v>
      </c>
    </row>
    <row r="223" spans="1:6">
      <c r="A223" s="518" t="s">
        <v>718</v>
      </c>
    </row>
    <row r="224" spans="1:6">
      <c r="A224" s="520" t="s">
        <v>802</v>
      </c>
    </row>
    <row r="225" spans="1:1">
      <c r="A225" s="519" t="s">
        <v>803</v>
      </c>
    </row>
    <row r="226" spans="1:1">
      <c r="A226" s="520" t="s">
        <v>804</v>
      </c>
    </row>
    <row r="227" spans="1:1">
      <c r="A227" s="519" t="s">
        <v>805</v>
      </c>
    </row>
    <row r="228" spans="1:1">
      <c r="A228" s="520" t="s">
        <v>806</v>
      </c>
    </row>
    <row r="229" spans="1:1">
      <c r="A229" s="520" t="s">
        <v>807</v>
      </c>
    </row>
    <row r="230" spans="1:1">
      <c r="A230" s="519" t="s">
        <v>808</v>
      </c>
    </row>
    <row r="231" spans="1:1">
      <c r="A231" s="520" t="s">
        <v>809</v>
      </c>
    </row>
    <row r="232" spans="1:1">
      <c r="A232" s="519" t="s">
        <v>810</v>
      </c>
    </row>
    <row r="233" spans="1:1">
      <c r="A233" s="516" t="s">
        <v>814</v>
      </c>
    </row>
    <row r="234" spans="1:1">
      <c r="A234" s="516" t="s">
        <v>816</v>
      </c>
    </row>
    <row r="235" spans="1:1">
      <c r="A235" s="516" t="s">
        <v>819</v>
      </c>
    </row>
    <row r="236" spans="1:1">
      <c r="A236" s="516" t="s">
        <v>824</v>
      </c>
    </row>
    <row r="237" spans="1:1">
      <c r="A237" s="516" t="s">
        <v>827</v>
      </c>
    </row>
  </sheetData>
  <sheetProtection algorithmName="SHA-512" hashValue="H88gcXOxbN7RXrlixmKV4RTykLo9xArTBut43Bz8zl64cNwV+R9gBV6IK7Em+NErtWRcF8udJjWfRtTLtRO7Bg==" saltValue="5ohFSaAsrApwbw0Y1B2ezQ==" spinCount="100000" sheet="1"/>
  <customSheetViews>
    <customSheetView guid="{EB7FE26D-7077-48F2-8515-D783BE87A220}" scale="70" state="hidden">
      <selection activeCell="A221" sqref="A221:A222"/>
      <pageMargins left="0.7" right="0.7" top="0.75" bottom="0.75" header="0.3" footer="0.3"/>
      <pageSetup paperSize="9" orientation="portrait" r:id="rId1"/>
    </customSheetView>
  </customSheetViews>
  <hyperlinks>
    <hyperlink ref="A227" r:id="rId2" location="!display=line&amp;ds=1459!g6f=6.12.15.n.g" display="http://datamarket.com/data/set/1459/household-electrification-rate-of-households - !display=line&amp;ds=1459!g6f=6.12.15.n.g" xr:uid="{00000000-0004-0000-1C00-000000000000}"/>
    <hyperlink ref="A225" r:id="rId3" xr:uid="{00000000-0004-0000-1C00-000001000000}"/>
    <hyperlink ref="A230" r:id="rId4" xr:uid="{00000000-0004-0000-1C00-000002000000}"/>
    <hyperlink ref="A232" r:id="rId5" xr:uid="{00000000-0004-0000-1C00-000003000000}"/>
    <hyperlink ref="A220" r:id="rId6" xr:uid="{00000000-0004-0000-1C00-000004000000}"/>
    <hyperlink ref="A218" r:id="rId7" xr:uid="{00000000-0004-0000-1C00-000005000000}"/>
    <hyperlink ref="A222" r:id="rId8" xr:uid="{00000000-0004-0000-1C00-000006000000}"/>
  </hyperlinks>
  <pageMargins left="0.7" right="0.7" top="0.75" bottom="0.75" header="0.3" footer="0.3"/>
  <pageSetup paperSize="9" orientation="portrait" r:id="rId9"/>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L24"/>
  <sheetViews>
    <sheetView workbookViewId="0">
      <selection activeCell="B3" sqref="B3"/>
    </sheetView>
  </sheetViews>
  <sheetFormatPr defaultColWidth="8.81640625" defaultRowHeight="12.5"/>
  <cols>
    <col min="1" max="1" width="40" style="9" customWidth="1"/>
    <col min="2" max="2" width="40.453125" style="9" customWidth="1"/>
    <col min="8" max="8" width="10.453125" customWidth="1"/>
  </cols>
  <sheetData>
    <row r="1" spans="1:12">
      <c r="A1" s="334"/>
      <c r="B1" s="334"/>
    </row>
    <row r="2" spans="1:12">
      <c r="A2" s="453" t="s">
        <v>543</v>
      </c>
      <c r="B2" s="453" t="s">
        <v>548</v>
      </c>
    </row>
    <row r="3" spans="1:12">
      <c r="A3" s="454" t="s">
        <v>547</v>
      </c>
      <c r="B3" s="373" t="s">
        <v>547</v>
      </c>
    </row>
    <row r="4" spans="1:12" ht="12.75" customHeight="1">
      <c r="A4" s="454" t="s">
        <v>530</v>
      </c>
      <c r="B4" s="725" t="s">
        <v>530</v>
      </c>
      <c r="C4" s="747"/>
      <c r="D4" s="748"/>
      <c r="E4" s="748"/>
      <c r="F4" s="748"/>
      <c r="G4" s="748"/>
      <c r="H4" s="748"/>
      <c r="I4" s="748"/>
      <c r="J4" s="748"/>
      <c r="K4" s="748"/>
      <c r="L4" s="748"/>
    </row>
    <row r="5" spans="1:12">
      <c r="A5" s="454" t="s">
        <v>544</v>
      </c>
      <c r="B5" s="687" t="s">
        <v>544</v>
      </c>
      <c r="C5" s="747"/>
      <c r="D5" s="748"/>
      <c r="E5" s="748"/>
      <c r="F5" s="748"/>
      <c r="G5" s="748"/>
      <c r="H5" s="748"/>
      <c r="I5" s="748"/>
      <c r="J5" s="748"/>
      <c r="K5" s="748"/>
      <c r="L5" s="748"/>
    </row>
    <row r="6" spans="1:12">
      <c r="A6" s="454" t="s">
        <v>43</v>
      </c>
      <c r="B6" s="687" t="s">
        <v>43</v>
      </c>
    </row>
    <row r="7" spans="1:12">
      <c r="A7" s="454" t="s">
        <v>366</v>
      </c>
      <c r="B7" s="453" t="str">
        <f>yes&amp;"/"&amp;no&amp;"/"&amp;que</f>
        <v>Y/N/?</v>
      </c>
    </row>
    <row r="8" spans="1:12">
      <c r="A8" s="454" t="s">
        <v>549</v>
      </c>
      <c r="B8" s="453" t="str">
        <f>yes&amp;"/"&amp;no</f>
        <v>Y/N</v>
      </c>
    </row>
    <row r="9" spans="1:12">
      <c r="A9" s="453"/>
      <c r="B9" s="453"/>
    </row>
    <row r="10" spans="1:12" ht="37.5">
      <c r="A10" s="454" t="s">
        <v>864</v>
      </c>
      <c r="B10" s="373" t="s">
        <v>864</v>
      </c>
      <c r="E10" s="8"/>
    </row>
    <row r="11" spans="1:12" ht="37.5">
      <c r="A11" s="454" t="s">
        <v>865</v>
      </c>
      <c r="B11" s="373" t="s">
        <v>865</v>
      </c>
      <c r="E11" s="8"/>
    </row>
    <row r="12" spans="1:12" ht="25">
      <c r="A12" s="685" t="s">
        <v>1085</v>
      </c>
      <c r="B12" s="687" t="s">
        <v>1085</v>
      </c>
    </row>
    <row r="13" spans="1:12" ht="37.5">
      <c r="A13" s="685" t="s">
        <v>1083</v>
      </c>
      <c r="B13" s="688" t="s">
        <v>1083</v>
      </c>
      <c r="E13" s="8"/>
    </row>
    <row r="14" spans="1:12" ht="37.5">
      <c r="A14" s="685" t="s">
        <v>1084</v>
      </c>
      <c r="B14" s="688" t="s">
        <v>1084</v>
      </c>
      <c r="E14" s="8"/>
    </row>
    <row r="15" spans="1:12" ht="68.25" customHeight="1">
      <c r="A15" s="685" t="s">
        <v>1122</v>
      </c>
      <c r="B15" s="724" t="s">
        <v>1123</v>
      </c>
      <c r="E15" s="8"/>
    </row>
    <row r="16" spans="1:12">
      <c r="A16" s="685" t="s">
        <v>1086</v>
      </c>
      <c r="B16" s="687" t="s">
        <v>1086</v>
      </c>
    </row>
    <row r="18" spans="1:2" ht="13">
      <c r="A18" s="12" t="s">
        <v>552</v>
      </c>
    </row>
    <row r="19" spans="1:2">
      <c r="A19" s="53" t="s">
        <v>550</v>
      </c>
      <c r="B19" s="9" t="s">
        <v>545</v>
      </c>
    </row>
    <row r="20" spans="1:2">
      <c r="A20" s="53" t="s">
        <v>551</v>
      </c>
      <c r="B20" s="9" t="s">
        <v>546</v>
      </c>
    </row>
    <row r="22" spans="1:2" ht="25.5" customHeight="1">
      <c r="A22" s="872" t="s">
        <v>1131</v>
      </c>
      <c r="B22" s="872"/>
    </row>
    <row r="24" spans="1:2" ht="50.5">
      <c r="A24" s="462" t="s">
        <v>589</v>
      </c>
    </row>
  </sheetData>
  <sheetProtection algorithmName="SHA-512" hashValue="bpBdcLwZg6hukl6D1jkVWWZz+le/fPRH6XuQmYwkbiH5Knrpd2dWmv0tJb1a/tivvtCLy4TgnAChMEa8mPFxKg==" saltValue="1yJNmu2pQON2yMeGAewylg==" spinCount="100000" sheet="1"/>
  <customSheetViews>
    <customSheetView guid="{EB7FE26D-7077-48F2-8515-D783BE87A220}">
      <selection activeCell="F13" sqref="F13"/>
      <pageMargins left="0.7" right="0.7" top="0.75" bottom="0.75" header="0.3" footer="0.3"/>
      <pageSetup paperSize="9" orientation="portrait" r:id="rId1"/>
    </customSheetView>
  </customSheetViews>
  <mergeCells count="1">
    <mergeCell ref="A22:B22"/>
  </mergeCells>
  <conditionalFormatting sqref="F11">
    <cfRule type="expression" dxfId="1" priority="2">
      <formula>$F$11=1</formula>
    </cfRule>
  </conditionalFormatting>
  <conditionalFormatting sqref="F12">
    <cfRule type="expression" dxfId="0" priority="1">
      <formula>$F$12=0</formula>
    </cfRule>
  </conditionalFormatting>
  <dataValidations count="1">
    <dataValidation showInputMessage="1" showErrorMessage="1" sqref="F10" xr:uid="{00000000-0002-0000-1E00-000000000000}"/>
  </dataValidation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37"/>
  <sheetViews>
    <sheetView topLeftCell="A16" zoomScaleNormal="80" workbookViewId="0">
      <selection activeCell="B32" sqref="B32"/>
    </sheetView>
  </sheetViews>
  <sheetFormatPr defaultColWidth="9.1796875" defaultRowHeight="12.5"/>
  <cols>
    <col min="1" max="1" width="38" style="339" customWidth="1"/>
    <col min="2" max="2" width="10" style="360" customWidth="1"/>
    <col min="3" max="3" width="14.1796875" style="339" customWidth="1"/>
    <col min="4" max="4" width="21.453125" style="339" customWidth="1"/>
    <col min="5" max="5" width="22.6328125" style="339" customWidth="1"/>
    <col min="6" max="6" width="14.81640625" style="339" customWidth="1"/>
    <col min="7" max="7" width="12.36328125" style="339" customWidth="1"/>
    <col min="8" max="8" width="10.6328125" style="339" customWidth="1"/>
    <col min="9" max="9" width="16.81640625" style="339" customWidth="1"/>
    <col min="10" max="10" width="16.453125" style="339" customWidth="1"/>
    <col min="11" max="11" width="14.81640625" style="339" customWidth="1"/>
    <col min="12" max="12" width="15.453125" style="339" customWidth="1"/>
    <col min="13" max="13" width="5.36328125" style="339" customWidth="1"/>
    <col min="14" max="14" width="9.1796875" style="339"/>
    <col min="15" max="15" width="3.81640625" style="339" hidden="1" customWidth="1"/>
    <col min="16" max="16" width="28.81640625" style="339" customWidth="1"/>
    <col min="17" max="16384" width="9.1796875" style="339"/>
  </cols>
  <sheetData>
    <row r="1" spans="1:16" ht="13">
      <c r="A1" s="356" t="s">
        <v>429</v>
      </c>
      <c r="B1" s="357"/>
    </row>
    <row r="2" spans="1:16" ht="30" customHeight="1">
      <c r="A2" s="840" t="str">
        <f>IF(ISNA(MATCH("n",O5:O31,0)),"",trans_warning)</f>
        <v/>
      </c>
      <c r="B2" s="841"/>
      <c r="C2" s="841"/>
      <c r="D2" s="841"/>
      <c r="E2" s="841"/>
      <c r="F2" s="841"/>
      <c r="G2" s="841"/>
      <c r="H2" s="841"/>
      <c r="I2" s="841"/>
      <c r="J2" s="841"/>
      <c r="K2" s="841"/>
      <c r="L2" s="841"/>
      <c r="M2" s="842"/>
    </row>
    <row r="3" spans="1:16" s="361" customFormat="1" ht="26">
      <c r="A3" s="710" t="s">
        <v>312</v>
      </c>
      <c r="B3" s="711" t="s">
        <v>365</v>
      </c>
      <c r="C3" s="712" t="s">
        <v>496</v>
      </c>
      <c r="D3" s="710"/>
      <c r="E3" s="713"/>
      <c r="F3" s="714" t="s">
        <v>358</v>
      </c>
      <c r="G3" s="837" t="s">
        <v>363</v>
      </c>
      <c r="H3" s="838"/>
      <c r="I3" s="838"/>
      <c r="J3" s="838"/>
      <c r="K3" s="838"/>
      <c r="L3" s="839"/>
      <c r="M3" s="710"/>
    </row>
    <row r="4" spans="1:16" ht="39">
      <c r="A4" s="708"/>
      <c r="B4" s="709" t="str">
        <f>quest</f>
        <v>Y/N/?</v>
      </c>
      <c r="C4" s="712" t="s">
        <v>367</v>
      </c>
      <c r="D4" s="712" t="s">
        <v>35</v>
      </c>
      <c r="E4" s="716" t="s">
        <v>1055</v>
      </c>
      <c r="F4" s="712" t="s">
        <v>362</v>
      </c>
      <c r="G4" s="717" t="s">
        <v>38</v>
      </c>
      <c r="H4" s="717" t="s">
        <v>39</v>
      </c>
      <c r="I4" s="717" t="s">
        <v>40</v>
      </c>
      <c r="J4" s="712" t="s">
        <v>499</v>
      </c>
      <c r="K4" s="712" t="s">
        <v>42</v>
      </c>
      <c r="L4" s="712" t="s">
        <v>1118</v>
      </c>
      <c r="M4" s="710" t="s">
        <v>357</v>
      </c>
      <c r="N4" s="323" t="s">
        <v>56</v>
      </c>
    </row>
    <row r="5" spans="1:16" ht="13.5" thickBot="1">
      <c r="A5" s="265" t="s">
        <v>417</v>
      </c>
      <c r="B5" s="479"/>
      <c r="C5" s="267"/>
      <c r="D5" s="272"/>
      <c r="E5" s="272"/>
      <c r="F5" s="351"/>
      <c r="G5" s="352"/>
      <c r="H5" s="352"/>
      <c r="I5" s="352"/>
      <c r="J5" s="353"/>
      <c r="K5" s="353"/>
      <c r="L5" s="353"/>
      <c r="M5" s="263"/>
      <c r="N5" s="463"/>
    </row>
    <row r="6" spans="1:16" ht="25.5" thickBot="1">
      <c r="A6" s="270" t="s">
        <v>161</v>
      </c>
      <c r="B6" s="614"/>
      <c r="C6" s="377"/>
      <c r="D6" s="345" t="s">
        <v>934</v>
      </c>
      <c r="E6" s="345"/>
      <c r="F6" s="460" t="str">
        <f>IF(OR($B6=yes,$B6=yes),'5-2 Prim metal'!K6, IF(OR($B6=no,$B6=no),"-", IF($B6=que,que, pres)))</f>
        <v>Present?</v>
      </c>
      <c r="G6" s="280" t="str">
        <f>IF(OR($B6=yes,$B6=yes),'5-2 Prim metal'!V6, IF(OR($B6=no,$B6=no),"-", IF($B6=que,que, pres)))</f>
        <v>Present?</v>
      </c>
      <c r="H6" s="280" t="str">
        <f>IF(OR($B6=yes,$B6=yes),'5-2 Prim metal'!W6, IF(OR($B6=no,$B6=no),"-", IF($B6=que,que, pres)))</f>
        <v>Present?</v>
      </c>
      <c r="I6" s="280" t="str">
        <f>IF(OR($B6=yes,$B6=yes),'5-2 Prim metal'!X6, IF(OR($B6=no,$B6=no),"-", IF($B6=que,que, pres)))</f>
        <v>Present?</v>
      </c>
      <c r="J6" s="280" t="str">
        <f>IF(OR($B6=yes,$B6=yes),'5-2 Prim metal'!Y6, IF(OR($B6=no,$B6=no),"-", IF($B6=que,que, pres)))</f>
        <v>Present?</v>
      </c>
      <c r="K6" s="280" t="str">
        <f>IF(OR($B6=yes,$B6=yes),'5-2 Prim metal'!Z6, IF(OR($B6=no,$B6=no),"-", IF($B6=que,que, pres)))</f>
        <v>Present?</v>
      </c>
      <c r="L6" s="280" t="str">
        <f>IF(OR($B6=yes,$B6=yes),'5-2 Prim metal'!AA6, IF(OR($B6=no,$B6=no),"-", IF($B6=que,que, pres)))</f>
        <v>Present?</v>
      </c>
      <c r="M6" s="273" t="s">
        <v>157</v>
      </c>
      <c r="N6" s="463"/>
    </row>
    <row r="7" spans="1:16" ht="13" thickBot="1">
      <c r="A7" s="270" t="s">
        <v>369</v>
      </c>
      <c r="B7" s="616"/>
      <c r="C7" s="400"/>
      <c r="D7" s="643" t="s">
        <v>935</v>
      </c>
      <c r="E7" s="665"/>
      <c r="F7" s="460" t="str">
        <f>IF(OR($B7=yes,$B7=yes),'5-2 Prim metal'!K16, IF(OR($B7=no,$B7=no),"-", IF($B7=que,que, pres)))</f>
        <v>Present?</v>
      </c>
      <c r="G7" s="280" t="str">
        <f>IF(OR($B7=yes,$B7=yes),SUM('5-2 Prim metal'!V16:V19), IF(OR($B7=no,$B7=no),"-", IF($B7=que,que, pres)))</f>
        <v>Present?</v>
      </c>
      <c r="H7" s="280" t="str">
        <f>IF(OR($B7=yes,$B7=yes),SUM('5-2 Prim metal'!W16:W19), IF(OR($B7=no,$B7=no),"-", IF($B7=que,que, pres)))</f>
        <v>Present?</v>
      </c>
      <c r="I7" s="280" t="str">
        <f>IF(OR($B7=yes,$B7=yes),SUM('5-2 Prim metal'!X16:X19), IF(OR($B7=no,$B7=no),"-", IF($B7=que,que, pres)))</f>
        <v>Present?</v>
      </c>
      <c r="J7" s="280" t="str">
        <f>IF(OR($B7=yes,$B7=yes),SUM('5-2 Prim metal'!Y16:Y19), IF(OR($B7=no,$B7=no),"-", IF($B7=que,que, pres)))</f>
        <v>Present?</v>
      </c>
      <c r="K7" s="280" t="str">
        <f>IF(OR($B7=yes,$B7=yes),SUM('5-2 Prim metal'!Z16:Z19), IF(OR($B7=no,$B7=no),"-", IF($B7=que,que, pres)))</f>
        <v>Present?</v>
      </c>
      <c r="L7" s="280" t="str">
        <f>IF(OR($B7=yes,$B7=yes),SUM('5-2 Prim metal'!AA16:AA19), IF(OR($B7=no,$B7=no),"-", IF($B7=que,que, pres)))</f>
        <v>Present?</v>
      </c>
      <c r="M7" s="273" t="s">
        <v>373</v>
      </c>
      <c r="N7" s="463"/>
      <c r="O7" s="339" t="str">
        <f>INDEX('Range-thresholds'!$G$6:$G$73,MATCH(A7,'Range-thresholds'!$A$6:$A$73,0))</f>
        <v/>
      </c>
    </row>
    <row r="8" spans="1:16" ht="37.5">
      <c r="A8" s="270"/>
      <c r="B8" s="702"/>
      <c r="C8" s="706"/>
      <c r="D8" s="273"/>
      <c r="E8" s="672" t="s">
        <v>1039</v>
      </c>
      <c r="F8" s="652"/>
      <c r="G8" s="652" t="s">
        <v>1045</v>
      </c>
      <c r="H8" s="652" t="s">
        <v>1046</v>
      </c>
      <c r="I8" s="652" t="s">
        <v>1047</v>
      </c>
      <c r="J8" s="652" t="s">
        <v>1048</v>
      </c>
      <c r="K8" s="280"/>
      <c r="L8" s="280"/>
      <c r="M8" s="273"/>
      <c r="N8" s="463"/>
    </row>
    <row r="9" spans="1:16" ht="25.5" thickBot="1">
      <c r="A9" s="270"/>
      <c r="B9" s="703"/>
      <c r="C9" s="703"/>
      <c r="D9" s="653" t="s">
        <v>1037</v>
      </c>
      <c r="E9" s="652" t="s">
        <v>1038</v>
      </c>
      <c r="F9" s="652"/>
      <c r="G9" s="654">
        <f>100-H9-I9-J9-K9-L9</f>
        <v>0</v>
      </c>
      <c r="H9" s="659"/>
      <c r="I9" s="659">
        <v>100</v>
      </c>
      <c r="J9" s="659"/>
      <c r="K9" s="280"/>
      <c r="L9" s="280"/>
      <c r="M9" s="697" t="s">
        <v>1133</v>
      </c>
      <c r="N9" s="464"/>
      <c r="P9" s="698"/>
    </row>
    <row r="10" spans="1:16" ht="13" thickBot="1">
      <c r="A10" s="270" t="s">
        <v>371</v>
      </c>
      <c r="B10" s="704"/>
      <c r="C10" s="403"/>
      <c r="D10" s="345" t="s">
        <v>935</v>
      </c>
      <c r="E10" s="665"/>
      <c r="F10" s="460" t="str">
        <f>IF(OR($B10=yes,$B10=yes),'5-2 Prim metal'!K23, IF(OR($B10=no,$B10=no),"-", IF($B10=que,que, pres)))</f>
        <v>Present?</v>
      </c>
      <c r="G10" s="280" t="str">
        <f>IF(OR($B10=yes,$B10=yes),SUM('5-2 Prim metal'!V23:V26), IF(OR($B10=no,$B10=no),"-", IF($B10=que,que, pres)))</f>
        <v>Present?</v>
      </c>
      <c r="H10" s="280" t="str">
        <f>IF(OR($B10=yes,$B10=yes),SUM('5-2 Prim metal'!W23:W26), IF(OR($B10=no,$B10=no),"-", IF($B10=que,que, pres)))</f>
        <v>Present?</v>
      </c>
      <c r="I10" s="280" t="str">
        <f>IF(OR($B10=yes,$B10=yes),SUM('5-2 Prim metal'!X23:X26), IF(OR($B10=no,$B10=no),"-", IF($B10=que,que, pres)))</f>
        <v>Present?</v>
      </c>
      <c r="J10" s="280" t="str">
        <f>IF(OR($B10=yes,$B10=yes),SUM('5-2 Prim metal'!Y23:Y26), IF(OR($B10=no,$B10=no),"-", IF($B10=que,que, pres)))</f>
        <v>Present?</v>
      </c>
      <c r="K10" s="280" t="str">
        <f>IF(OR($B10=yes,$B10=yes),SUM('5-2 Prim metal'!Z23:Z26), IF(OR($B10=no,$B10=no),"-", IF($B10=que,que, pres)))</f>
        <v>Present?</v>
      </c>
      <c r="L10" s="280" t="str">
        <f>IF(OR($B10=yes,$B10=yes),SUM('5-2 Prim metal'!AA23:AA26), IF(OR($B10=no,$B10=no),"-", IF($B10=que,que, pres)))</f>
        <v>Present?</v>
      </c>
      <c r="M10" s="273" t="s">
        <v>374</v>
      </c>
      <c r="N10" s="463"/>
      <c r="O10" s="339" t="str">
        <f>INDEX('Range-thresholds'!$G$6:$G$73,MATCH(A10,'Range-thresholds'!$A$6:$A$73,0))</f>
        <v/>
      </c>
    </row>
    <row r="11" spans="1:16" ht="37.5">
      <c r="A11" s="270"/>
      <c r="B11" s="702"/>
      <c r="C11" s="702"/>
      <c r="D11" s="273"/>
      <c r="E11" s="672" t="s">
        <v>1039</v>
      </c>
      <c r="F11" s="652"/>
      <c r="G11" s="652" t="s">
        <v>1045</v>
      </c>
      <c r="H11" s="652" t="s">
        <v>1046</v>
      </c>
      <c r="I11" s="652" t="s">
        <v>1047</v>
      </c>
      <c r="J11" s="652" t="s">
        <v>1048</v>
      </c>
      <c r="K11" s="280"/>
      <c r="L11" s="280"/>
      <c r="M11" s="273"/>
      <c r="N11" s="463"/>
    </row>
    <row r="12" spans="1:16" ht="25.5" thickBot="1">
      <c r="A12" s="270"/>
      <c r="B12" s="703"/>
      <c r="C12" s="703"/>
      <c r="D12" s="653" t="s">
        <v>1037</v>
      </c>
      <c r="E12" s="652" t="s">
        <v>1038</v>
      </c>
      <c r="F12" s="652"/>
      <c r="G12" s="654">
        <f>100-H12-I12-J12-K12-L12</f>
        <v>0</v>
      </c>
      <c r="H12" s="659"/>
      <c r="I12" s="659">
        <v>100</v>
      </c>
      <c r="J12" s="659"/>
      <c r="K12" s="280"/>
      <c r="L12" s="280"/>
      <c r="M12" s="697" t="s">
        <v>1133</v>
      </c>
      <c r="N12" s="464"/>
    </row>
    <row r="13" spans="1:16" ht="13" thickBot="1">
      <c r="A13" s="270" t="s">
        <v>372</v>
      </c>
      <c r="B13" s="704"/>
      <c r="C13" s="403"/>
      <c r="D13" s="345" t="s">
        <v>935</v>
      </c>
      <c r="E13" s="665"/>
      <c r="F13" s="460" t="str">
        <f>IF(OR($B13=yes,$B13=yes),'5-2 Prim metal'!K30, IF(OR($B13=no,$B13=no),"-", IF($B13=que,que, pres)))</f>
        <v>Present?</v>
      </c>
      <c r="G13" s="280" t="str">
        <f>IF(OR($B13=yes,$B13=yes),'5-2 Prim metal'!V28, IF(OR($B13=no,$B13=no),"-", IF($B13=que,que, pres)))</f>
        <v>Present?</v>
      </c>
      <c r="H13" s="280" t="str">
        <f>IF(OR($B13=yes,$B13=yes),'5-2 Prim metal'!W28, IF(OR($B13=no,$B13=no),"-", IF($B13=que,que, pres)))</f>
        <v>Present?</v>
      </c>
      <c r="I13" s="280" t="str">
        <f>IF(OR($B13=yes,$B13=yes),'5-2 Prim metal'!X28, IF(OR($B13=no,$B13=no),"-", IF($B13=que,que, pres)))</f>
        <v>Present?</v>
      </c>
      <c r="J13" s="280" t="str">
        <f>IF(OR($B13=yes,$B13=yes),'5-2 Prim metal'!Y28, IF(OR($B13=no,$B13=no),"-", IF($B13=que,que, pres)))</f>
        <v>Present?</v>
      </c>
      <c r="K13" s="280" t="str">
        <f>IF(OR($B13=yes,$B13=yes),'5-2 Prim metal'!Z28, IF(OR($B13=no,$B13=no),"-", IF($B13=que,que, pres)))</f>
        <v>Present?</v>
      </c>
      <c r="L13" s="280" t="str">
        <f>IF(OR($B13=yes,$B13=yes),'5-2 Prim metal'!AA28, IF(OR($B13=no,$B13=no),"-", IF($B13=que,que, pres)))</f>
        <v>Present?</v>
      </c>
      <c r="M13" s="273" t="s">
        <v>375</v>
      </c>
      <c r="N13" s="463"/>
      <c r="O13" s="339" t="str">
        <f>INDEX('Range-thresholds'!$G$6:$G$73,MATCH(A13,'Range-thresholds'!$A$6:$A$73,0))</f>
        <v/>
      </c>
    </row>
    <row r="14" spans="1:16" ht="37.5">
      <c r="A14" s="270"/>
      <c r="B14" s="702"/>
      <c r="C14" s="702"/>
      <c r="D14" s="273"/>
      <c r="E14" s="672" t="s">
        <v>1039</v>
      </c>
      <c r="F14" s="652"/>
      <c r="G14" s="652" t="s">
        <v>1045</v>
      </c>
      <c r="H14" s="652" t="s">
        <v>1046</v>
      </c>
      <c r="I14" s="652" t="s">
        <v>1047</v>
      </c>
      <c r="J14" s="652" t="s">
        <v>1048</v>
      </c>
      <c r="K14" s="280"/>
      <c r="L14" s="280"/>
      <c r="M14" s="273"/>
      <c r="N14" s="463"/>
    </row>
    <row r="15" spans="1:16" ht="25.5" thickBot="1">
      <c r="A15" s="270"/>
      <c r="B15" s="703"/>
      <c r="C15" s="703"/>
      <c r="D15" s="653" t="s">
        <v>1037</v>
      </c>
      <c r="E15" s="652" t="s">
        <v>1038</v>
      </c>
      <c r="F15" s="652"/>
      <c r="G15" s="654">
        <f>100-H15-I15-J15-K15-L15</f>
        <v>0</v>
      </c>
      <c r="H15" s="659"/>
      <c r="I15" s="659">
        <v>100</v>
      </c>
      <c r="J15" s="659"/>
      <c r="K15" s="280"/>
      <c r="L15" s="280"/>
      <c r="M15" s="697" t="s">
        <v>1133</v>
      </c>
      <c r="N15" s="464"/>
    </row>
    <row r="16" spans="1:16" ht="25">
      <c r="A16" s="270" t="s">
        <v>370</v>
      </c>
      <c r="B16" s="614"/>
      <c r="C16" s="377"/>
      <c r="D16" s="345" t="s">
        <v>936</v>
      </c>
      <c r="E16" s="345"/>
      <c r="F16" s="460" t="str">
        <f>IF(OR($B16=yes,$B16=yes),'5-2 Prim metal'!K35, IF(OR($B16=no,$B16=no),"-", IF($B16=que,que, pres)))</f>
        <v>Present?</v>
      </c>
      <c r="G16" s="280" t="str">
        <f>IF(OR($B16=yes,$B16=yes),'5-2 Prim metal'!V35, IF(OR($B16=no,$B16=no),"-", IF($B16=que,que, pres)))</f>
        <v>Present?</v>
      </c>
      <c r="H16" s="280" t="str">
        <f>IF(OR($B16=yes,$B16=yes),'5-2 Prim metal'!W35, IF(OR($B16=no,$B16=no),"-", IF($B16=que,que, pres)))</f>
        <v>Present?</v>
      </c>
      <c r="I16" s="280" t="str">
        <f>IF(OR($B16=yes,$B16=yes),'5-2 Prim metal'!X35, IF(OR($B16=no,$B16=no),"-", IF($B16=que,que, pres)))</f>
        <v>Present?</v>
      </c>
      <c r="J16" s="280" t="str">
        <f>IF(OR($B16=yes,$B16=yes),'5-2 Prim metal'!Y35, IF(OR($B16=no,$B16=no),"-", IF($B16=que,que, pres)))</f>
        <v>Present?</v>
      </c>
      <c r="K16" s="280" t="str">
        <f>IF(OR($B16=yes,$B16=yes),'5-2 Prim metal'!Z35, IF(OR($B16=no,$B16=no),"-", IF($B16=que,que, pres)))</f>
        <v>Present?</v>
      </c>
      <c r="L16" s="280" t="str">
        <f>IF(OR($B16=yes,$B16=yes),'5-2 Prim metal'!AA35, IF(OR($B16=no,$B16=no),"-", IF($B16=que,que, pres)))</f>
        <v>Present?</v>
      </c>
      <c r="M16" s="273" t="s">
        <v>376</v>
      </c>
      <c r="N16" s="463"/>
      <c r="O16" s="339" t="str">
        <f>INDEX('Range-thresholds'!$G$6:$G$73,MATCH(A16,'Range-thresholds'!$A$6:$A$73,0))</f>
        <v/>
      </c>
    </row>
    <row r="17" spans="1:18" ht="25">
      <c r="A17" s="275" t="s">
        <v>433</v>
      </c>
      <c r="B17" s="615"/>
      <c r="C17" s="378"/>
      <c r="D17" s="345" t="s">
        <v>937</v>
      </c>
      <c r="E17" s="345"/>
      <c r="F17" s="460" t="str">
        <f>IF(OR($B17=yes,$B17=yes),'5-2 Prim metal'!K38, IF(OR($B17=no,$B17=no),"-", IF($B17=que,que, pres)))</f>
        <v>Present?</v>
      </c>
      <c r="G17" s="280" t="str">
        <f>IF(OR($B17=yes,$B17=yes),'5-2 Prim metal'!V38, IF(OR($B17=no,$B17=no),"-", IF($B17=que,que, pres)))</f>
        <v>Present?</v>
      </c>
      <c r="H17" s="280" t="str">
        <f>IF(OR($B17=yes,$B17=yes),'5-2 Prim metal'!W38, IF(OR($B17=no,$B17=no),"-", IF($B17=que,que, pres)))</f>
        <v>Present?</v>
      </c>
      <c r="I17" s="280" t="str">
        <f>IF(OR($B17=yes,$B17=yes),'5-2 Prim metal'!X38, IF(OR($B17=no,$B17=no),"-", IF($B17=que,que, pres)))</f>
        <v>Present?</v>
      </c>
      <c r="J17" s="280" t="str">
        <f>IF(OR($B17=yes,$B17=yes),'5-2 Prim metal'!Y38, IF(OR($B17=no,$B17=no),"-", IF($B17=que,que, pres)))</f>
        <v>Present?</v>
      </c>
      <c r="K17" s="280" t="str">
        <f>IF(OR($B17=yes,$B17=yes),'5-2 Prim metal'!Z38, IF(OR($B17=no,$B17=no),"-", IF($B17=que,que, pres)))</f>
        <v>Present?</v>
      </c>
      <c r="L17" s="280" t="str">
        <f>IF(OR($B17=yes,$B17=yes),'5-2 Prim metal'!AA38, IF(OR($B17=no,$B17=no),"-", IF($B17=que,que, pres)))</f>
        <v>Present?</v>
      </c>
      <c r="M17" s="273" t="s">
        <v>377</v>
      </c>
      <c r="N17" s="463"/>
      <c r="O17" s="339" t="str">
        <f>INDEX('Range-thresholds'!$G$6:$G$73,MATCH(A17,'Range-thresholds'!$A$6:$A$73,0))</f>
        <v/>
      </c>
    </row>
    <row r="18" spans="1:18" ht="25.5" thickBot="1">
      <c r="A18" s="275" t="s">
        <v>841</v>
      </c>
      <c r="B18" s="615"/>
      <c r="C18" s="378"/>
      <c r="D18" s="355" t="s">
        <v>938</v>
      </c>
      <c r="E18" s="355"/>
      <c r="F18" s="460" t="str">
        <f>IF(OR($B18=yes,$B18=yes),'5-2 Prim metal'!K43, IF(OR($B18=no,$B18=no),"-", IF($B18=que,que, pres)))</f>
        <v>Present?</v>
      </c>
      <c r="G18" s="280" t="str">
        <f>IF(OR($B18=yes,$B18=yes),'5-2 Prim metal'!V43, IF(OR($B18=no,$B18=no),"-", IF($B18=que,que, pres)))</f>
        <v>Present?</v>
      </c>
      <c r="H18" s="280" t="str">
        <f>IF(OR($B18=yes,$B18=yes),'5-2 Prim metal'!W43, IF(OR($B18=no,$B18=no),"-", IF($B18=que,que, pres)))</f>
        <v>Present?</v>
      </c>
      <c r="I18" s="280" t="str">
        <f>IF(OR($B18=yes,$B18=yes),'5-2 Prim metal'!X43, IF(OR($B18=no,$B18=no),"-", IF($B18=que,que, pres)))</f>
        <v>Present?</v>
      </c>
      <c r="J18" s="280" t="str">
        <f>IF(OR($B18=yes,$B18=yes),'5-2 Prim metal'!Y43, IF(OR($B18=no,$B18=no),"-", IF($B18=que,que, pres)))</f>
        <v>Present?</v>
      </c>
      <c r="K18" s="280" t="str">
        <f>IF(OR($B18=yes,$B18=yes),'5-2 Prim metal'!Z43, IF(OR($B18=no,$B18=no),"-", IF($B18=que,que, pres)))</f>
        <v>Present?</v>
      </c>
      <c r="L18" s="280" t="str">
        <f>IF(OR($B18=yes,$B18=yes),'5-2 Prim metal'!AA43, IF(OR($B18=no,$B18=no),"-", IF($B18=que,que, pres)))</f>
        <v>Present?</v>
      </c>
      <c r="M18" s="273" t="s">
        <v>378</v>
      </c>
      <c r="N18" s="463"/>
      <c r="O18" s="339" t="str">
        <f>INDEX('Range-thresholds'!$G$6:$G$73,MATCH(A18,'Range-thresholds'!$A$6:$A$73,0))</f>
        <v/>
      </c>
    </row>
    <row r="19" spans="1:18" ht="25.5" thickBot="1">
      <c r="A19" s="588" t="s">
        <v>1049</v>
      </c>
      <c r="B19" s="616"/>
      <c r="C19" s="400"/>
      <c r="D19" s="355" t="s">
        <v>939</v>
      </c>
      <c r="E19" s="665"/>
      <c r="F19" s="460" t="str">
        <f>IF(OR($B19=yes,$B19=yes),SUM('5-2 Prim metal'!K9:K10), IF(OR($B19=no,$B19=no),"-", IF($B19=que,que, pres)))</f>
        <v>Present?</v>
      </c>
      <c r="G19" s="280" t="str">
        <f>IF(OR($B19=yes,$B19=yes),SUM('5-2 Prim metal'!V9:V10), IF(OR($B19=no,$B19=no),"-", IF($B19=que,que, pres)))</f>
        <v>Present?</v>
      </c>
      <c r="H19" s="280" t="str">
        <f>IF(OR($B19=yes,$B19=yes),SUM('5-2 Prim metal'!W9:W10), IF(OR($B19=no,$B19=no),"-", IF($B19=que,que, pres)))</f>
        <v>Present?</v>
      </c>
      <c r="I19" s="280" t="str">
        <f>IF(OR($B19=yes,$B19=yes),SUM('5-2 Prim metal'!X9:X10), IF(OR($B19=no,$B19=no),"-", IF($B19=que,que, pres)))</f>
        <v>Present?</v>
      </c>
      <c r="J19" s="280" t="str">
        <f>IF(OR($B19=yes,$B19=yes),SUM('5-2 Prim metal'!Y9:Y10), IF(OR($B19=no,$B19=no),"-", IF($B19=que,que, pres)))</f>
        <v>Present?</v>
      </c>
      <c r="K19" s="280" t="str">
        <f>IF(OR($B19=yes,$B19=yes),SUM('5-2 Prim metal'!Z9:Z10), IF(OR($B19=no,$B19=no),"-", IF($B19=que,que, pres)))</f>
        <v>Present?</v>
      </c>
      <c r="L19" s="280" t="str">
        <f>IF(OR($B19=yes,$B19=yes),SUM('5-2 Prim metal'!AA9:AA10), IF(OR($B19=no,$B19=no),"-", IF($B19=que,que, pres)))</f>
        <v>Present?</v>
      </c>
      <c r="M19" s="273" t="s">
        <v>158</v>
      </c>
      <c r="N19" s="463"/>
      <c r="O19" s="339" t="str">
        <f>INDEX('Range-thresholds'!$G$6:$G$73,MATCH(A19,'Range-thresholds'!$A$6:$A$73,0))</f>
        <v/>
      </c>
    </row>
    <row r="20" spans="1:18" ht="37.5">
      <c r="A20" s="588"/>
      <c r="B20" s="588"/>
      <c r="C20" s="588"/>
      <c r="D20" s="273"/>
      <c r="E20" s="672" t="s">
        <v>1039</v>
      </c>
      <c r="F20" s="652"/>
      <c r="G20" s="652" t="s">
        <v>1057</v>
      </c>
      <c r="H20" s="652" t="s">
        <v>1050</v>
      </c>
      <c r="I20" s="280"/>
      <c r="J20" s="280"/>
      <c r="K20" s="280"/>
      <c r="L20" s="280"/>
      <c r="M20" s="273"/>
      <c r="N20" s="463"/>
    </row>
    <row r="21" spans="1:18" ht="25.5" thickBot="1">
      <c r="A21" s="588"/>
      <c r="B21" s="705"/>
      <c r="C21" s="705"/>
      <c r="D21" s="653" t="s">
        <v>1037</v>
      </c>
      <c r="E21" s="652" t="s">
        <v>1038</v>
      </c>
      <c r="F21" s="652"/>
      <c r="G21" s="660">
        <f>100-H21-I21-J21-K21-L21</f>
        <v>100</v>
      </c>
      <c r="H21" s="659"/>
      <c r="I21" s="280"/>
      <c r="J21" s="280"/>
      <c r="K21" s="280"/>
      <c r="L21" s="280"/>
      <c r="M21" s="697" t="s">
        <v>1133</v>
      </c>
      <c r="N21" s="464"/>
    </row>
    <row r="22" spans="1:18" ht="25.5" thickBot="1">
      <c r="A22" s="588" t="s">
        <v>1051</v>
      </c>
      <c r="B22" s="704"/>
      <c r="C22" s="403"/>
      <c r="D22" s="355" t="s">
        <v>939</v>
      </c>
      <c r="E22" s="665"/>
      <c r="F22" s="460" t="str">
        <f>IF(OR($B22=yes,$B22=yes),SUM('5-2 Prim metal'!K11:K12), IF(OR($B22=no,$B22=no),"-", IF($B22=que,que, pres)))</f>
        <v>Present?</v>
      </c>
      <c r="G22" s="280" t="str">
        <f>IF(OR($B22=yes,$B22=yes),SUM('5-2 Prim metal'!V11:V12), IF(OR($B22=no,$B22=no),"-", IF($B22=que,que, pres)))</f>
        <v>Present?</v>
      </c>
      <c r="H22" s="280" t="str">
        <f>IF(OR($B22=yes,$B22=yes),SUM('5-2 Prim metal'!W11:W12), IF(OR($B22=no,$B22=no),"-", IF($B22=que,que, pres)))</f>
        <v>Present?</v>
      </c>
      <c r="I22" s="280" t="str">
        <f>IF(OR($B22=yes,$B22=yes),SUM('5-2 Prim metal'!X11:X12), IF(OR($B22=no,$B22=no),"-", IF($B22=que,que, pres)))</f>
        <v>Present?</v>
      </c>
      <c r="J22" s="280" t="str">
        <f>IF(OR($B22=yes,$B22=yes),SUM('5-2 Prim metal'!Y11:Y12), IF(OR($B22=no,$B22=no),"-", IF($B22=que,que, pres)))</f>
        <v>Present?</v>
      </c>
      <c r="K22" s="280" t="str">
        <f>IF(OR($B22=yes,$B22=yes),SUM('5-2 Prim metal'!Z11:Z12), IF(OR($B22=no,$B22=no),"-", IF($B22=que,que, pres)))</f>
        <v>Present?</v>
      </c>
      <c r="L22" s="280" t="str">
        <f>IF(OR($B22=yes,$B22=yes),SUM('5-2 Prim metal'!AA11:AA12), IF(OR($B22=no,$B22=no),"-", IF($B22=que,que, pres)))</f>
        <v>Present?</v>
      </c>
      <c r="M22" s="273" t="s">
        <v>158</v>
      </c>
      <c r="N22" s="463"/>
      <c r="O22" s="339" t="str">
        <f>INDEX('Range-thresholds'!$G$6:$G$73,MATCH(A22,'Range-thresholds'!$A$6:$A$73,0))</f>
        <v/>
      </c>
    </row>
    <row r="23" spans="1:18" ht="37.5">
      <c r="A23" s="275"/>
      <c r="B23" s="275"/>
      <c r="C23" s="275"/>
      <c r="D23" s="273"/>
      <c r="E23" s="672" t="s">
        <v>1039</v>
      </c>
      <c r="F23" s="652"/>
      <c r="G23" s="652" t="s">
        <v>1057</v>
      </c>
      <c r="H23" s="652" t="s">
        <v>1050</v>
      </c>
      <c r="I23" s="280"/>
      <c r="J23" s="280"/>
      <c r="K23" s="280"/>
      <c r="L23" s="280"/>
      <c r="M23" s="273"/>
      <c r="N23" s="463"/>
    </row>
    <row r="24" spans="1:18" ht="25">
      <c r="A24" s="275"/>
      <c r="B24" s="275"/>
      <c r="C24" s="275"/>
      <c r="D24" s="653" t="s">
        <v>1037</v>
      </c>
      <c r="E24" s="652" t="s">
        <v>1038</v>
      </c>
      <c r="F24" s="652"/>
      <c r="G24" s="660">
        <f>100-H24-I24-J24-K24-L24</f>
        <v>100</v>
      </c>
      <c r="H24" s="659"/>
      <c r="I24" s="661"/>
      <c r="J24" s="280"/>
      <c r="K24" s="280"/>
      <c r="L24" s="661"/>
      <c r="M24" s="697" t="s">
        <v>1133</v>
      </c>
      <c r="N24" s="464"/>
    </row>
    <row r="25" spans="1:18" ht="13.5" thickBot="1">
      <c r="A25" s="354" t="s">
        <v>442</v>
      </c>
      <c r="B25" s="275"/>
      <c r="C25" s="275"/>
      <c r="D25" s="272"/>
      <c r="E25" s="355"/>
      <c r="F25" s="460"/>
      <c r="G25" s="280"/>
      <c r="H25" s="280"/>
      <c r="I25" s="280"/>
      <c r="J25" s="280"/>
      <c r="K25" s="280"/>
      <c r="L25" s="661"/>
      <c r="M25" s="272"/>
      <c r="N25" s="463"/>
    </row>
    <row r="26" spans="1:18" ht="38" thickBot="1">
      <c r="A26" s="588" t="s">
        <v>1136</v>
      </c>
      <c r="B26" s="704"/>
      <c r="C26" s="403"/>
      <c r="D26" s="668" t="s">
        <v>1257</v>
      </c>
      <c r="E26" s="665"/>
      <c r="F26" s="460" t="str">
        <f>IF(OR($B26=yes,$B26=yes),'5-3 Other min + mat'!K6, IF(OR($B26=no,$B26=no),"-", IF($B26=que,que, pres)))</f>
        <v>Present?</v>
      </c>
      <c r="G26" s="280" t="str">
        <f>IF(OR($B26=yes,$B26=yes),'5-3 Other min + mat'!V6, IF(OR($B26=no,$B26=no),"-", IF($B26=que,que, pres)))</f>
        <v>Present?</v>
      </c>
      <c r="H26" s="280" t="str">
        <f>IF(OR($B26=yes,$B26=yes),'5-3 Other min + mat'!W6, IF(OR($B26=no,$B26=no),"-", IF($B26=que,que, pres)))</f>
        <v>Present?</v>
      </c>
      <c r="I26" s="280" t="str">
        <f>IF(OR($B26=yes,$B26=yes),'5-3 Other min + mat'!X6, IF(OR($B26=no,$B26=no),"-", IF($B26=que,que, pres)))</f>
        <v>Present?</v>
      </c>
      <c r="J26" s="280" t="str">
        <f>IF(OR($B26=yes,$B26=yes),'5-3 Other min + mat'!Y6, IF(OR($B26=no,$B26=no),"-", IF($B26=que,que, pres)))</f>
        <v>Present?</v>
      </c>
      <c r="K26" s="280" t="str">
        <f>IF(OR($B26=yes,$B26=yes),'5-3 Other min + mat'!Z6, IF(OR($B26=no,$B26=no),"-", IF($B26=que,que, pres)))</f>
        <v>Present?</v>
      </c>
      <c r="L26" s="280" t="str">
        <f>IF(OR($B26=yes,$B26=yes),'5-3 Other min + mat'!AA6, IF(OR($B26=no,$B26=no),"-", IF($B26=que,que, pres)))</f>
        <v>Present?</v>
      </c>
      <c r="M26" s="273" t="s">
        <v>186</v>
      </c>
      <c r="N26" s="463"/>
      <c r="O26" s="339" t="str">
        <f>INDEX('Range-thresholds'!$G$6:$G$73,MATCH(A26,'Range-thresholds'!$A$6:$A$73,0))</f>
        <v/>
      </c>
    </row>
    <row r="27" spans="1:18" ht="62.5">
      <c r="A27" s="275"/>
      <c r="B27" s="275"/>
      <c r="C27" s="275"/>
      <c r="D27" s="273"/>
      <c r="E27" s="672" t="s">
        <v>1067</v>
      </c>
      <c r="F27" s="652"/>
      <c r="G27" s="652" t="s">
        <v>525</v>
      </c>
      <c r="H27" s="652" t="s">
        <v>1001</v>
      </c>
      <c r="I27" s="652" t="s">
        <v>1002</v>
      </c>
      <c r="J27" s="652" t="s">
        <v>1068</v>
      </c>
      <c r="K27" s="652" t="s">
        <v>1004</v>
      </c>
      <c r="L27" s="280"/>
      <c r="M27" s="273"/>
      <c r="N27" s="463"/>
    </row>
    <row r="28" spans="1:18" ht="25">
      <c r="A28" s="275"/>
      <c r="B28" s="275"/>
      <c r="C28" s="275"/>
      <c r="D28" s="653"/>
      <c r="E28" s="652" t="s">
        <v>1038</v>
      </c>
      <c r="F28" s="652"/>
      <c r="G28" s="659">
        <v>25</v>
      </c>
      <c r="H28" s="659">
        <v>25</v>
      </c>
      <c r="I28" s="659"/>
      <c r="J28" s="659"/>
      <c r="K28" s="659"/>
      <c r="L28" s="280"/>
      <c r="M28" s="273"/>
      <c r="N28" s="463"/>
    </row>
    <row r="29" spans="1:18" ht="62.5">
      <c r="A29" s="275"/>
      <c r="B29" s="275"/>
      <c r="C29" s="275"/>
      <c r="D29" s="653" t="s">
        <v>1037</v>
      </c>
      <c r="E29" s="652" t="s">
        <v>1056</v>
      </c>
      <c r="F29" s="652"/>
      <c r="G29" s="652" t="s">
        <v>525</v>
      </c>
      <c r="H29" s="652" t="s">
        <v>1001</v>
      </c>
      <c r="I29" s="652" t="s">
        <v>1002</v>
      </c>
      <c r="J29" s="652" t="s">
        <v>1068</v>
      </c>
      <c r="K29" s="652" t="s">
        <v>1004</v>
      </c>
      <c r="L29" s="280"/>
      <c r="M29" s="273"/>
      <c r="N29" s="463"/>
    </row>
    <row r="30" spans="1:18" ht="25.5" thickBot="1">
      <c r="A30" s="275"/>
      <c r="B30" s="275"/>
      <c r="C30" s="275"/>
      <c r="D30" s="653"/>
      <c r="E30" s="652" t="s">
        <v>1038</v>
      </c>
      <c r="F30" s="652"/>
      <c r="G30" s="654">
        <f>100-G28-SUM(H28:K30)</f>
        <v>25</v>
      </c>
      <c r="H30" s="659">
        <v>25</v>
      </c>
      <c r="I30" s="659"/>
      <c r="J30" s="659"/>
      <c r="K30" s="659"/>
      <c r="L30" s="280"/>
      <c r="M30" s="697" t="s">
        <v>1133</v>
      </c>
      <c r="N30" s="464"/>
      <c r="P30" s="464"/>
      <c r="R30" s="834" t="e">
        <v>#REF!</v>
      </c>
    </row>
    <row r="31" spans="1:18" ht="25.5" thickBot="1">
      <c r="A31" s="483" t="s">
        <v>188</v>
      </c>
      <c r="B31" s="704"/>
      <c r="C31" s="403"/>
      <c r="D31" s="669" t="s">
        <v>940</v>
      </c>
      <c r="E31" s="665"/>
      <c r="F31" s="644" t="str">
        <f>IF(OR($B31=yes,$B31=yes),'5-3 Other min + mat'!K31, IF(OR($B31=no,$B31=no),"-", IF($B31=que,que, pres)))</f>
        <v>Present?</v>
      </c>
      <c r="G31" s="670" t="str">
        <f>IF(OR($B31=yes,$B31=yes),'5-3 Other min + mat'!V31, IF(OR($B31=no,$B31=no),"-", IF($B31=que,que, pres)))</f>
        <v>Present?</v>
      </c>
      <c r="H31" s="670" t="str">
        <f>IF(OR($B31=yes,$B31=yes),'5-3 Other min + mat'!W31, IF(OR($B31=no,$B31=no),"-", IF($B31=que,que, pres)))</f>
        <v>Present?</v>
      </c>
      <c r="I31" s="670" t="str">
        <f>IF(OR($B31=yes,$B31=yes),'5-3 Other min + mat'!X31, IF(OR($B31=no,$B31=no),"-", IF($B31=que,que, pres)))</f>
        <v>Present?</v>
      </c>
      <c r="J31" s="670" t="str">
        <f>IF(OR($B31=yes,$B31=yes),'5-3 Other min + mat'!Y31, IF(OR($B31=no,$B31=no),"-", IF($B31=que,que, pres)))</f>
        <v>Present?</v>
      </c>
      <c r="K31" s="670" t="str">
        <f>IF(OR($B31=yes,$B31=yes),'5-3 Other min + mat'!Z31, IF(OR($B31=no,$B31=no),"-", IF($B31=que,que, pres)))</f>
        <v>Present?</v>
      </c>
      <c r="L31" s="670" t="str">
        <f>IF(OR($B31=yes,$B31=yes),'5-3 Other min + mat'!AA31, IF(OR($B31=no,$B31=no),"-", IF($B31=que,que, pres)))</f>
        <v>Present?</v>
      </c>
      <c r="M31" s="657" t="s">
        <v>187</v>
      </c>
      <c r="N31" s="463"/>
      <c r="O31" s="339" t="str">
        <f>INDEX('Range-thresholds'!$G$6:$G$73,MATCH(A31,'Range-thresholds'!$A$6:$A$73,0))</f>
        <v/>
      </c>
    </row>
    <row r="32" spans="1:18" ht="37.5">
      <c r="A32" s="367"/>
      <c r="B32" s="671"/>
      <c r="C32" s="671"/>
      <c r="D32" s="273"/>
      <c r="E32" s="672" t="s">
        <v>1039</v>
      </c>
      <c r="F32" s="652"/>
      <c r="G32" s="652" t="s">
        <v>1073</v>
      </c>
      <c r="H32" s="652" t="s">
        <v>470</v>
      </c>
      <c r="I32" s="280"/>
      <c r="J32" s="280"/>
      <c r="K32" s="280"/>
      <c r="L32" s="280"/>
      <c r="M32" s="273"/>
      <c r="N32" s="463"/>
    </row>
    <row r="33" spans="1:14" ht="25">
      <c r="A33" s="367"/>
      <c r="B33" s="367"/>
      <c r="C33" s="367"/>
      <c r="D33" s="653" t="s">
        <v>1037</v>
      </c>
      <c r="E33" s="652" t="s">
        <v>1038</v>
      </c>
      <c r="F33" s="652"/>
      <c r="G33" s="660">
        <f>100-H33-I33-J33-K33-L33</f>
        <v>100</v>
      </c>
      <c r="H33" s="659"/>
      <c r="I33" s="280"/>
      <c r="J33" s="280"/>
      <c r="K33" s="280"/>
      <c r="L33" s="280"/>
      <c r="M33" s="697" t="s">
        <v>1133</v>
      </c>
      <c r="N33" s="464"/>
    </row>
    <row r="36" spans="1:14">
      <c r="A36" s="585" t="s">
        <v>979</v>
      </c>
    </row>
    <row r="37" spans="1:14">
      <c r="A37" s="585"/>
    </row>
  </sheetData>
  <sheetProtection algorithmName="SHA-512" hashValue="Awc568j7bTaIria3ba396kSWvQhcYmKTiLyB9OnBNAEdkXqc9Q5b/lqlgcqPbYPG55XieYFTLUGIGPuwalg/2Q==" saltValue="vTpCLvcUtVvGlM3PEBZZHQ==" spinCount="100000" sheet="1"/>
  <customSheetViews>
    <customSheetView guid="{EB7FE26D-7077-48F2-8515-D783BE87A220}" scale="80" fitToPage="1" hiddenColumns="1">
      <selection activeCell="J28" sqref="J28"/>
      <pageMargins left="0.39370078740157483" right="0.39370078740157483" top="0.74803149606299213" bottom="0.74803149606299213" header="0.31496062992125984" footer="0.31496062992125984"/>
      <pageSetup paperSize="9" scale="53" orientation="landscape" r:id="rId1"/>
      <headerFooter>
        <oddFooter>&amp;L&amp;A
Printed &amp;D</oddFooter>
      </headerFooter>
    </customSheetView>
  </customSheetViews>
  <mergeCells count="2">
    <mergeCell ref="G3:L3"/>
    <mergeCell ref="A2:M2"/>
  </mergeCells>
  <conditionalFormatting sqref="A2">
    <cfRule type="expression" dxfId="100" priority="139" stopIfTrue="1">
      <formula>$A$2&lt;&gt;""</formula>
    </cfRule>
  </conditionalFormatting>
  <conditionalFormatting sqref="F6:F7 F10 F13 F16:F19 F25:F26 F31 F22">
    <cfRule type="expression" dxfId="99" priority="141" stopIfTrue="1">
      <formula>AND(B6="y",O6="n")</formula>
    </cfRule>
  </conditionalFormatting>
  <conditionalFormatting sqref="E9:G9 E8:J8">
    <cfRule type="expression" dxfId="98" priority="131">
      <formula>OR($E$7=yes)</formula>
    </cfRule>
  </conditionalFormatting>
  <conditionalFormatting sqref="H9:J9">
    <cfRule type="expression" dxfId="97" priority="130">
      <formula>OR($E$7=yes)</formula>
    </cfRule>
  </conditionalFormatting>
  <conditionalFormatting sqref="G9">
    <cfRule type="expression" dxfId="96" priority="129">
      <formula>$G$9&lt;0</formula>
    </cfRule>
  </conditionalFormatting>
  <conditionalFormatting sqref="D9">
    <cfRule type="expression" dxfId="95" priority="128">
      <formula>$G$9&lt;0</formula>
    </cfRule>
  </conditionalFormatting>
  <conditionalFormatting sqref="G12">
    <cfRule type="expression" dxfId="94" priority="118">
      <formula>$G$12&lt;0</formula>
    </cfRule>
  </conditionalFormatting>
  <conditionalFormatting sqref="D12">
    <cfRule type="expression" dxfId="93" priority="119">
      <formula>$G$12&lt;0</formula>
    </cfRule>
  </conditionalFormatting>
  <conditionalFormatting sqref="E11:J11 E12:G12">
    <cfRule type="expression" dxfId="92" priority="120">
      <formula>OR($E$10=yes)</formula>
    </cfRule>
  </conditionalFormatting>
  <conditionalFormatting sqref="H15:J15">
    <cfRule type="expression" dxfId="91" priority="107">
      <formula>OR($E$13=yes)</formula>
    </cfRule>
  </conditionalFormatting>
  <conditionalFormatting sqref="G15">
    <cfRule type="expression" dxfId="90" priority="108">
      <formula>$G$15&lt;0</formula>
    </cfRule>
  </conditionalFormatting>
  <conditionalFormatting sqref="D15">
    <cfRule type="expression" dxfId="89" priority="109">
      <formula>$G$15&lt;0</formula>
    </cfRule>
  </conditionalFormatting>
  <conditionalFormatting sqref="E14:J14 E15:G15">
    <cfRule type="expression" dxfId="88" priority="110">
      <formula>OR($E$13=yes)</formula>
    </cfRule>
  </conditionalFormatting>
  <conditionalFormatting sqref="H12:J12">
    <cfRule type="expression" dxfId="87" priority="105">
      <formula>OR($E$10=yes)</formula>
    </cfRule>
  </conditionalFormatting>
  <conditionalFormatting sqref="H24">
    <cfRule type="expression" dxfId="86" priority="96">
      <formula>OR($E$22=yes)</formula>
    </cfRule>
  </conditionalFormatting>
  <conditionalFormatting sqref="G24">
    <cfRule type="expression" dxfId="85" priority="97">
      <formula>$G$24&lt;0</formula>
    </cfRule>
  </conditionalFormatting>
  <conditionalFormatting sqref="D24">
    <cfRule type="expression" dxfId="84" priority="98">
      <formula>$G$24&lt;0</formula>
    </cfRule>
  </conditionalFormatting>
  <conditionalFormatting sqref="E23:H23 E24:G24">
    <cfRule type="expression" dxfId="83" priority="99">
      <formula>OR($E$22=yes)</formula>
    </cfRule>
  </conditionalFormatting>
  <conditionalFormatting sqref="E28:F28">
    <cfRule type="expression" dxfId="82" priority="63">
      <formula>OR($E$26=yes)</formula>
    </cfRule>
  </conditionalFormatting>
  <conditionalFormatting sqref="H28:K28">
    <cfRule type="expression" dxfId="81" priority="62">
      <formula>OR($E$26=yes)</formula>
    </cfRule>
  </conditionalFormatting>
  <conditionalFormatting sqref="H30:K30">
    <cfRule type="expression" dxfId="80" priority="58">
      <formula>OR($E$26=yes)</formula>
    </cfRule>
  </conditionalFormatting>
  <conditionalFormatting sqref="E30:F30">
    <cfRule type="expression" dxfId="79" priority="55">
      <formula>OR($E$26=yes)</formula>
    </cfRule>
  </conditionalFormatting>
  <conditionalFormatting sqref="G28">
    <cfRule type="expression" dxfId="78" priority="51">
      <formula>OR($E$26=yes)</formula>
    </cfRule>
  </conditionalFormatting>
  <conditionalFormatting sqref="D28:D30">
    <cfRule type="expression" dxfId="77" priority="31">
      <formula>$G$30&lt;0</formula>
    </cfRule>
  </conditionalFormatting>
  <conditionalFormatting sqref="E27:K27">
    <cfRule type="expression" dxfId="76" priority="28">
      <formula>OR($E$26=yes)</formula>
    </cfRule>
  </conditionalFormatting>
  <conditionalFormatting sqref="E29:K29">
    <cfRule type="expression" dxfId="75" priority="27">
      <formula>OR($E$26=yes)</formula>
    </cfRule>
  </conditionalFormatting>
  <conditionalFormatting sqref="G30">
    <cfRule type="expression" dxfId="74" priority="23">
      <formula>$G$30&lt;0</formula>
    </cfRule>
  </conditionalFormatting>
  <conditionalFormatting sqref="G30">
    <cfRule type="expression" dxfId="73" priority="24">
      <formula>OR($E$26=yes)</formula>
    </cfRule>
  </conditionalFormatting>
  <conditionalFormatting sqref="H33">
    <cfRule type="expression" dxfId="72" priority="20">
      <formula>OR($E$31=yes)</formula>
    </cfRule>
  </conditionalFormatting>
  <conditionalFormatting sqref="G33">
    <cfRule type="expression" dxfId="71" priority="21">
      <formula>$G$33&lt;0</formula>
    </cfRule>
  </conditionalFormatting>
  <conditionalFormatting sqref="E32:H32 E33:G33">
    <cfRule type="expression" dxfId="70" priority="22">
      <formula>OR($E$31=yes)</formula>
    </cfRule>
  </conditionalFormatting>
  <conditionalFormatting sqref="D33">
    <cfRule type="expression" dxfId="69" priority="19">
      <formula>$G$33&lt;0</formula>
    </cfRule>
  </conditionalFormatting>
  <conditionalFormatting sqref="H21">
    <cfRule type="expression" dxfId="68" priority="9">
      <formula>OR($E$19=yes)</formula>
    </cfRule>
  </conditionalFormatting>
  <conditionalFormatting sqref="G21">
    <cfRule type="expression" dxfId="67" priority="10">
      <formula>$G$24&lt;0</formula>
    </cfRule>
  </conditionalFormatting>
  <conditionalFormatting sqref="D21">
    <cfRule type="expression" dxfId="66" priority="11">
      <formula>$G$21&lt;0</formula>
    </cfRule>
  </conditionalFormatting>
  <conditionalFormatting sqref="E20:H20 E21:G21">
    <cfRule type="expression" dxfId="65" priority="12">
      <formula>OR($E$19=yes)</formula>
    </cfRule>
  </conditionalFormatting>
  <conditionalFormatting sqref="M9">
    <cfRule type="expression" dxfId="64" priority="7">
      <formula>OR(NOT($E$7=yes))</formula>
    </cfRule>
  </conditionalFormatting>
  <conditionalFormatting sqref="M12">
    <cfRule type="expression" dxfId="63" priority="6">
      <formula>OR(NOT($E$10=yes))</formula>
    </cfRule>
  </conditionalFormatting>
  <conditionalFormatting sqref="M15">
    <cfRule type="expression" dxfId="62" priority="5">
      <formula>OR(NOT($E$13=yes))</formula>
    </cfRule>
  </conditionalFormatting>
  <conditionalFormatting sqref="M24">
    <cfRule type="expression" dxfId="61" priority="3">
      <formula>OR(NOT($E$22=yes))</formula>
    </cfRule>
  </conditionalFormatting>
  <conditionalFormatting sqref="M33">
    <cfRule type="expression" dxfId="60" priority="1">
      <formula>OR(NOT($E$31=yes))</formula>
    </cfRule>
  </conditionalFormatting>
  <conditionalFormatting sqref="M30">
    <cfRule type="expression" dxfId="59" priority="2">
      <formula>OR(NOT($E$26=yes))</formula>
    </cfRule>
  </conditionalFormatting>
  <conditionalFormatting sqref="M21">
    <cfRule type="expression" dxfId="58" priority="4">
      <formula>OR(NOT($E$19=yes))</formula>
    </cfRule>
  </conditionalFormatting>
  <dataValidations xWindow="778" yWindow="549" count="19">
    <dataValidation type="decimal" allowBlank="1" showInputMessage="1" showErrorMessage="1" errorTitle="Input error" error="Use digits and decimal mark only." promptTitle="Input cell" prompt="Use digits and decimal mark only." sqref="C22 C6:C7 C10 C13 C16:C19 C26 C31" xr:uid="{00000000-0002-0000-0300-000000000000}">
      <formula1>-9.99999999999999E+22</formula1>
      <formula2>9.99999999999999E+22</formula2>
    </dataValidation>
    <dataValidation type="list" allowBlank="1" showInputMessage="1" showErrorMessage="1" sqref="E22 E7 E10 E13 E26 E31 E19" xr:uid="{00000000-0002-0000-0300-000001000000}">
      <formula1>yn</formula1>
    </dataValidation>
    <dataValidation allowBlank="1" showInputMessage="1" showErrorMessage="1" promptTitle="Controls" prompt="No filters in place (automatically calculated)" sqref="G9 G12 G15" xr:uid="{00000000-0002-0000-0300-000002000000}"/>
    <dataValidation allowBlank="1" showInputMessage="1" showErrorMessage="1" promptTitle="Controls" prompt="Enter per cent of total activity rate that is used in smelters with wet gas cleaning" sqref="H9 H15 H12" xr:uid="{00000000-0002-0000-0300-000003000000}"/>
    <dataValidation allowBlank="1" showInputMessage="1" showErrorMessage="1" promptTitle="Controls" prompt="Enter per cent of total activity rate that is used in smelters with wet gas cleaning and acid plant" sqref="I9 I15 I12" xr:uid="{00000000-0002-0000-0300-000004000000}"/>
    <dataValidation allowBlank="1" showInputMessage="1" showErrorMessage="1" promptTitle="Controls" prompt="Enter per cent of total activity rate that is used in smelters with wet gas cleaning, acid plant and Hg specific filter" sqref="J9 J15 J12" xr:uid="{00000000-0002-0000-0300-000005000000}"/>
    <dataValidation allowBlank="1" showInputMessage="1" showErrorMessage="1" promptTitle="Controls" prompt="Enter per cent of total activity rate that is produced with retorts" sqref="H24 H21" xr:uid="{00000000-0002-0000-0300-000006000000}"/>
    <dataValidation allowBlank="1" showInputMessage="1" showErrorMessage="1" promptTitle="Controls" prompt="Enter per cent of total activity rate that is used in facilities with fabric filters (FF) + selective non-catalytic reduction (SNCR)/wet scrubbers or electrostatic precipitators (ESP) + flue gas de-sulphurisation (FGD) or so-called optimized fabric filter" sqref="I30 I28" xr:uid="{00000000-0002-0000-0300-000007000000}"/>
    <dataValidation allowBlank="1" showInputMessage="1" showErrorMessage="1" promptTitle="Controls" prompt="Enter per cent of total activity rate that is used in facilities with fabric filters (FF) or electrostatic precipitators (ESP) IN COMBINATION WITH dry scrubbers (DS), selective non-catalytic reduction (SNCR) or wet scrubbers (WS)" sqref="J30 J28" xr:uid="{00000000-0002-0000-0300-000008000000}"/>
    <dataValidation allowBlank="1" showInputMessage="1" showErrorMessage="1" promptTitle="Controls" prompt="No filters applied (calculated automatically)" sqref="G30" xr:uid="{00000000-0002-0000-0300-000009000000}"/>
    <dataValidation allowBlank="1" showInputMessage="1" showErrorMessage="1" promptTitle="Controls" prompt="Enter per cent of total activity rate that is used in facilities with wet flue gas de-suphurisation (wFGD) + activated carbon injection (ACI) OR fabric filter + scrubber + selective non-catalytic reduction" sqref="K30 K28" xr:uid="{00000000-0002-0000-0300-00000A000000}"/>
    <dataValidation allowBlank="1" showInputMessage="1" showErrorMessage="1" promptTitle="Controls" prompt="No use of retorts or fume hoods capturing evaporated mercury (automatically calculated)" sqref="G24 G21" xr:uid="{00000000-0002-0000-0300-00000B000000}"/>
    <dataValidation allowBlank="1" showInputMessage="1" showErrorMessage="1" promptTitle="Controls" prompt="No use of filters on flue gas outlets (calculated automatically)" sqref="G33" xr:uid="{00000000-0002-0000-0300-00000C000000}"/>
    <dataValidation allowBlank="1" showInputMessage="1" showErrorMessage="1" promptTitle="Controls" prompt="Enter per cent of total activity rate that is used in facilities with dust filters such as electrostatic precipitators (ESP), particle scrubbers (PS), or similar" sqref="H33" xr:uid="{00000000-0002-0000-0300-00000D000000}"/>
    <dataValidation type="list" allowBlank="1" showInputMessage="1" showErrorMessage="1" errorTitle="Input error" error="Enter only y, n or ? (or translation of these)" sqref="B6:B7 B10 B13 B16:B19 B22 B26 B31" xr:uid="{00000000-0002-0000-0300-00000E000000}">
      <formula1>yn?</formula1>
    </dataValidation>
    <dataValidation allowBlank="1" showInputMessage="1" showErrorMessage="1" promptTitle="Controls" prompt="Enter per cent of total activity rate that is used in facilities with no filters in place" sqref="G28" xr:uid="{00000000-0002-0000-0300-00000F000000}"/>
    <dataValidation allowBlank="1" showInputMessage="1" showErrorMessage="1" promptTitle="Controls" prompt="Enter per cent of total activity rate that is used in facilities with electrostatic precipitators (ESP), particle scrubbers (PS) or fabric filters (FF)" sqref="H30 H28" xr:uid="{00000000-0002-0000-0300-000010000000}"/>
    <dataValidation allowBlank="1" showInputMessage="1" showErrorMessage="1" promptTitle="Default controls" prompt="Cell is blue and reads &quot;Non-default controls entered here&quot; if you have entered numbers for controls selection. If you want to include controls, enter &quot;y&quot; in column E for the sub-category in question. Otherwise ignore this message." sqref="M33 M24 M30" xr:uid="{00000000-0002-0000-0300-000011000000}"/>
    <dataValidation allowBlank="1" showInputMessage="1" showErrorMessage="1" promptTitle="Default controls" prompt="Cell is blue and reads &quot;Non-default controls entered here&quot;, if you have entered numbers for controls selection. If you want to include controls, enter &quot;y&quot; in column E for the sub-category in question. Otherwise ignore this message." sqref="M12 M15 M9 M21" xr:uid="{00000000-0002-0000-0300-000012000000}"/>
  </dataValidations>
  <pageMargins left="0.39370078740157483" right="0.39370078740157483" top="0.74803149606299213" bottom="0.74803149606299213" header="0.31496062992125984" footer="0.31496062992125984"/>
  <pageSetup paperSize="9" scale="53" orientation="landscape" r:id="rId2"/>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8" id="{00000000-000E-0000-0300-00000B000000}">
            <xm:f>OR($I$9&lt;&gt;'Default Controls'!$E$21)</xm:f>
            <x14:dxf>
              <font>
                <color theme="1"/>
              </font>
              <fill>
                <patternFill>
                  <bgColor rgb="FFFFFFCC"/>
                </patternFill>
              </fill>
            </x14:dxf>
          </x14:cfRule>
          <xm:sqref>M9</xm:sqref>
        </x14:conditionalFormatting>
        <x14:conditionalFormatting xmlns:xm="http://schemas.microsoft.com/office/excel/2006/main">
          <x14:cfRule type="expression" priority="17" id="{00000000-000E-0000-0300-00000A000000}">
            <xm:f>OR($I$12&lt;&gt;'Default Controls'!$E$24)</xm:f>
            <x14:dxf>
              <font>
                <color theme="1"/>
              </font>
              <fill>
                <patternFill>
                  <bgColor rgb="FFFFFFCC"/>
                </patternFill>
              </fill>
            </x14:dxf>
          </x14:cfRule>
          <xm:sqref>M12</xm:sqref>
        </x14:conditionalFormatting>
        <x14:conditionalFormatting xmlns:xm="http://schemas.microsoft.com/office/excel/2006/main">
          <x14:cfRule type="expression" priority="16" id="{00000000-000E-0000-0300-000009000000}">
            <xm:f>OR($I$15&lt;&gt;'Default Controls'!$E$27)</xm:f>
            <x14:dxf>
              <font>
                <color theme="1"/>
              </font>
              <fill>
                <patternFill>
                  <bgColor rgb="FFFFFFCC"/>
                </patternFill>
              </fill>
            </x14:dxf>
          </x14:cfRule>
          <xm:sqref>M15</xm:sqref>
        </x14:conditionalFormatting>
        <x14:conditionalFormatting xmlns:xm="http://schemas.microsoft.com/office/excel/2006/main">
          <x14:cfRule type="expression" priority="15" id="{00000000-000E-0000-0300-000008000000}">
            <xm:f>OR($G$24&lt;&gt;'Default Controls'!$C$33)</xm:f>
            <x14:dxf>
              <font>
                <color theme="1"/>
              </font>
              <fill>
                <patternFill>
                  <bgColor rgb="FFFFFFCC"/>
                </patternFill>
              </fill>
            </x14:dxf>
          </x14:cfRule>
          <xm:sqref>M24</xm:sqref>
        </x14:conditionalFormatting>
        <x14:conditionalFormatting xmlns:xm="http://schemas.microsoft.com/office/excel/2006/main">
          <x14:cfRule type="expression" priority="14" id="{00000000-000E-0000-0300-000007000000}">
            <xm:f>OR($G$33&lt;&gt;'Default Controls'!$C$41)</xm:f>
            <x14:dxf>
              <font>
                <color theme="1"/>
              </font>
              <fill>
                <patternFill>
                  <bgColor rgb="FFFFFFCC"/>
                </patternFill>
              </fill>
            </x14:dxf>
          </x14:cfRule>
          <xm:sqref>M33</xm:sqref>
        </x14:conditionalFormatting>
        <x14:conditionalFormatting xmlns:xm="http://schemas.microsoft.com/office/excel/2006/main">
          <x14:cfRule type="expression" priority="13" id="{00000000-000E-0000-0300-000006000000}">
            <xm:f>OR($G$28&lt;&gt;'Default Controls'!$C$36,$H$28&lt;&gt;'Default Controls'!$D$38, $G$30&lt;&gt;'Default Controls'!$C$38, $H$30&lt;&gt;'Default Controls'!$D$38)</xm:f>
            <x14:dxf>
              <font>
                <color theme="1"/>
              </font>
              <fill>
                <patternFill>
                  <bgColor rgb="FFFFFFCC"/>
                </patternFill>
              </fill>
            </x14:dxf>
          </x14:cfRule>
          <xm:sqref>M30</xm:sqref>
        </x14:conditionalFormatting>
        <x14:conditionalFormatting xmlns:xm="http://schemas.microsoft.com/office/excel/2006/main">
          <x14:cfRule type="expression" priority="8" id="{00000000-000E-0000-0300-000001000000}">
            <xm:f>OR($G$21&lt;&gt;'Default Controls'!$C$30)</xm:f>
            <x14:dxf>
              <font>
                <color theme="1"/>
              </font>
              <fill>
                <patternFill>
                  <bgColor rgb="FFFFFFCC"/>
                </patternFill>
              </fill>
            </x14:dxf>
          </x14:cfRule>
          <xm:sqref>M21</xm:sqref>
        </x14:conditionalFormatting>
        <x14:conditionalFormatting xmlns:xm="http://schemas.microsoft.com/office/excel/2006/main">
          <x14:cfRule type="expression" priority="135" id="{A0FFF478-3E03-489F-AA30-8F390A41034B}">
            <xm:f>'Insert IL2 results'!$K$25&lt;&gt;""</xm:f>
            <x14:dxf>
              <font>
                <color rgb="FFFF0000"/>
              </font>
            </x14:dxf>
          </x14:cfRule>
          <xm:sqref>A36</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48"/>
  <sheetViews>
    <sheetView topLeftCell="A25" workbookViewId="0">
      <selection activeCell="J33" sqref="J33"/>
    </sheetView>
  </sheetViews>
  <sheetFormatPr defaultColWidth="8.81640625" defaultRowHeight="12.5"/>
  <cols>
    <col min="1" max="1" width="3" customWidth="1"/>
    <col min="2" max="2" width="6.1796875" customWidth="1"/>
    <col min="3" max="3" width="36.36328125" customWidth="1"/>
    <col min="4" max="4" width="7.36328125" customWidth="1"/>
    <col min="5" max="5" width="9.36328125" customWidth="1"/>
    <col min="6" max="6" width="22.453125" customWidth="1"/>
    <col min="7" max="7" width="10.36328125" customWidth="1"/>
    <col min="8" max="8" width="19.1796875" customWidth="1"/>
    <col min="9" max="9" width="12.453125" style="239" customWidth="1"/>
    <col min="10" max="10" width="17.6328125" customWidth="1"/>
    <col min="11" max="11" width="12.36328125" style="239" customWidth="1"/>
    <col min="12" max="12" width="11.453125" customWidth="1"/>
    <col min="13" max="13" width="17.453125" style="13" customWidth="1"/>
    <col min="14" max="14" width="9.1796875" style="239"/>
    <col min="15" max="15" width="10.81640625" customWidth="1"/>
    <col min="16" max="16" width="6.453125" customWidth="1"/>
    <col min="17" max="18" width="7.453125" customWidth="1"/>
    <col min="19" max="19" width="9.6328125" customWidth="1"/>
    <col min="20" max="20" width="8.453125" customWidth="1"/>
    <col min="21" max="21" width="18.6328125" customWidth="1"/>
    <col min="22" max="22" width="12.453125" customWidth="1"/>
    <col min="24" max="24" width="9.6328125" customWidth="1"/>
    <col min="25" max="25" width="11.1796875" customWidth="1"/>
    <col min="26" max="26" width="11.453125" customWidth="1"/>
    <col min="27" max="27" width="17" customWidth="1"/>
    <col min="28" max="28" width="42.36328125" customWidth="1"/>
  </cols>
  <sheetData>
    <row r="1" spans="1:28" ht="18">
      <c r="A1" s="1" t="s">
        <v>997</v>
      </c>
      <c r="I1" s="230"/>
      <c r="K1" s="230"/>
      <c r="L1" s="48"/>
      <c r="M1" s="48"/>
      <c r="N1" s="230"/>
    </row>
    <row r="2" spans="1:28" ht="14">
      <c r="A2" s="54" t="s">
        <v>311</v>
      </c>
      <c r="I2" s="230"/>
      <c r="K2" s="230"/>
      <c r="L2" s="48"/>
      <c r="M2" s="48"/>
      <c r="N2" s="230"/>
    </row>
    <row r="3" spans="1:28" ht="13">
      <c r="D3" s="3"/>
      <c r="E3" s="3"/>
      <c r="F3" s="3"/>
      <c r="G3" s="3"/>
      <c r="H3" s="3"/>
      <c r="I3" s="231"/>
      <c r="J3" s="3"/>
      <c r="K3" s="231"/>
      <c r="L3" s="103"/>
      <c r="M3" s="103"/>
      <c r="N3" s="231"/>
      <c r="O3" s="3"/>
      <c r="P3" s="65" t="s">
        <v>55</v>
      </c>
      <c r="Q3" s="2"/>
      <c r="R3" s="2"/>
      <c r="S3" s="2"/>
      <c r="T3" s="2"/>
      <c r="U3" s="2"/>
      <c r="V3" s="10" t="s">
        <v>54</v>
      </c>
      <c r="W3" s="4"/>
      <c r="X3" s="4"/>
      <c r="Y3" s="4"/>
      <c r="Z3" s="4"/>
      <c r="AA3" s="4"/>
      <c r="AB3" s="2"/>
    </row>
    <row r="4" spans="1:28" s="122" customFormat="1" ht="39">
      <c r="A4" s="122" t="s">
        <v>52</v>
      </c>
      <c r="B4" s="122" t="s">
        <v>50</v>
      </c>
      <c r="C4" s="139" t="s">
        <v>59</v>
      </c>
      <c r="D4" s="111" t="s">
        <v>153</v>
      </c>
      <c r="E4" s="140" t="s">
        <v>49</v>
      </c>
      <c r="F4" s="141" t="s">
        <v>35</v>
      </c>
      <c r="G4" s="111" t="s">
        <v>37</v>
      </c>
      <c r="H4" s="142" t="s">
        <v>35</v>
      </c>
      <c r="I4" s="244" t="s">
        <v>51</v>
      </c>
      <c r="J4" s="143" t="s">
        <v>35</v>
      </c>
      <c r="K4" s="240" t="s">
        <v>61</v>
      </c>
      <c r="L4" s="154" t="s">
        <v>35</v>
      </c>
      <c r="M4" s="155" t="s">
        <v>279</v>
      </c>
      <c r="N4" s="244" t="s">
        <v>92</v>
      </c>
      <c r="O4" s="144" t="s">
        <v>35</v>
      </c>
      <c r="P4" s="146" t="s">
        <v>38</v>
      </c>
      <c r="Q4" s="146" t="s">
        <v>39</v>
      </c>
      <c r="R4" s="146" t="s">
        <v>40</v>
      </c>
      <c r="S4" s="146" t="s">
        <v>41</v>
      </c>
      <c r="T4" s="147" t="s">
        <v>42</v>
      </c>
      <c r="U4" s="147" t="s">
        <v>227</v>
      </c>
      <c r="V4" s="56" t="s">
        <v>38</v>
      </c>
      <c r="W4" s="56" t="s">
        <v>39</v>
      </c>
      <c r="X4" s="56" t="s">
        <v>40</v>
      </c>
      <c r="Y4" s="56" t="s">
        <v>41</v>
      </c>
      <c r="Z4" s="57" t="s">
        <v>42</v>
      </c>
      <c r="AA4" s="57" t="s">
        <v>227</v>
      </c>
      <c r="AB4" s="110" t="s">
        <v>87</v>
      </c>
    </row>
    <row r="5" spans="1:28" s="128" customFormat="1" ht="26">
      <c r="A5" s="128" t="s">
        <v>156</v>
      </c>
      <c r="C5" s="133" t="s">
        <v>314</v>
      </c>
      <c r="D5" s="110"/>
      <c r="F5" s="127"/>
      <c r="G5" s="75"/>
      <c r="H5" s="127"/>
      <c r="I5" s="246"/>
      <c r="K5" s="234"/>
      <c r="L5" s="127"/>
      <c r="M5" s="134"/>
      <c r="N5" s="246"/>
      <c r="O5" s="127"/>
      <c r="P5" s="126"/>
      <c r="Q5" s="126"/>
      <c r="R5" s="126"/>
      <c r="S5" s="126"/>
      <c r="T5" s="126"/>
      <c r="U5" s="126"/>
      <c r="V5" s="58"/>
      <c r="W5" s="58"/>
      <c r="X5" s="58"/>
      <c r="Y5" s="58"/>
      <c r="Z5" s="58"/>
      <c r="AA5" s="58"/>
      <c r="AB5" s="75"/>
    </row>
    <row r="6" spans="1:28" ht="26">
      <c r="B6" t="s">
        <v>157</v>
      </c>
      <c r="C6" s="12" t="s">
        <v>161</v>
      </c>
      <c r="D6" s="119"/>
      <c r="E6" s="339" t="s">
        <v>528</v>
      </c>
      <c r="F6" s="3" t="s">
        <v>511</v>
      </c>
      <c r="G6" s="338">
        <v>1030</v>
      </c>
      <c r="H6" s="3" t="s">
        <v>511</v>
      </c>
      <c r="I6" s="249">
        <f>'Step3-Metals-RawMat'!C6</f>
        <v>0</v>
      </c>
      <c r="J6" s="278" t="s">
        <v>437</v>
      </c>
      <c r="K6" s="232">
        <f>I6*G6</f>
        <v>0</v>
      </c>
      <c r="L6" s="3" t="s">
        <v>36</v>
      </c>
      <c r="M6" s="14"/>
      <c r="N6" s="245">
        <f>K6</f>
        <v>0</v>
      </c>
      <c r="O6" s="3" t="s">
        <v>36</v>
      </c>
      <c r="P6" s="343">
        <f>0.25*(G6-1000)/G6</f>
        <v>7.2815533980582527E-3</v>
      </c>
      <c r="Q6" s="343">
        <f>0.06*(G6-1000)/G6</f>
        <v>1.7475728155339804E-3</v>
      </c>
      <c r="R6" s="343">
        <f>0.69*(G6-1000)/G6</f>
        <v>2.0097087378640775E-2</v>
      </c>
      <c r="S6" s="343"/>
      <c r="T6" s="343"/>
      <c r="U6" s="343"/>
      <c r="V6" s="132">
        <f t="shared" ref="V6:AA6" si="0">$N6*P6</f>
        <v>0</v>
      </c>
      <c r="W6" s="132">
        <f t="shared" si="0"/>
        <v>0</v>
      </c>
      <c r="X6" s="132">
        <f t="shared" si="0"/>
        <v>0</v>
      </c>
      <c r="Y6" s="132">
        <f t="shared" si="0"/>
        <v>0</v>
      </c>
      <c r="Z6" s="132">
        <f t="shared" si="0"/>
        <v>0</v>
      </c>
      <c r="AA6" s="132">
        <f t="shared" si="0"/>
        <v>0</v>
      </c>
      <c r="AB6" s="118"/>
    </row>
    <row r="7" spans="1:28" s="55" customFormat="1" ht="13">
      <c r="C7" s="135"/>
      <c r="D7" s="110"/>
      <c r="E7" s="105"/>
      <c r="F7" s="103"/>
      <c r="G7" s="75"/>
      <c r="H7" s="103"/>
      <c r="I7" s="247"/>
      <c r="K7" s="233"/>
      <c r="L7" s="103"/>
      <c r="M7" s="109"/>
      <c r="N7" s="247"/>
      <c r="O7" s="103"/>
      <c r="P7" s="131"/>
      <c r="Q7" s="131"/>
      <c r="R7" s="131"/>
      <c r="S7" s="131"/>
      <c r="T7" s="131"/>
      <c r="U7" s="131"/>
      <c r="V7" s="115"/>
      <c r="W7" s="115"/>
      <c r="X7" s="115"/>
      <c r="Y7" s="115"/>
      <c r="Z7" s="115"/>
      <c r="AA7" s="115"/>
      <c r="AB7" s="75"/>
    </row>
    <row r="8" spans="1:28" ht="26">
      <c r="B8" s="3" t="s">
        <v>158</v>
      </c>
      <c r="C8" s="26" t="s">
        <v>159</v>
      </c>
      <c r="D8" s="119"/>
      <c r="E8" s="6"/>
      <c r="F8" s="3"/>
      <c r="G8" s="118"/>
      <c r="H8" s="3"/>
      <c r="I8" s="249"/>
      <c r="K8" s="241"/>
      <c r="L8" s="3"/>
      <c r="M8" s="33"/>
      <c r="N8" s="249"/>
      <c r="O8" s="3"/>
      <c r="P8" s="131"/>
      <c r="Q8" s="131"/>
      <c r="R8" s="131"/>
      <c r="S8" s="131"/>
      <c r="T8" s="131"/>
      <c r="U8" s="131"/>
      <c r="V8" s="132">
        <f t="shared" ref="V8:AA8" si="1">SUM(V9:V12)</f>
        <v>0</v>
      </c>
      <c r="W8" s="132">
        <f t="shared" si="1"/>
        <v>0</v>
      </c>
      <c r="X8" s="132">
        <f t="shared" si="1"/>
        <v>0</v>
      </c>
      <c r="Y8" s="132">
        <f t="shared" si="1"/>
        <v>0</v>
      </c>
      <c r="Z8" s="132">
        <f t="shared" si="1"/>
        <v>0</v>
      </c>
      <c r="AA8" s="132">
        <f t="shared" si="1"/>
        <v>0</v>
      </c>
      <c r="AB8" s="118"/>
    </row>
    <row r="9" spans="1:28" ht="37.5">
      <c r="B9" s="3"/>
      <c r="C9" s="636" t="s">
        <v>1134</v>
      </c>
      <c r="D9" s="75"/>
      <c r="E9" s="11">
        <v>5</v>
      </c>
      <c r="F9" s="3" t="s">
        <v>182</v>
      </c>
      <c r="G9" s="283">
        <v>5</v>
      </c>
      <c r="H9" s="3" t="s">
        <v>182</v>
      </c>
      <c r="I9" s="771">
        <f>'Step3-Metals-RawMat'!$C$19*IF('Step3-Metals-RawMat'!$E$19=yes,'Step3-Metals-RawMat'!$G$21/100,'Default Controls'!$C$30/100)</f>
        <v>0</v>
      </c>
      <c r="J9" s="3" t="s">
        <v>183</v>
      </c>
      <c r="K9" s="234">
        <f>G9*I9</f>
        <v>0</v>
      </c>
      <c r="L9" s="3" t="s">
        <v>36</v>
      </c>
      <c r="M9" s="619" t="s">
        <v>904</v>
      </c>
      <c r="N9" s="277">
        <f>K9</f>
        <v>0</v>
      </c>
      <c r="O9" s="3" t="s">
        <v>36</v>
      </c>
      <c r="P9" s="343">
        <v>0.2</v>
      </c>
      <c r="Q9" s="343">
        <v>0.4</v>
      </c>
      <c r="R9" s="343">
        <v>0.4</v>
      </c>
      <c r="S9" s="131"/>
      <c r="T9" s="131"/>
      <c r="U9" s="131"/>
      <c r="V9" s="115">
        <f t="shared" ref="V9:AA9" si="2">$N9*P9</f>
        <v>0</v>
      </c>
      <c r="W9" s="115">
        <f t="shared" si="2"/>
        <v>0</v>
      </c>
      <c r="X9" s="115">
        <f t="shared" si="2"/>
        <v>0</v>
      </c>
      <c r="Y9" s="115">
        <f t="shared" si="2"/>
        <v>0</v>
      </c>
      <c r="Z9" s="115">
        <f t="shared" si="2"/>
        <v>0</v>
      </c>
      <c r="AA9" s="115">
        <f t="shared" si="2"/>
        <v>0</v>
      </c>
      <c r="AB9" s="75"/>
    </row>
    <row r="10" spans="1:28" ht="55.5" customHeight="1">
      <c r="B10" s="3"/>
      <c r="C10" s="655" t="s">
        <v>1109</v>
      </c>
      <c r="D10" s="75"/>
      <c r="E10" s="625" t="s">
        <v>1111</v>
      </c>
      <c r="F10" s="3" t="s">
        <v>182</v>
      </c>
      <c r="G10" s="283">
        <v>4.25</v>
      </c>
      <c r="H10" s="3" t="s">
        <v>182</v>
      </c>
      <c r="I10" s="771">
        <f>'Step3-Metals-RawMat'!$C$19*IF('Step3-Metals-RawMat'!$E$19=yes,'Step3-Metals-RawMat'!$H$21/100,'Default Controls'!$D$30/100)</f>
        <v>0</v>
      </c>
      <c r="J10" s="3" t="s">
        <v>183</v>
      </c>
      <c r="K10" s="234">
        <f>G10*I10</f>
        <v>0</v>
      </c>
      <c r="L10" s="3" t="s">
        <v>36</v>
      </c>
      <c r="M10" s="619" t="s">
        <v>1052</v>
      </c>
      <c r="N10" s="277">
        <f t="shared" ref="N10:N12" si="3">K10</f>
        <v>0</v>
      </c>
      <c r="O10" s="3" t="s">
        <v>36</v>
      </c>
      <c r="P10" s="343">
        <v>0.06</v>
      </c>
      <c r="Q10" s="343">
        <v>0.47</v>
      </c>
      <c r="R10" s="343">
        <v>0.47</v>
      </c>
      <c r="S10" s="131"/>
      <c r="T10" s="131"/>
      <c r="U10" s="131"/>
      <c r="V10" s="115">
        <f>$N10*P10</f>
        <v>0</v>
      </c>
      <c r="W10" s="115">
        <f t="shared" ref="W10:AA10" si="4">$N10*Q10</f>
        <v>0</v>
      </c>
      <c r="X10" s="115">
        <f t="shared" si="4"/>
        <v>0</v>
      </c>
      <c r="Y10" s="115">
        <f t="shared" si="4"/>
        <v>0</v>
      </c>
      <c r="Z10" s="115">
        <f>$N10*T10</f>
        <v>0</v>
      </c>
      <c r="AA10" s="115">
        <f t="shared" si="4"/>
        <v>0</v>
      </c>
      <c r="AB10" s="75"/>
    </row>
    <row r="11" spans="1:28" ht="37.5">
      <c r="B11" s="3"/>
      <c r="C11" s="636" t="s">
        <v>1135</v>
      </c>
      <c r="D11" s="75"/>
      <c r="E11" s="567" t="s">
        <v>903</v>
      </c>
      <c r="F11" s="3" t="s">
        <v>182</v>
      </c>
      <c r="G11" s="336">
        <v>1.3</v>
      </c>
      <c r="H11" s="3" t="s">
        <v>182</v>
      </c>
      <c r="I11" s="771">
        <f>'Step3-Metals-RawMat'!$C$22*IF('Step3-Metals-RawMat'!$E$22=yes,'Step3-Metals-RawMat'!$G$24/100,'Default Controls'!$C$33/100)</f>
        <v>0</v>
      </c>
      <c r="J11" s="3" t="s">
        <v>183</v>
      </c>
      <c r="K11" s="234">
        <f>G11*I11</f>
        <v>0</v>
      </c>
      <c r="L11" s="3" t="s">
        <v>36</v>
      </c>
      <c r="M11" s="33" t="s">
        <v>905</v>
      </c>
      <c r="N11" s="277">
        <f t="shared" si="3"/>
        <v>0</v>
      </c>
      <c r="O11" s="3" t="s">
        <v>36</v>
      </c>
      <c r="P11" s="343">
        <v>0.77</v>
      </c>
      <c r="Q11" s="343">
        <v>0.12</v>
      </c>
      <c r="R11" s="343">
        <v>0.11</v>
      </c>
      <c r="S11" s="131"/>
      <c r="T11" s="131"/>
      <c r="U11" s="131"/>
      <c r="V11" s="115">
        <f t="shared" ref="V11:AA12" si="5">$N11*P11</f>
        <v>0</v>
      </c>
      <c r="W11" s="115">
        <f t="shared" si="5"/>
        <v>0</v>
      </c>
      <c r="X11" s="115">
        <f t="shared" si="5"/>
        <v>0</v>
      </c>
      <c r="Y11" s="115">
        <f t="shared" si="5"/>
        <v>0</v>
      </c>
      <c r="Z11" s="115">
        <f t="shared" si="5"/>
        <v>0</v>
      </c>
      <c r="AA11" s="115">
        <f t="shared" si="5"/>
        <v>0</v>
      </c>
      <c r="AB11" s="75"/>
    </row>
    <row r="12" spans="1:28" ht="62.5">
      <c r="B12" s="3"/>
      <c r="C12" s="636" t="s">
        <v>1110</v>
      </c>
      <c r="D12" s="320"/>
      <c r="E12" s="625" t="s">
        <v>1112</v>
      </c>
      <c r="F12" s="231" t="s">
        <v>182</v>
      </c>
      <c r="G12" s="627">
        <v>0.55000000000000004</v>
      </c>
      <c r="H12" s="231" t="s">
        <v>182</v>
      </c>
      <c r="I12" s="771">
        <f>'Step3-Metals-RawMat'!$C$22*IF('Step3-Metals-RawMat'!$E$22=yes,'Step3-Metals-RawMat'!$H$24/100,'Default Controls'!$D$33/100)</f>
        <v>0</v>
      </c>
      <c r="J12" s="231" t="s">
        <v>183</v>
      </c>
      <c r="K12" s="172">
        <f>G12*I12</f>
        <v>0</v>
      </c>
      <c r="L12" s="231" t="s">
        <v>36</v>
      </c>
      <c r="M12" s="33" t="s">
        <v>906</v>
      </c>
      <c r="N12" s="277">
        <f t="shared" si="3"/>
        <v>0</v>
      </c>
      <c r="O12" s="3" t="s">
        <v>36</v>
      </c>
      <c r="P12" s="343">
        <v>0.45</v>
      </c>
      <c r="Q12" s="343">
        <v>0.28000000000000003</v>
      </c>
      <c r="R12" s="343">
        <v>0.27</v>
      </c>
      <c r="S12" s="131"/>
      <c r="T12" s="131"/>
      <c r="U12" s="131"/>
      <c r="V12" s="115">
        <f t="shared" si="5"/>
        <v>0</v>
      </c>
      <c r="W12" s="115">
        <f t="shared" si="5"/>
        <v>0</v>
      </c>
      <c r="X12" s="115">
        <f t="shared" si="5"/>
        <v>0</v>
      </c>
      <c r="Y12" s="115">
        <f t="shared" si="5"/>
        <v>0</v>
      </c>
      <c r="Z12" s="115">
        <f t="shared" si="5"/>
        <v>0</v>
      </c>
      <c r="AA12" s="115">
        <f t="shared" si="5"/>
        <v>0</v>
      </c>
      <c r="AB12" s="75"/>
    </row>
    <row r="13" spans="1:28" s="55" customFormat="1" ht="13">
      <c r="B13" s="103"/>
      <c r="C13" s="136"/>
      <c r="D13" s="75"/>
      <c r="E13" s="105"/>
      <c r="F13" s="103"/>
      <c r="G13" s="75"/>
      <c r="H13" s="103"/>
      <c r="I13" s="247"/>
      <c r="K13" s="233"/>
      <c r="L13" s="103"/>
      <c r="M13" s="137"/>
      <c r="N13" s="247"/>
      <c r="O13" s="103"/>
      <c r="P13" s="131"/>
      <c r="Q13" s="131"/>
      <c r="R13" s="131"/>
      <c r="S13" s="131"/>
      <c r="T13" s="131"/>
      <c r="U13" s="131"/>
      <c r="V13" s="115"/>
      <c r="W13" s="115"/>
      <c r="X13" s="115"/>
      <c r="Y13" s="115"/>
      <c r="Z13" s="115"/>
      <c r="AA13" s="115"/>
      <c r="AB13" s="75"/>
    </row>
    <row r="14" spans="1:28" ht="13">
      <c r="B14" t="s">
        <v>168</v>
      </c>
      <c r="C14" s="12" t="s">
        <v>160</v>
      </c>
      <c r="D14" s="118"/>
      <c r="E14" s="6"/>
      <c r="F14" s="3"/>
      <c r="G14" s="118"/>
      <c r="H14" s="3"/>
      <c r="I14" s="249"/>
      <c r="K14" s="241"/>
      <c r="L14" s="3" t="s">
        <v>36</v>
      </c>
      <c r="M14" s="33"/>
      <c r="N14" s="249"/>
      <c r="O14" s="3"/>
      <c r="P14" s="131"/>
      <c r="Q14" s="131"/>
      <c r="R14" s="131"/>
      <c r="S14" s="131"/>
      <c r="T14" s="131"/>
      <c r="U14" s="131"/>
      <c r="V14" s="132">
        <f>SUM(V15:V19)</f>
        <v>0</v>
      </c>
      <c r="W14" s="132">
        <f t="shared" ref="W14:Z14" si="6">SUM(W15:W19)</f>
        <v>0</v>
      </c>
      <c r="X14" s="132">
        <f t="shared" si="6"/>
        <v>0</v>
      </c>
      <c r="Y14" s="132">
        <f t="shared" si="6"/>
        <v>0</v>
      </c>
      <c r="Z14" s="132">
        <f t="shared" si="6"/>
        <v>0</v>
      </c>
      <c r="AA14" s="132">
        <f>SUM(AA15:AA19)</f>
        <v>0</v>
      </c>
      <c r="AB14" s="118"/>
    </row>
    <row r="15" spans="1:28" ht="13">
      <c r="C15" s="12" t="s">
        <v>162</v>
      </c>
      <c r="D15" s="75"/>
      <c r="E15" s="35" t="s">
        <v>43</v>
      </c>
      <c r="F15" s="3" t="s">
        <v>43</v>
      </c>
      <c r="G15" s="75" t="s">
        <v>43</v>
      </c>
      <c r="H15" s="3" t="s">
        <v>43</v>
      </c>
      <c r="I15" s="247"/>
      <c r="K15" s="233"/>
      <c r="L15" s="3" t="s">
        <v>36</v>
      </c>
      <c r="M15" s="33"/>
      <c r="N15" s="246"/>
      <c r="O15" s="3" t="s">
        <v>36</v>
      </c>
      <c r="P15" s="131"/>
      <c r="Q15" s="131"/>
      <c r="R15" s="131"/>
      <c r="S15" s="131"/>
      <c r="T15" s="131"/>
      <c r="U15" s="131"/>
      <c r="V15" s="115">
        <f>$N15*P15</f>
        <v>0</v>
      </c>
      <c r="W15" s="115">
        <f t="shared" ref="V15:AA19" si="7">$N15*Q15</f>
        <v>0</v>
      </c>
      <c r="X15" s="115">
        <f t="shared" si="7"/>
        <v>0</v>
      </c>
      <c r="Y15" s="115">
        <f t="shared" si="7"/>
        <v>0</v>
      </c>
      <c r="Z15" s="115">
        <f t="shared" si="7"/>
        <v>0</v>
      </c>
      <c r="AA15" s="115">
        <f t="shared" si="7"/>
        <v>0</v>
      </c>
      <c r="AB15" s="75"/>
    </row>
    <row r="16" spans="1:28" ht="50.5">
      <c r="C16" s="12" t="s">
        <v>163</v>
      </c>
      <c r="D16" s="75"/>
      <c r="E16" s="565" t="s">
        <v>886</v>
      </c>
      <c r="F16" s="3" t="s">
        <v>340</v>
      </c>
      <c r="G16" s="75">
        <v>65</v>
      </c>
      <c r="H16" s="36" t="s">
        <v>438</v>
      </c>
      <c r="I16" s="247">
        <f>'Step3-Metals-RawMat'!C7</f>
        <v>0</v>
      </c>
      <c r="J16" s="230" t="s">
        <v>346</v>
      </c>
      <c r="K16" s="233">
        <f>G16*I16/1000</f>
        <v>0</v>
      </c>
      <c r="L16" s="3" t="s">
        <v>36</v>
      </c>
      <c r="M16" s="33" t="s">
        <v>994</v>
      </c>
      <c r="N16" s="771">
        <f>$K$16*IF('Step3-Metals-RawMat'!$E$7=yes,'Step3-Metals-RawMat'!$G$9/100,'Default Controls'!$C$21/100)</f>
        <v>0</v>
      </c>
      <c r="O16" s="3" t="s">
        <v>36</v>
      </c>
      <c r="P16" s="131">
        <v>0.9</v>
      </c>
      <c r="Q16" s="131"/>
      <c r="R16" s="131"/>
      <c r="S16" s="131"/>
      <c r="T16" s="131"/>
      <c r="U16" s="131">
        <v>0.1</v>
      </c>
      <c r="V16" s="115">
        <f t="shared" si="7"/>
        <v>0</v>
      </c>
      <c r="W16" s="115">
        <f t="shared" si="7"/>
        <v>0</v>
      </c>
      <c r="X16" s="115">
        <f t="shared" si="7"/>
        <v>0</v>
      </c>
      <c r="Y16" s="115">
        <f t="shared" si="7"/>
        <v>0</v>
      </c>
      <c r="Z16" s="115">
        <f t="shared" si="7"/>
        <v>0</v>
      </c>
      <c r="AA16" s="115">
        <f t="shared" si="7"/>
        <v>0</v>
      </c>
      <c r="AB16" s="75"/>
    </row>
    <row r="17" spans="1:28" ht="25.5">
      <c r="C17" s="12"/>
      <c r="D17" s="75"/>
      <c r="E17" s="565"/>
      <c r="F17" s="3"/>
      <c r="G17" s="75"/>
      <c r="H17" s="36"/>
      <c r="I17" s="247"/>
      <c r="K17" s="233"/>
      <c r="L17" s="3"/>
      <c r="M17" s="619" t="s">
        <v>995</v>
      </c>
      <c r="N17" s="771">
        <f>$K$16*IF('Step3-Metals-RawMat'!$E$7=yes,'Step3-Metals-RawMat'!$H$9/100,'Default Controls'!$D$21/100)</f>
        <v>0</v>
      </c>
      <c r="O17" s="3" t="s">
        <v>36</v>
      </c>
      <c r="P17" s="131">
        <v>0.49</v>
      </c>
      <c r="Q17" s="131">
        <v>0.02</v>
      </c>
      <c r="R17" s="131"/>
      <c r="S17" s="131"/>
      <c r="T17" s="131"/>
      <c r="U17" s="131">
        <v>0.49</v>
      </c>
      <c r="V17" s="115">
        <f t="shared" si="7"/>
        <v>0</v>
      </c>
      <c r="W17" s="115">
        <f t="shared" si="7"/>
        <v>0</v>
      </c>
      <c r="X17" s="115">
        <f t="shared" si="7"/>
        <v>0</v>
      </c>
      <c r="Y17" s="115">
        <f t="shared" si="7"/>
        <v>0</v>
      </c>
      <c r="Z17" s="115">
        <f t="shared" si="7"/>
        <v>0</v>
      </c>
      <c r="AA17" s="115">
        <f t="shared" si="7"/>
        <v>0</v>
      </c>
      <c r="AB17" s="75"/>
    </row>
    <row r="18" spans="1:28" ht="38">
      <c r="C18" s="12"/>
      <c r="D18" s="75"/>
      <c r="E18" s="565"/>
      <c r="F18" s="3"/>
      <c r="G18" s="75"/>
      <c r="H18" s="36"/>
      <c r="I18" s="247"/>
      <c r="K18" s="233"/>
      <c r="L18" s="3"/>
      <c r="M18" s="619" t="s">
        <v>887</v>
      </c>
      <c r="N18" s="771">
        <f>$K$16*IF('Step3-Metals-RawMat'!$E$7=yes,'Step3-Metals-RawMat'!$I$9/100,'Default Controls'!$E$21/100)</f>
        <v>0</v>
      </c>
      <c r="O18" s="3" t="s">
        <v>36</v>
      </c>
      <c r="P18" s="131">
        <v>0.1</v>
      </c>
      <c r="Q18" s="131">
        <v>0.02</v>
      </c>
      <c r="R18" s="131"/>
      <c r="S18" s="131">
        <v>0.42</v>
      </c>
      <c r="T18" s="131"/>
      <c r="U18" s="131">
        <v>0.46</v>
      </c>
      <c r="V18" s="115">
        <f t="shared" si="7"/>
        <v>0</v>
      </c>
      <c r="W18" s="115">
        <f t="shared" si="7"/>
        <v>0</v>
      </c>
      <c r="X18" s="115">
        <f t="shared" si="7"/>
        <v>0</v>
      </c>
      <c r="Y18" s="115">
        <f t="shared" si="7"/>
        <v>0</v>
      </c>
      <c r="Z18" s="115">
        <f t="shared" si="7"/>
        <v>0</v>
      </c>
      <c r="AA18" s="115">
        <f t="shared" si="7"/>
        <v>0</v>
      </c>
      <c r="AB18" s="75"/>
    </row>
    <row r="19" spans="1:28" ht="50.5">
      <c r="C19" s="12"/>
      <c r="D19" s="75"/>
      <c r="E19" s="565"/>
      <c r="F19" s="3"/>
      <c r="G19" s="75"/>
      <c r="H19" s="36"/>
      <c r="I19" s="247"/>
      <c r="K19" s="233"/>
      <c r="L19" s="3"/>
      <c r="M19" s="619" t="s">
        <v>996</v>
      </c>
      <c r="N19" s="771">
        <f>$K$16*IF('Step3-Metals-RawMat'!$E$7=yes,'Step3-Metals-RawMat'!$J$9/100,'Default Controls'!$F$21/100)</f>
        <v>0</v>
      </c>
      <c r="O19" s="3" t="s">
        <v>36</v>
      </c>
      <c r="P19" s="131">
        <v>0.02</v>
      </c>
      <c r="Q19" s="131">
        <v>0.02</v>
      </c>
      <c r="R19" s="131"/>
      <c r="S19" s="131">
        <v>0.48</v>
      </c>
      <c r="T19" s="131"/>
      <c r="U19" s="131">
        <v>0.48</v>
      </c>
      <c r="V19" s="115">
        <f t="shared" si="7"/>
        <v>0</v>
      </c>
      <c r="W19" s="115">
        <f t="shared" si="7"/>
        <v>0</v>
      </c>
      <c r="X19" s="115">
        <f t="shared" si="7"/>
        <v>0</v>
      </c>
      <c r="Y19" s="115">
        <f t="shared" si="7"/>
        <v>0</v>
      </c>
      <c r="Z19" s="115">
        <f t="shared" si="7"/>
        <v>0</v>
      </c>
      <c r="AA19" s="115">
        <f t="shared" si="7"/>
        <v>0</v>
      </c>
      <c r="AB19" s="75"/>
    </row>
    <row r="20" spans="1:28" s="55" customFormat="1" ht="13">
      <c r="C20" s="104"/>
      <c r="D20" s="75"/>
      <c r="G20" s="75"/>
      <c r="I20" s="246"/>
      <c r="K20" s="234"/>
      <c r="M20" s="106"/>
      <c r="N20" s="247"/>
      <c r="O20" s="103"/>
      <c r="P20" s="131"/>
      <c r="Q20" s="131"/>
      <c r="R20" s="131"/>
      <c r="S20" s="131"/>
      <c r="T20" s="131"/>
      <c r="U20" s="131"/>
      <c r="V20" s="58"/>
      <c r="W20" s="58"/>
      <c r="X20" s="58"/>
      <c r="Y20" s="58"/>
      <c r="Z20" s="58"/>
      <c r="AA20" s="58"/>
      <c r="AB20" s="75"/>
    </row>
    <row r="21" spans="1:28" ht="13">
      <c r="B21" t="s">
        <v>169</v>
      </c>
      <c r="C21" s="12" t="s">
        <v>164</v>
      </c>
      <c r="D21" s="118"/>
      <c r="E21" s="6"/>
      <c r="F21" s="3"/>
      <c r="G21" s="118"/>
      <c r="H21" s="3"/>
      <c r="I21" s="249"/>
      <c r="K21" s="241"/>
      <c r="L21" s="3"/>
      <c r="M21" s="33"/>
      <c r="N21" s="249"/>
      <c r="O21" s="3"/>
      <c r="P21" s="131"/>
      <c r="Q21" s="131"/>
      <c r="R21" s="131"/>
      <c r="S21" s="131"/>
      <c r="T21" s="131"/>
      <c r="U21" s="131"/>
      <c r="V21" s="132">
        <f>SUM(V22:V26)</f>
        <v>0</v>
      </c>
      <c r="W21" s="132">
        <f t="shared" ref="W21:Z21" si="8">SUM(W22:W26)</f>
        <v>0</v>
      </c>
      <c r="X21" s="132">
        <f t="shared" si="8"/>
        <v>0</v>
      </c>
      <c r="Y21" s="132">
        <f t="shared" si="8"/>
        <v>0</v>
      </c>
      <c r="Z21" s="132">
        <f t="shared" si="8"/>
        <v>0</v>
      </c>
      <c r="AA21" s="132">
        <f>SUM(AA22:AA26)</f>
        <v>0</v>
      </c>
      <c r="AB21" s="118"/>
    </row>
    <row r="22" spans="1:28" ht="13">
      <c r="C22" s="12" t="s">
        <v>162</v>
      </c>
      <c r="D22" s="75"/>
      <c r="E22" s="35" t="s">
        <v>43</v>
      </c>
      <c r="F22" s="3" t="s">
        <v>43</v>
      </c>
      <c r="G22" s="75" t="s">
        <v>43</v>
      </c>
      <c r="H22" s="3" t="s">
        <v>43</v>
      </c>
      <c r="I22" s="247"/>
      <c r="K22" s="233"/>
      <c r="L22" s="3" t="s">
        <v>36</v>
      </c>
      <c r="M22" s="33"/>
      <c r="N22" s="247"/>
      <c r="O22" s="3" t="s">
        <v>36</v>
      </c>
      <c r="P22" s="131"/>
      <c r="Q22" s="131"/>
      <c r="R22" s="131"/>
      <c r="S22" s="131"/>
      <c r="T22" s="131"/>
      <c r="U22" s="131"/>
      <c r="V22" s="115">
        <f>$N22*P22</f>
        <v>0</v>
      </c>
      <c r="W22" s="115">
        <f t="shared" ref="V22:AA26" si="9">$N22*Q22</f>
        <v>0</v>
      </c>
      <c r="X22" s="115">
        <f t="shared" si="9"/>
        <v>0</v>
      </c>
      <c r="Y22" s="115">
        <f t="shared" si="9"/>
        <v>0</v>
      </c>
      <c r="Z22" s="115">
        <f t="shared" si="9"/>
        <v>0</v>
      </c>
      <c r="AA22" s="115">
        <f t="shared" si="9"/>
        <v>0</v>
      </c>
      <c r="AB22" s="75"/>
    </row>
    <row r="23" spans="1:28" ht="50.5">
      <c r="C23" s="12" t="s">
        <v>165</v>
      </c>
      <c r="D23" s="75"/>
      <c r="E23" s="568" t="s">
        <v>888</v>
      </c>
      <c r="F23" s="3" t="s">
        <v>340</v>
      </c>
      <c r="G23" s="75">
        <v>30</v>
      </c>
      <c r="H23" s="36" t="s">
        <v>438</v>
      </c>
      <c r="I23" s="247">
        <f>'Step3-Metals-RawMat'!C10</f>
        <v>0</v>
      </c>
      <c r="J23" t="s">
        <v>346</v>
      </c>
      <c r="K23" s="233">
        <f>G23*I23/1000</f>
        <v>0</v>
      </c>
      <c r="L23" s="3" t="s">
        <v>36</v>
      </c>
      <c r="M23" s="33" t="s">
        <v>994</v>
      </c>
      <c r="N23" s="771">
        <f>$K$23*IF('Step3-Metals-RawMat'!$E$10=yes,'Step3-Metals-RawMat'!$G$12/100,'Default Controls'!$C$24/100)</f>
        <v>0</v>
      </c>
      <c r="O23" s="3" t="s">
        <v>36</v>
      </c>
      <c r="P23" s="131">
        <v>0.9</v>
      </c>
      <c r="Q23" s="131"/>
      <c r="R23" s="131"/>
      <c r="S23" s="131"/>
      <c r="T23" s="131"/>
      <c r="U23" s="131">
        <v>0.1</v>
      </c>
      <c r="V23" s="115">
        <f t="shared" si="9"/>
        <v>0</v>
      </c>
      <c r="W23" s="115">
        <f t="shared" si="9"/>
        <v>0</v>
      </c>
      <c r="X23" s="115">
        <f t="shared" si="9"/>
        <v>0</v>
      </c>
      <c r="Y23" s="115">
        <f t="shared" si="9"/>
        <v>0</v>
      </c>
      <c r="Z23" s="115">
        <f t="shared" si="9"/>
        <v>0</v>
      </c>
      <c r="AA23" s="115">
        <f t="shared" si="9"/>
        <v>0</v>
      </c>
      <c r="AB23" s="75"/>
    </row>
    <row r="24" spans="1:28" ht="25.5">
      <c r="C24" s="12"/>
      <c r="D24" s="75"/>
      <c r="E24" s="568"/>
      <c r="F24" s="3"/>
      <c r="G24" s="75"/>
      <c r="H24" s="36"/>
      <c r="I24" s="247"/>
      <c r="K24" s="233"/>
      <c r="L24" s="3"/>
      <c r="M24" s="33" t="s">
        <v>995</v>
      </c>
      <c r="N24" s="771">
        <f>$K$23*IF('Step3-Metals-RawMat'!$E$10=yes,'Step3-Metals-RawMat'!$H$12/100,'Default Controls'!$D$24/100)</f>
        <v>0</v>
      </c>
      <c r="O24" s="3" t="s">
        <v>36</v>
      </c>
      <c r="P24" s="131">
        <v>0.49</v>
      </c>
      <c r="Q24" s="131">
        <v>0.02</v>
      </c>
      <c r="R24" s="131"/>
      <c r="S24" s="131"/>
      <c r="T24" s="131"/>
      <c r="U24" s="131">
        <v>0.49</v>
      </c>
      <c r="V24" s="115">
        <f t="shared" si="9"/>
        <v>0</v>
      </c>
      <c r="W24" s="115">
        <f t="shared" si="9"/>
        <v>0</v>
      </c>
      <c r="X24" s="115">
        <f t="shared" si="9"/>
        <v>0</v>
      </c>
      <c r="Y24" s="115">
        <f t="shared" si="9"/>
        <v>0</v>
      </c>
      <c r="Z24" s="115">
        <f t="shared" si="9"/>
        <v>0</v>
      </c>
      <c r="AA24" s="115">
        <f t="shared" si="9"/>
        <v>0</v>
      </c>
      <c r="AB24" s="75"/>
    </row>
    <row r="25" spans="1:28" ht="38">
      <c r="C25" s="12"/>
      <c r="D25" s="75"/>
      <c r="E25" s="568"/>
      <c r="F25" s="3"/>
      <c r="G25" s="75"/>
      <c r="H25" s="36"/>
      <c r="I25" s="247"/>
      <c r="K25" s="233"/>
      <c r="L25" s="3"/>
      <c r="M25" s="33" t="s">
        <v>887</v>
      </c>
      <c r="N25" s="771">
        <f>$K$23*IF('Step3-Metals-RawMat'!$E$10=yes,'Step3-Metals-RawMat'!$I$12/100,'Default Controls'!$E$24/100)</f>
        <v>0</v>
      </c>
      <c r="O25" s="3" t="s">
        <v>36</v>
      </c>
      <c r="P25" s="131">
        <v>0.1</v>
      </c>
      <c r="Q25" s="131">
        <v>0.02</v>
      </c>
      <c r="R25" s="131"/>
      <c r="S25" s="131">
        <v>0.42</v>
      </c>
      <c r="T25" s="131"/>
      <c r="U25" s="131">
        <v>0.46</v>
      </c>
      <c r="V25" s="115">
        <f t="shared" si="9"/>
        <v>0</v>
      </c>
      <c r="W25" s="115">
        <f t="shared" si="9"/>
        <v>0</v>
      </c>
      <c r="X25" s="115">
        <f t="shared" si="9"/>
        <v>0</v>
      </c>
      <c r="Y25" s="115">
        <f t="shared" si="9"/>
        <v>0</v>
      </c>
      <c r="Z25" s="115">
        <f t="shared" si="9"/>
        <v>0</v>
      </c>
      <c r="AA25" s="115">
        <f t="shared" si="9"/>
        <v>0</v>
      </c>
      <c r="AB25" s="75"/>
    </row>
    <row r="26" spans="1:28" ht="50.5">
      <c r="C26" s="12"/>
      <c r="D26" s="75"/>
      <c r="E26" s="568"/>
      <c r="F26" s="3"/>
      <c r="G26" s="75"/>
      <c r="H26" s="36"/>
      <c r="I26" s="247"/>
      <c r="K26" s="233"/>
      <c r="L26" s="3"/>
      <c r="M26" s="33" t="s">
        <v>996</v>
      </c>
      <c r="N26" s="771">
        <f>$K$23*IF('Step3-Metals-RawMat'!$E$10=yes,'Step3-Metals-RawMat'!$J$12/100,'Default Controls'!$F$24/100)</f>
        <v>0</v>
      </c>
      <c r="O26" s="3" t="s">
        <v>36</v>
      </c>
      <c r="P26" s="131">
        <v>0.02</v>
      </c>
      <c r="Q26" s="131">
        <v>0.02</v>
      </c>
      <c r="R26" s="131"/>
      <c r="S26" s="131">
        <v>0.48</v>
      </c>
      <c r="T26" s="131"/>
      <c r="U26" s="131">
        <v>0.48</v>
      </c>
      <c r="V26" s="115">
        <f t="shared" si="9"/>
        <v>0</v>
      </c>
      <c r="W26" s="115">
        <f t="shared" si="9"/>
        <v>0</v>
      </c>
      <c r="X26" s="115">
        <f t="shared" si="9"/>
        <v>0</v>
      </c>
      <c r="Y26" s="115">
        <f t="shared" si="9"/>
        <v>0</v>
      </c>
      <c r="Z26" s="115">
        <f t="shared" si="9"/>
        <v>0</v>
      </c>
      <c r="AA26" s="115">
        <f t="shared" si="9"/>
        <v>0</v>
      </c>
      <c r="AB26" s="75"/>
    </row>
    <row r="27" spans="1:28" s="55" customFormat="1" ht="13">
      <c r="A27" s="138"/>
      <c r="B27" s="103"/>
      <c r="C27" s="135"/>
      <c r="D27" s="110"/>
      <c r="E27" s="105"/>
      <c r="F27" s="103"/>
      <c r="G27" s="75"/>
      <c r="H27" s="103"/>
      <c r="I27" s="247"/>
      <c r="K27" s="233"/>
      <c r="L27" s="103"/>
      <c r="M27" s="109"/>
      <c r="N27" s="247"/>
      <c r="O27" s="103"/>
      <c r="P27" s="131"/>
      <c r="Q27" s="131"/>
      <c r="R27" s="131"/>
      <c r="S27" s="131"/>
      <c r="T27" s="131"/>
      <c r="U27" s="131"/>
      <c r="V27" s="115"/>
      <c r="W27" s="115"/>
      <c r="X27" s="115"/>
      <c r="Y27" s="115"/>
      <c r="Z27" s="115"/>
      <c r="AA27" s="115"/>
      <c r="AB27" s="75"/>
    </row>
    <row r="28" spans="1:28" ht="13">
      <c r="B28" t="s">
        <v>170</v>
      </c>
      <c r="C28" s="12" t="s">
        <v>166</v>
      </c>
      <c r="D28" s="118"/>
      <c r="E28" s="6"/>
      <c r="F28" s="3"/>
      <c r="G28" s="118"/>
      <c r="H28" s="3"/>
      <c r="I28" s="249"/>
      <c r="K28" s="241"/>
      <c r="L28" s="3"/>
      <c r="M28" s="33"/>
      <c r="N28" s="249"/>
      <c r="O28" s="3"/>
      <c r="P28" s="131"/>
      <c r="Q28" s="131"/>
      <c r="R28" s="131"/>
      <c r="S28" s="131"/>
      <c r="T28" s="131"/>
      <c r="U28" s="131"/>
      <c r="V28" s="132">
        <f>SUM(V29:V33)</f>
        <v>0</v>
      </c>
      <c r="W28" s="132">
        <f t="shared" ref="W28:Z28" si="10">SUM(W29:W33)</f>
        <v>0</v>
      </c>
      <c r="X28" s="132">
        <f t="shared" si="10"/>
        <v>0</v>
      </c>
      <c r="Y28" s="132">
        <f t="shared" si="10"/>
        <v>0</v>
      </c>
      <c r="Z28" s="132">
        <f t="shared" si="10"/>
        <v>0</v>
      </c>
      <c r="AA28" s="132">
        <f>SUM(AA29:AA33)</f>
        <v>0</v>
      </c>
      <c r="AB28" s="118"/>
    </row>
    <row r="29" spans="1:28" ht="13">
      <c r="C29" s="12" t="s">
        <v>162</v>
      </c>
      <c r="D29" s="75"/>
      <c r="E29" s="35" t="s">
        <v>43</v>
      </c>
      <c r="F29" s="3" t="s">
        <v>43</v>
      </c>
      <c r="G29" s="75" t="s">
        <v>43</v>
      </c>
      <c r="H29" s="3" t="s">
        <v>43</v>
      </c>
      <c r="I29" s="247"/>
      <c r="K29" s="233"/>
      <c r="L29" s="3" t="s">
        <v>36</v>
      </c>
      <c r="M29" s="33"/>
      <c r="N29" s="247"/>
      <c r="O29" s="3" t="s">
        <v>36</v>
      </c>
      <c r="P29" s="131"/>
      <c r="Q29" s="131"/>
      <c r="R29" s="131"/>
      <c r="S29" s="131"/>
      <c r="T29" s="131"/>
      <c r="U29" s="131"/>
      <c r="V29" s="115">
        <f>$N29*P29</f>
        <v>0</v>
      </c>
      <c r="W29" s="115">
        <f t="shared" ref="W29:AA29" si="11">$N29*Q29</f>
        <v>0</v>
      </c>
      <c r="X29" s="115">
        <f t="shared" si="11"/>
        <v>0</v>
      </c>
      <c r="Y29" s="115">
        <f t="shared" si="11"/>
        <v>0</v>
      </c>
      <c r="Z29" s="115">
        <f t="shared" si="11"/>
        <v>0</v>
      </c>
      <c r="AA29" s="115">
        <f t="shared" si="11"/>
        <v>0</v>
      </c>
      <c r="AB29" s="75"/>
    </row>
    <row r="30" spans="1:28" ht="50.5">
      <c r="C30" s="12" t="s">
        <v>167</v>
      </c>
      <c r="D30" s="75"/>
      <c r="E30" s="565" t="s">
        <v>889</v>
      </c>
      <c r="F30" s="3" t="s">
        <v>340</v>
      </c>
      <c r="G30" s="75">
        <v>30</v>
      </c>
      <c r="H30" s="36" t="s">
        <v>438</v>
      </c>
      <c r="I30" s="247">
        <f>'Step3-Metals-RawMat'!C13</f>
        <v>0</v>
      </c>
      <c r="J30" t="s">
        <v>346</v>
      </c>
      <c r="K30" s="233">
        <f>G30*I30/1000</f>
        <v>0</v>
      </c>
      <c r="L30" s="3" t="s">
        <v>36</v>
      </c>
      <c r="M30" s="33" t="s">
        <v>994</v>
      </c>
      <c r="N30" s="771">
        <f>$K$30*IF('Step3-Metals-RawMat'!$E$13=yes,'Step3-Metals-RawMat'!$G$15/100,'Default Controls'!$C$27/100)</f>
        <v>0</v>
      </c>
      <c r="O30" s="3" t="s">
        <v>36</v>
      </c>
      <c r="P30" s="131">
        <v>0.9</v>
      </c>
      <c r="Q30" s="131"/>
      <c r="R30" s="131"/>
      <c r="S30" s="131"/>
      <c r="T30" s="131"/>
      <c r="U30" s="131">
        <v>0.1</v>
      </c>
      <c r="V30" s="115">
        <f t="shared" ref="V30:AA33" si="12">$N30*P30</f>
        <v>0</v>
      </c>
      <c r="W30" s="115">
        <f t="shared" si="12"/>
        <v>0</v>
      </c>
      <c r="X30" s="115">
        <f t="shared" si="12"/>
        <v>0</v>
      </c>
      <c r="Y30" s="115">
        <f t="shared" si="12"/>
        <v>0</v>
      </c>
      <c r="Z30" s="115">
        <f t="shared" si="12"/>
        <v>0</v>
      </c>
      <c r="AA30" s="115">
        <f t="shared" si="12"/>
        <v>0</v>
      </c>
      <c r="AB30" s="75"/>
    </row>
    <row r="31" spans="1:28" ht="25.5">
      <c r="C31" s="12"/>
      <c r="D31" s="75"/>
      <c r="E31" s="565"/>
      <c r="F31" s="3"/>
      <c r="G31" s="75"/>
      <c r="H31" s="36"/>
      <c r="I31" s="247"/>
      <c r="K31" s="233"/>
      <c r="L31" s="3"/>
      <c r="M31" s="33" t="s">
        <v>995</v>
      </c>
      <c r="N31" s="771">
        <f>$K$30*IF('Step3-Metals-RawMat'!$E$13=yes,'Step3-Metals-RawMat'!$H$15/100,'Default Controls'!$D$27/100)</f>
        <v>0</v>
      </c>
      <c r="O31" s="3" t="s">
        <v>36</v>
      </c>
      <c r="P31" s="131">
        <v>0.49</v>
      </c>
      <c r="Q31" s="131">
        <v>0.02</v>
      </c>
      <c r="R31" s="131"/>
      <c r="S31" s="131"/>
      <c r="T31" s="131"/>
      <c r="U31" s="131">
        <v>0.49</v>
      </c>
      <c r="V31" s="115">
        <f t="shared" si="12"/>
        <v>0</v>
      </c>
      <c r="W31" s="115">
        <f t="shared" si="12"/>
        <v>0</v>
      </c>
      <c r="X31" s="115">
        <f t="shared" si="12"/>
        <v>0</v>
      </c>
      <c r="Y31" s="115">
        <f t="shared" si="12"/>
        <v>0</v>
      </c>
      <c r="Z31" s="115">
        <f t="shared" si="12"/>
        <v>0</v>
      </c>
      <c r="AA31" s="115">
        <f t="shared" si="12"/>
        <v>0</v>
      </c>
      <c r="AB31" s="75"/>
    </row>
    <row r="32" spans="1:28" ht="38">
      <c r="C32" s="12"/>
      <c r="D32" s="75"/>
      <c r="E32" s="565"/>
      <c r="F32" s="3"/>
      <c r="G32" s="75"/>
      <c r="H32" s="36"/>
      <c r="I32" s="247"/>
      <c r="K32" s="233"/>
      <c r="L32" s="3"/>
      <c r="M32" s="33" t="s">
        <v>887</v>
      </c>
      <c r="N32" s="771">
        <f>$K$30*IF('Step3-Metals-RawMat'!$E$13=yes,'Step3-Metals-RawMat'!$I$15/100,'Default Controls'!$E$27/100)</f>
        <v>0</v>
      </c>
      <c r="O32" s="3" t="s">
        <v>36</v>
      </c>
      <c r="P32" s="131">
        <v>0.1</v>
      </c>
      <c r="Q32" s="131">
        <v>0.02</v>
      </c>
      <c r="R32" s="131"/>
      <c r="S32" s="131">
        <v>0.42</v>
      </c>
      <c r="T32" s="131"/>
      <c r="U32" s="131">
        <v>0.46</v>
      </c>
      <c r="V32" s="115">
        <f t="shared" si="12"/>
        <v>0</v>
      </c>
      <c r="W32" s="115">
        <f t="shared" si="12"/>
        <v>0</v>
      </c>
      <c r="X32" s="115">
        <f t="shared" si="12"/>
        <v>0</v>
      </c>
      <c r="Y32" s="115">
        <f t="shared" si="12"/>
        <v>0</v>
      </c>
      <c r="Z32" s="115">
        <f t="shared" si="12"/>
        <v>0</v>
      </c>
      <c r="AA32" s="115">
        <f t="shared" si="12"/>
        <v>0</v>
      </c>
      <c r="AB32" s="75"/>
    </row>
    <row r="33" spans="1:28" ht="50.5">
      <c r="C33" s="12"/>
      <c r="D33" s="75"/>
      <c r="E33" s="565"/>
      <c r="F33" s="3"/>
      <c r="G33" s="75"/>
      <c r="H33" s="36"/>
      <c r="I33" s="247"/>
      <c r="K33" s="233"/>
      <c r="L33" s="3"/>
      <c r="M33" s="33" t="s">
        <v>996</v>
      </c>
      <c r="N33" s="771">
        <f>$K$30*IF('Step3-Metals-RawMat'!$E$13=yes,'Step3-Metals-RawMat'!$J$15/100,'Default Controls'!$F$27/100)</f>
        <v>0</v>
      </c>
      <c r="O33" s="3" t="s">
        <v>36</v>
      </c>
      <c r="P33" s="131">
        <v>0.02</v>
      </c>
      <c r="Q33" s="131">
        <v>0.02</v>
      </c>
      <c r="R33" s="131"/>
      <c r="S33" s="131">
        <v>0.48</v>
      </c>
      <c r="T33" s="131"/>
      <c r="U33" s="131">
        <v>0.48</v>
      </c>
      <c r="V33" s="115">
        <f t="shared" si="12"/>
        <v>0</v>
      </c>
      <c r="W33" s="115">
        <f t="shared" si="12"/>
        <v>0</v>
      </c>
      <c r="X33" s="115">
        <f t="shared" si="12"/>
        <v>0</v>
      </c>
      <c r="Y33" s="115">
        <f t="shared" si="12"/>
        <v>0</v>
      </c>
      <c r="Z33" s="115">
        <f t="shared" si="12"/>
        <v>0</v>
      </c>
      <c r="AA33" s="115">
        <f t="shared" si="12"/>
        <v>0</v>
      </c>
      <c r="AB33" s="75"/>
    </row>
    <row r="34" spans="1:28" s="55" customFormat="1">
      <c r="A34" s="103"/>
      <c r="B34" s="103"/>
      <c r="C34" s="104"/>
      <c r="D34" s="75"/>
      <c r="E34" s="105"/>
      <c r="F34" s="103"/>
      <c r="G34" s="75"/>
      <c r="H34" s="103"/>
      <c r="I34" s="247"/>
      <c r="K34" s="233"/>
      <c r="L34" s="103"/>
      <c r="M34" s="137"/>
      <c r="N34" s="247"/>
      <c r="O34" s="103"/>
      <c r="P34" s="131"/>
      <c r="Q34" s="131"/>
      <c r="R34" s="131"/>
      <c r="S34" s="131"/>
      <c r="T34" s="131"/>
      <c r="U34" s="131"/>
      <c r="V34" s="115"/>
      <c r="W34" s="115"/>
      <c r="X34" s="115"/>
      <c r="Y34" s="115"/>
      <c r="Z34" s="115"/>
      <c r="AA34" s="115"/>
      <c r="AB34" s="75"/>
    </row>
    <row r="35" spans="1:28" ht="39">
      <c r="B35" t="s">
        <v>171</v>
      </c>
      <c r="C35" s="12" t="s">
        <v>315</v>
      </c>
      <c r="D35" s="118"/>
      <c r="E35" s="567" t="s">
        <v>890</v>
      </c>
      <c r="F35" s="36" t="s">
        <v>512</v>
      </c>
      <c r="G35" s="338">
        <v>5.5</v>
      </c>
      <c r="H35" s="36" t="s">
        <v>527</v>
      </c>
      <c r="I35" s="443">
        <f>'Step3-Metals-RawMat'!C16</f>
        <v>0</v>
      </c>
      <c r="J35" s="53" t="s">
        <v>526</v>
      </c>
      <c r="K35" s="233">
        <f>G35*I35/1000</f>
        <v>0</v>
      </c>
      <c r="L35" s="3" t="s">
        <v>36</v>
      </c>
      <c r="M35" s="33"/>
      <c r="N35" s="250">
        <f>K35</f>
        <v>0</v>
      </c>
      <c r="O35" s="3" t="s">
        <v>36</v>
      </c>
      <c r="P35" s="131">
        <v>0.04</v>
      </c>
      <c r="Q35" s="131">
        <v>0.02</v>
      </c>
      <c r="R35" s="131">
        <v>0.9</v>
      </c>
      <c r="S35" s="131">
        <v>0.04</v>
      </c>
      <c r="T35" s="131"/>
      <c r="U35" s="131"/>
      <c r="V35" s="132">
        <f t="shared" ref="V35:AA35" si="13">$N35*P35</f>
        <v>0</v>
      </c>
      <c r="W35" s="132">
        <f t="shared" si="13"/>
        <v>0</v>
      </c>
      <c r="X35" s="132">
        <f t="shared" si="13"/>
        <v>0</v>
      </c>
      <c r="Y35" s="132">
        <f t="shared" si="13"/>
        <v>0</v>
      </c>
      <c r="Z35" s="132">
        <f t="shared" si="13"/>
        <v>0</v>
      </c>
      <c r="AA35" s="132">
        <f t="shared" si="13"/>
        <v>0</v>
      </c>
      <c r="AB35" s="118"/>
    </row>
    <row r="36" spans="1:28" s="55" customFormat="1" ht="13">
      <c r="A36" s="103"/>
      <c r="B36" s="103"/>
      <c r="C36" s="135"/>
      <c r="D36" s="110"/>
      <c r="E36" s="105"/>
      <c r="F36" s="103"/>
      <c r="G36" s="75"/>
      <c r="H36" s="103"/>
      <c r="I36" s="247"/>
      <c r="K36" s="233"/>
      <c r="L36" s="103"/>
      <c r="M36" s="106"/>
      <c r="N36" s="247"/>
      <c r="O36" s="103"/>
      <c r="P36" s="131"/>
      <c r="Q36" s="131"/>
      <c r="R36" s="131"/>
      <c r="S36" s="131"/>
      <c r="T36" s="131"/>
      <c r="U36" s="131"/>
      <c r="V36" s="115"/>
      <c r="W36" s="115"/>
      <c r="X36" s="115"/>
      <c r="Y36" s="115"/>
      <c r="Z36" s="115"/>
      <c r="AA36" s="115"/>
      <c r="AB36" s="75"/>
    </row>
    <row r="37" spans="1:28" ht="26">
      <c r="B37" t="s">
        <v>176</v>
      </c>
      <c r="C37" s="12" t="s">
        <v>174</v>
      </c>
      <c r="D37" s="118"/>
      <c r="E37" s="6"/>
      <c r="F37" s="3"/>
      <c r="G37" s="118"/>
      <c r="H37" s="3"/>
      <c r="I37" s="249"/>
      <c r="K37" s="241"/>
      <c r="L37" s="3"/>
      <c r="M37" s="33"/>
      <c r="N37" s="249"/>
      <c r="O37" s="3"/>
      <c r="P37" s="131"/>
      <c r="Q37" s="131"/>
      <c r="R37" s="131"/>
      <c r="S37" s="131"/>
      <c r="T37" s="131"/>
      <c r="U37" s="131"/>
      <c r="V37" s="132">
        <f t="shared" ref="V37:AA37" si="14">SUM(V38:V39)</f>
        <v>0</v>
      </c>
      <c r="W37" s="132">
        <f t="shared" si="14"/>
        <v>0</v>
      </c>
      <c r="X37" s="132">
        <f t="shared" si="14"/>
        <v>0</v>
      </c>
      <c r="Y37" s="132">
        <f t="shared" si="14"/>
        <v>0</v>
      </c>
      <c r="Z37" s="132">
        <f t="shared" si="14"/>
        <v>0</v>
      </c>
      <c r="AA37" s="132">
        <f t="shared" si="14"/>
        <v>0</v>
      </c>
      <c r="AB37" s="118"/>
    </row>
    <row r="38" spans="1:28" ht="13">
      <c r="C38" s="12" t="s">
        <v>475</v>
      </c>
      <c r="D38" s="75"/>
      <c r="E38" s="8" t="s">
        <v>472</v>
      </c>
      <c r="F38" s="36" t="s">
        <v>474</v>
      </c>
      <c r="G38" s="75">
        <v>0.5</v>
      </c>
      <c r="H38" s="36" t="s">
        <v>474</v>
      </c>
      <c r="I38" s="247">
        <f>'Step3-Metals-RawMat'!C17</f>
        <v>0</v>
      </c>
      <c r="J38" s="8" t="s">
        <v>473</v>
      </c>
      <c r="K38" s="233">
        <f>G38*I38/1000</f>
        <v>0</v>
      </c>
      <c r="L38" s="3" t="s">
        <v>36</v>
      </c>
      <c r="M38" s="33"/>
      <c r="N38" s="247">
        <f>K38</f>
        <v>0</v>
      </c>
      <c r="O38" s="3" t="s">
        <v>36</v>
      </c>
      <c r="P38" s="131">
        <v>0.15</v>
      </c>
      <c r="Q38" s="131">
        <v>0.1</v>
      </c>
      <c r="R38" s="131"/>
      <c r="S38" s="131"/>
      <c r="T38" s="131">
        <v>0.65</v>
      </c>
      <c r="U38" s="131">
        <v>0.1</v>
      </c>
      <c r="V38" s="115">
        <f t="shared" ref="V38:AA39" si="15">$N38*P38</f>
        <v>0</v>
      </c>
      <c r="W38" s="115">
        <f t="shared" si="15"/>
        <v>0</v>
      </c>
      <c r="X38" s="115">
        <f t="shared" si="15"/>
        <v>0</v>
      </c>
      <c r="Y38" s="115">
        <f t="shared" si="15"/>
        <v>0</v>
      </c>
      <c r="Z38" s="115">
        <f t="shared" si="15"/>
        <v>0</v>
      </c>
      <c r="AA38" s="115">
        <f t="shared" si="15"/>
        <v>0</v>
      </c>
      <c r="AB38" s="75"/>
    </row>
    <row r="39" spans="1:28" ht="13">
      <c r="C39" s="12" t="s">
        <v>175</v>
      </c>
      <c r="D39" s="75"/>
      <c r="E39" t="s">
        <v>43</v>
      </c>
      <c r="F39" s="3" t="s">
        <v>43</v>
      </c>
      <c r="G39" s="75" t="s">
        <v>43</v>
      </c>
      <c r="H39" s="3" t="s">
        <v>43</v>
      </c>
      <c r="I39" s="247"/>
      <c r="J39" t="s">
        <v>43</v>
      </c>
      <c r="K39" s="233"/>
      <c r="L39" s="3" t="s">
        <v>36</v>
      </c>
      <c r="M39" s="33"/>
      <c r="N39" s="247"/>
      <c r="O39" s="3" t="s">
        <v>36</v>
      </c>
      <c r="P39" s="131"/>
      <c r="Q39" s="131"/>
      <c r="R39" s="131"/>
      <c r="S39" s="131"/>
      <c r="T39" s="131"/>
      <c r="U39" s="131"/>
      <c r="V39" s="115">
        <f t="shared" si="15"/>
        <v>0</v>
      </c>
      <c r="W39" s="115">
        <f t="shared" si="15"/>
        <v>0</v>
      </c>
      <c r="X39" s="115">
        <f t="shared" si="15"/>
        <v>0</v>
      </c>
      <c r="Y39" s="115">
        <f t="shared" si="15"/>
        <v>0</v>
      </c>
      <c r="Z39" s="115">
        <f t="shared" si="15"/>
        <v>0</v>
      </c>
      <c r="AA39" s="115">
        <f t="shared" si="15"/>
        <v>0</v>
      </c>
      <c r="AB39" s="75"/>
    </row>
    <row r="40" spans="1:28" s="55" customFormat="1">
      <c r="A40" s="103"/>
      <c r="B40" s="103"/>
      <c r="C40" s="104"/>
      <c r="D40" s="75"/>
      <c r="E40" s="105"/>
      <c r="F40" s="103"/>
      <c r="G40" s="75"/>
      <c r="H40" s="103"/>
      <c r="I40" s="247"/>
      <c r="K40" s="236"/>
      <c r="L40" s="103"/>
      <c r="M40" s="137"/>
      <c r="N40" s="247"/>
      <c r="O40" s="103"/>
      <c r="P40" s="131"/>
      <c r="Q40" s="131"/>
      <c r="R40" s="131"/>
      <c r="S40" s="131"/>
      <c r="T40" s="131"/>
      <c r="U40" s="131"/>
      <c r="V40" s="115"/>
      <c r="W40" s="115"/>
      <c r="X40" s="115"/>
      <c r="Y40" s="115"/>
      <c r="Z40" s="115"/>
      <c r="AA40" s="115"/>
      <c r="AB40" s="75"/>
    </row>
    <row r="41" spans="1:28" ht="26">
      <c r="B41" t="s">
        <v>177</v>
      </c>
      <c r="C41" s="12" t="s">
        <v>180</v>
      </c>
      <c r="D41" s="118"/>
      <c r="E41" t="s">
        <v>43</v>
      </c>
      <c r="F41" s="3" t="s">
        <v>43</v>
      </c>
      <c r="G41" s="118" t="s">
        <v>43</v>
      </c>
      <c r="H41" s="3" t="s">
        <v>43</v>
      </c>
      <c r="I41" s="249"/>
      <c r="J41" t="s">
        <v>43</v>
      </c>
      <c r="K41" s="242" t="s">
        <v>43</v>
      </c>
      <c r="L41" s="3" t="s">
        <v>36</v>
      </c>
      <c r="M41" s="33"/>
      <c r="N41" s="249"/>
      <c r="O41" s="3" t="s">
        <v>36</v>
      </c>
      <c r="P41" s="131">
        <v>1</v>
      </c>
      <c r="Q41" s="131"/>
      <c r="R41" s="131"/>
      <c r="S41" s="131"/>
      <c r="T41" s="131"/>
      <c r="U41" s="131"/>
      <c r="V41" s="132">
        <f t="shared" ref="V41:AA41" si="16">$N41*P41</f>
        <v>0</v>
      </c>
      <c r="W41" s="132">
        <f t="shared" si="16"/>
        <v>0</v>
      </c>
      <c r="X41" s="132">
        <f t="shared" si="16"/>
        <v>0</v>
      </c>
      <c r="Y41" s="132">
        <f t="shared" si="16"/>
        <v>0</v>
      </c>
      <c r="Z41" s="132">
        <f t="shared" si="16"/>
        <v>0</v>
      </c>
      <c r="AA41" s="132">
        <f t="shared" si="16"/>
        <v>0</v>
      </c>
      <c r="AB41" s="118"/>
    </row>
    <row r="42" spans="1:28" s="55" customFormat="1" ht="13">
      <c r="A42" s="103"/>
      <c r="B42" s="103"/>
      <c r="C42" s="135"/>
      <c r="D42" s="111"/>
      <c r="E42" s="105"/>
      <c r="F42" s="103"/>
      <c r="G42" s="75"/>
      <c r="H42" s="103"/>
      <c r="I42" s="247"/>
      <c r="K42" s="236"/>
      <c r="L42" s="103"/>
      <c r="M42" s="106"/>
      <c r="N42" s="247"/>
      <c r="O42" s="103"/>
      <c r="P42" s="131"/>
      <c r="Q42" s="131"/>
      <c r="R42" s="131"/>
      <c r="S42" s="131"/>
      <c r="T42" s="131"/>
      <c r="U42" s="131"/>
      <c r="V42" s="115"/>
      <c r="W42" s="115"/>
      <c r="X42" s="115"/>
      <c r="Y42" s="115"/>
      <c r="Z42" s="115"/>
      <c r="AA42" s="115"/>
      <c r="AB42" s="75"/>
    </row>
    <row r="43" spans="1:28" ht="13">
      <c r="B43" t="s">
        <v>178</v>
      </c>
      <c r="C43" s="12" t="s">
        <v>179</v>
      </c>
      <c r="D43" s="118"/>
      <c r="E43" t="s">
        <v>181</v>
      </c>
      <c r="F43" s="3" t="s">
        <v>341</v>
      </c>
      <c r="G43" s="118">
        <v>0.05</v>
      </c>
      <c r="H43" s="3" t="s">
        <v>341</v>
      </c>
      <c r="I43" s="249">
        <f>'Step3-Metals-RawMat'!C18</f>
        <v>0</v>
      </c>
      <c r="J43" t="s">
        <v>325</v>
      </c>
      <c r="K43" s="242">
        <f>G43*I43/1000</f>
        <v>0</v>
      </c>
      <c r="L43" s="3" t="s">
        <v>36</v>
      </c>
      <c r="M43" s="33"/>
      <c r="N43" s="249">
        <f>K43</f>
        <v>0</v>
      </c>
      <c r="O43" s="3" t="s">
        <v>36</v>
      </c>
      <c r="P43" s="131">
        <v>0.95</v>
      </c>
      <c r="Q43" s="131"/>
      <c r="R43" s="131"/>
      <c r="S43" s="131"/>
      <c r="T43" s="131"/>
      <c r="U43" s="131">
        <v>0.05</v>
      </c>
      <c r="V43" s="132">
        <f t="shared" ref="V43:AA43" si="17">$N43*P43</f>
        <v>0</v>
      </c>
      <c r="W43" s="132">
        <f t="shared" si="17"/>
        <v>0</v>
      </c>
      <c r="X43" s="132">
        <f t="shared" si="17"/>
        <v>0</v>
      </c>
      <c r="Y43" s="132">
        <f t="shared" si="17"/>
        <v>0</v>
      </c>
      <c r="Z43" s="132">
        <f t="shared" si="17"/>
        <v>0</v>
      </c>
      <c r="AA43" s="132">
        <f t="shared" si="17"/>
        <v>0</v>
      </c>
      <c r="AB43" s="118"/>
    </row>
    <row r="44" spans="1:28" s="55" customFormat="1" ht="13">
      <c r="A44" s="103"/>
      <c r="B44" s="103"/>
      <c r="D44" s="75"/>
      <c r="E44" s="105"/>
      <c r="F44" s="103"/>
      <c r="G44" s="75"/>
      <c r="H44" s="103"/>
      <c r="I44" s="247"/>
      <c r="K44" s="236"/>
      <c r="L44" s="103"/>
      <c r="M44" s="137"/>
      <c r="N44" s="247"/>
      <c r="O44" s="103"/>
      <c r="P44" s="129"/>
      <c r="Q44" s="129"/>
      <c r="R44" s="129"/>
      <c r="S44" s="129"/>
      <c r="T44" s="129"/>
      <c r="U44" s="126"/>
      <c r="V44" s="115"/>
      <c r="W44" s="115"/>
      <c r="X44" s="115"/>
      <c r="Y44" s="115"/>
      <c r="Z44" s="115"/>
      <c r="AA44" s="115"/>
      <c r="AB44" s="75"/>
    </row>
    <row r="45" spans="1:28" ht="13">
      <c r="M45" s="14"/>
      <c r="N45" s="238"/>
      <c r="O45" s="3"/>
    </row>
    <row r="46" spans="1:28" ht="13">
      <c r="M46" s="14"/>
      <c r="N46" s="248"/>
      <c r="O46" s="3"/>
    </row>
    <row r="47" spans="1:28" ht="13">
      <c r="C47" s="5" t="s">
        <v>56</v>
      </c>
      <c r="D47" s="8" t="s">
        <v>172</v>
      </c>
    </row>
    <row r="48" spans="1:28">
      <c r="D48" s="6" t="s">
        <v>173</v>
      </c>
    </row>
  </sheetData>
  <sheetProtection algorithmName="SHA-512" hashValue="eRC7R4vOkEnnHSC6nniWPtqNUE3FyY3aEoJQ0GbH/Y1deABnImAaPQOMwrF3ZvaMJ1Vizlnkuebp6jwiUV8Djw==" saltValue="DO7l8Wd+T3/3xDWaWB4ZjQ==" spinCount="100000" sheet="1"/>
  <customSheetViews>
    <customSheetView guid="{EB7FE26D-7077-48F2-8515-D783BE87A220}" scale="70" state="hidden">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M48"/>
  <sheetViews>
    <sheetView workbookViewId="0">
      <selection activeCell="M5" sqref="M5"/>
    </sheetView>
  </sheetViews>
  <sheetFormatPr defaultColWidth="8.81640625" defaultRowHeight="12.5"/>
  <cols>
    <col min="1" max="1" width="3" customWidth="1"/>
    <col min="2" max="2" width="6.1796875" customWidth="1"/>
    <col min="3" max="3" width="28.36328125" customWidth="1"/>
    <col min="4" max="4" width="12.453125" customWidth="1"/>
    <col min="5" max="5" width="14.453125" customWidth="1"/>
    <col min="6" max="6" width="27.453125" customWidth="1"/>
    <col min="7" max="7" width="10.36328125" customWidth="1"/>
    <col min="8" max="8" width="24.81640625" customWidth="1"/>
    <col min="9" max="9" width="12.453125" style="239" customWidth="1"/>
    <col min="10" max="10" width="20.453125" customWidth="1"/>
    <col min="11" max="11" width="12" customWidth="1"/>
    <col min="12" max="12" width="12.36328125" customWidth="1"/>
    <col min="13" max="13" width="27.1796875" style="13" customWidth="1"/>
    <col min="14" max="14" width="9.1796875" style="239"/>
    <col min="16" max="16" width="4.453125" customWidth="1"/>
    <col min="17" max="17" width="5.36328125" customWidth="1"/>
    <col min="18" max="18" width="5" customWidth="1"/>
    <col min="19" max="19" width="8.453125" customWidth="1"/>
    <col min="21" max="21" width="19.1796875" customWidth="1"/>
    <col min="22" max="22" width="12.453125" customWidth="1"/>
    <col min="24" max="24" width="9.6328125" customWidth="1"/>
    <col min="25" max="25" width="11.1796875" customWidth="1"/>
    <col min="26" max="26" width="11.453125" customWidth="1"/>
    <col min="27" max="27" width="17" customWidth="1"/>
    <col min="28" max="28" width="34" customWidth="1"/>
  </cols>
  <sheetData>
    <row r="1" spans="1:39" ht="18">
      <c r="A1" s="1" t="s">
        <v>34</v>
      </c>
      <c r="I1" s="230"/>
      <c r="L1" s="48"/>
      <c r="M1" s="48"/>
      <c r="N1" s="230"/>
    </row>
    <row r="2" spans="1:39" ht="14">
      <c r="A2" s="54" t="s">
        <v>311</v>
      </c>
      <c r="I2" s="230"/>
      <c r="L2" s="48"/>
      <c r="M2" s="48"/>
      <c r="N2" s="230"/>
    </row>
    <row r="3" spans="1:39" ht="13">
      <c r="C3" s="3"/>
      <c r="D3" s="3"/>
      <c r="E3" s="3"/>
      <c r="F3" s="3"/>
      <c r="G3" s="3"/>
      <c r="H3" s="3"/>
      <c r="I3" s="231"/>
      <c r="J3" s="3"/>
      <c r="K3" s="3"/>
      <c r="L3" s="103"/>
      <c r="M3" s="103"/>
      <c r="N3" s="231"/>
      <c r="O3" s="3"/>
      <c r="P3" s="65" t="s">
        <v>55</v>
      </c>
      <c r="Q3" s="65"/>
      <c r="R3" s="65"/>
      <c r="S3" s="65"/>
      <c r="T3" s="65"/>
      <c r="U3" s="65"/>
      <c r="V3" s="10" t="s">
        <v>54</v>
      </c>
      <c r="W3" s="4"/>
      <c r="X3" s="4"/>
      <c r="Y3" s="4"/>
      <c r="Z3" s="4"/>
      <c r="AA3" s="4"/>
      <c r="AB3" s="2"/>
      <c r="AC3" s="689" t="s">
        <v>1093</v>
      </c>
      <c r="AD3" s="689"/>
      <c r="AE3" s="689"/>
      <c r="AF3" s="689"/>
      <c r="AG3" s="689" t="s">
        <v>1094</v>
      </c>
      <c r="AH3" s="689"/>
      <c r="AI3" s="689"/>
      <c r="AJ3" s="689"/>
      <c r="AK3" s="689"/>
      <c r="AL3" s="689"/>
      <c r="AM3" s="689"/>
    </row>
    <row r="4" spans="1:39" s="143" customFormat="1" ht="26">
      <c r="A4" s="143" t="s">
        <v>52</v>
      </c>
      <c r="B4" s="143" t="s">
        <v>50</v>
      </c>
      <c r="C4" s="133" t="s">
        <v>59</v>
      </c>
      <c r="D4" s="111" t="s">
        <v>153</v>
      </c>
      <c r="E4" s="133" t="s">
        <v>49</v>
      </c>
      <c r="F4" s="142" t="s">
        <v>35</v>
      </c>
      <c r="G4" s="111" t="s">
        <v>37</v>
      </c>
      <c r="H4" s="142" t="s">
        <v>35</v>
      </c>
      <c r="I4" s="244" t="s">
        <v>51</v>
      </c>
      <c r="J4" s="143" t="s">
        <v>35</v>
      </c>
      <c r="K4" s="83" t="s">
        <v>61</v>
      </c>
      <c r="L4" s="138" t="s">
        <v>35</v>
      </c>
      <c r="M4" s="155" t="s">
        <v>279</v>
      </c>
      <c r="N4" s="244" t="s">
        <v>92</v>
      </c>
      <c r="O4" s="142" t="s">
        <v>35</v>
      </c>
      <c r="P4" s="146" t="s">
        <v>38</v>
      </c>
      <c r="Q4" s="146" t="s">
        <v>39</v>
      </c>
      <c r="R4" s="146" t="s">
        <v>40</v>
      </c>
      <c r="S4" s="146" t="s">
        <v>41</v>
      </c>
      <c r="T4" s="147" t="s">
        <v>42</v>
      </c>
      <c r="U4" s="147" t="s">
        <v>227</v>
      </c>
      <c r="V4" s="56" t="s">
        <v>38</v>
      </c>
      <c r="W4" s="56" t="s">
        <v>39</v>
      </c>
      <c r="X4" s="56" t="s">
        <v>40</v>
      </c>
      <c r="Y4" s="56" t="s">
        <v>41</v>
      </c>
      <c r="Z4" s="57" t="s">
        <v>42</v>
      </c>
      <c r="AA4" s="57" t="s">
        <v>227</v>
      </c>
      <c r="AB4" s="110" t="s">
        <v>87</v>
      </c>
      <c r="AC4" s="690"/>
      <c r="AD4" s="690"/>
      <c r="AE4" s="690"/>
      <c r="AF4" s="690"/>
      <c r="AG4" s="10"/>
      <c r="AH4" s="10" t="s">
        <v>1095</v>
      </c>
      <c r="AI4" s="10"/>
      <c r="AJ4" s="10"/>
      <c r="AK4" s="10"/>
      <c r="AL4" s="10"/>
      <c r="AM4" s="10"/>
    </row>
    <row r="5" spans="1:39" ht="88">
      <c r="A5" t="s">
        <v>184</v>
      </c>
      <c r="C5" s="12" t="s">
        <v>185</v>
      </c>
      <c r="D5" s="110"/>
      <c r="F5" s="3"/>
      <c r="G5" s="75"/>
      <c r="H5" s="3"/>
      <c r="I5" s="246"/>
      <c r="K5" s="112"/>
      <c r="L5" s="3"/>
      <c r="M5" s="14"/>
      <c r="N5" s="251"/>
      <c r="O5" s="3"/>
      <c r="P5" s="126"/>
      <c r="Q5" s="126"/>
      <c r="R5" s="126"/>
      <c r="S5" s="126"/>
      <c r="T5" s="126"/>
      <c r="U5" s="126"/>
      <c r="V5" s="58"/>
      <c r="W5" s="58"/>
      <c r="X5" s="58"/>
      <c r="Y5" s="58"/>
      <c r="Z5" s="58"/>
      <c r="AA5" s="58"/>
      <c r="AB5" s="75"/>
      <c r="AC5" s="691" t="s">
        <v>1087</v>
      </c>
      <c r="AD5" s="690"/>
      <c r="AE5" s="691" t="s">
        <v>1088</v>
      </c>
      <c r="AF5" s="690"/>
      <c r="AG5" s="83" t="s">
        <v>1096</v>
      </c>
      <c r="AH5" s="56" t="s">
        <v>38</v>
      </c>
      <c r="AI5" s="56" t="s">
        <v>39</v>
      </c>
      <c r="AJ5" s="56" t="s">
        <v>40</v>
      </c>
      <c r="AK5" s="56" t="s">
        <v>41</v>
      </c>
      <c r="AL5" s="57" t="s">
        <v>42</v>
      </c>
      <c r="AM5" s="57" t="s">
        <v>227</v>
      </c>
    </row>
    <row r="6" spans="1:39" ht="13">
      <c r="B6" t="s">
        <v>186</v>
      </c>
      <c r="C6" s="26" t="s">
        <v>379</v>
      </c>
      <c r="D6" s="110"/>
      <c r="E6" s="3"/>
      <c r="F6" s="3"/>
      <c r="G6" s="336"/>
      <c r="H6" s="36"/>
      <c r="I6" s="332"/>
      <c r="J6" s="9"/>
      <c r="K6" s="340">
        <f>K7+K19</f>
        <v>0</v>
      </c>
      <c r="L6" s="3" t="s">
        <v>36</v>
      </c>
      <c r="M6" s="341" t="s">
        <v>379</v>
      </c>
      <c r="N6" s="251"/>
      <c r="O6" s="3"/>
      <c r="P6" s="284"/>
      <c r="Q6" s="284"/>
      <c r="R6" s="284"/>
      <c r="S6" s="284"/>
      <c r="T6" s="284"/>
      <c r="U6" s="284"/>
      <c r="V6" s="113">
        <f t="shared" ref="V6:AA6" si="0">SUM(V7:V30)</f>
        <v>0</v>
      </c>
      <c r="W6" s="113">
        <f t="shared" si="0"/>
        <v>0</v>
      </c>
      <c r="X6" s="113">
        <f t="shared" si="0"/>
        <v>0</v>
      </c>
      <c r="Y6" s="113">
        <f t="shared" si="0"/>
        <v>0</v>
      </c>
      <c r="Z6" s="113">
        <f t="shared" si="0"/>
        <v>0</v>
      </c>
      <c r="AA6" s="113">
        <f t="shared" si="0"/>
        <v>0</v>
      </c>
      <c r="AB6" s="75"/>
      <c r="AC6" s="690"/>
      <c r="AD6" s="690"/>
      <c r="AE6" s="690"/>
      <c r="AF6" s="690"/>
      <c r="AG6" s="113">
        <f>SUM(AG7:AG25)</f>
        <v>0</v>
      </c>
      <c r="AH6" s="113" t="e">
        <f t="shared" ref="AH6:AM6" si="1">SUM(AH7:AH25)</f>
        <v>#DIV/0!</v>
      </c>
      <c r="AI6" s="113" t="e">
        <f t="shared" si="1"/>
        <v>#DIV/0!</v>
      </c>
      <c r="AJ6" s="113" t="e">
        <f t="shared" si="1"/>
        <v>#DIV/0!</v>
      </c>
      <c r="AK6" s="113" t="e">
        <f t="shared" si="1"/>
        <v>#DIV/0!</v>
      </c>
      <c r="AL6" s="113" t="e">
        <f t="shared" si="1"/>
        <v>#DIV/0!</v>
      </c>
      <c r="AM6" s="113" t="e">
        <f t="shared" si="1"/>
        <v>#DIV/0!</v>
      </c>
    </row>
    <row r="7" spans="1:39" ht="38">
      <c r="C7" s="26" t="s">
        <v>891</v>
      </c>
      <c r="D7" s="110"/>
      <c r="E7" s="36" t="s">
        <v>893</v>
      </c>
      <c r="F7" s="36" t="s">
        <v>436</v>
      </c>
      <c r="G7" s="336">
        <v>0.11</v>
      </c>
      <c r="H7" s="36" t="s">
        <v>436</v>
      </c>
      <c r="I7" s="247">
        <f>'Step3-Metals-RawMat'!C$26*('Step3-Metals-RawMat'!G30+'Step3-Metals-RawMat'!H30+'Step3-Metals-RawMat'!I30+'Step3-Metals-RawMat'!J30+'Step3-Metals-RawMat'!K30)/100</f>
        <v>0</v>
      </c>
      <c r="J7" s="9" t="s">
        <v>326</v>
      </c>
      <c r="K7" s="637">
        <f>I7*G7/1000+SUM(K9:K13)</f>
        <v>0</v>
      </c>
      <c r="L7" s="636" t="s">
        <v>1019</v>
      </c>
      <c r="M7" s="14" t="s">
        <v>999</v>
      </c>
      <c r="N7" s="772">
        <f>$K$6*IF('Step3-Metals-RawMat'!$E$26=yes,'Step3-Metals-RawMat'!$G$30/100,'Default Controls'!$C$38/100)</f>
        <v>0</v>
      </c>
      <c r="O7" s="3" t="s">
        <v>36</v>
      </c>
      <c r="P7" s="284">
        <v>0.8</v>
      </c>
      <c r="Q7" s="284"/>
      <c r="R7" s="284"/>
      <c r="S7" s="284">
        <v>0.2</v>
      </c>
      <c r="T7" s="284"/>
      <c r="U7" s="284"/>
      <c r="V7" s="623">
        <f t="shared" ref="V7:AA17" si="2">$N7*P7</f>
        <v>0</v>
      </c>
      <c r="W7" s="623">
        <f t="shared" si="2"/>
        <v>0</v>
      </c>
      <c r="X7" s="623">
        <f t="shared" si="2"/>
        <v>0</v>
      </c>
      <c r="Y7" s="623">
        <f t="shared" si="2"/>
        <v>0</v>
      </c>
      <c r="Z7" s="623">
        <f t="shared" si="2"/>
        <v>0</v>
      </c>
      <c r="AA7" s="623">
        <f t="shared" si="2"/>
        <v>0</v>
      </c>
      <c r="AB7" s="75"/>
      <c r="AC7" s="690"/>
      <c r="AD7" s="690"/>
      <c r="AE7" s="690"/>
      <c r="AF7" s="690"/>
      <c r="AG7" s="690"/>
      <c r="AH7" s="690"/>
      <c r="AI7" s="690"/>
      <c r="AJ7" s="690"/>
      <c r="AK7" s="690"/>
      <c r="AL7" s="690"/>
      <c r="AM7" s="690"/>
    </row>
    <row r="8" spans="1:39" ht="97.25" customHeight="1">
      <c r="C8" s="624" t="s">
        <v>1080</v>
      </c>
      <c r="D8" s="110"/>
      <c r="E8" s="625"/>
      <c r="F8" s="626"/>
      <c r="G8" s="627"/>
      <c r="H8" s="231"/>
      <c r="I8" s="628"/>
      <c r="J8" s="9"/>
      <c r="K8" s="629"/>
      <c r="L8" s="3"/>
      <c r="M8" s="32" t="s">
        <v>1000</v>
      </c>
      <c r="N8" s="622"/>
      <c r="O8" s="3"/>
      <c r="P8" s="284"/>
      <c r="Q8" s="284"/>
      <c r="R8" s="284"/>
      <c r="S8" s="284"/>
      <c r="T8" s="284"/>
      <c r="U8" s="284"/>
      <c r="V8" s="623"/>
      <c r="W8" s="623"/>
      <c r="X8" s="623"/>
      <c r="Y8" s="623"/>
      <c r="Z8" s="623"/>
      <c r="AA8" s="623"/>
      <c r="AB8" s="75"/>
      <c r="AC8" s="691"/>
      <c r="AD8" s="690"/>
      <c r="AE8" s="691"/>
      <c r="AF8" s="690"/>
      <c r="AG8" s="690"/>
      <c r="AH8" s="690"/>
      <c r="AI8" s="690"/>
      <c r="AJ8" s="690"/>
      <c r="AK8" s="690"/>
      <c r="AL8" s="690"/>
      <c r="AM8" s="690"/>
    </row>
    <row r="9" spans="1:39" ht="38">
      <c r="C9" s="579" t="s">
        <v>1007</v>
      </c>
      <c r="D9" s="110"/>
      <c r="E9" s="630" t="s">
        <v>1008</v>
      </c>
      <c r="F9" s="631" t="s">
        <v>1009</v>
      </c>
      <c r="G9" s="632">
        <v>2E-3</v>
      </c>
      <c r="H9" s="626" t="s">
        <v>436</v>
      </c>
      <c r="I9" s="628">
        <f>0.2*$I$7</f>
        <v>0</v>
      </c>
      <c r="J9" s="580" t="s">
        <v>1010</v>
      </c>
      <c r="K9" s="642">
        <f>I9*G9/1000</f>
        <v>0</v>
      </c>
      <c r="L9" s="626" t="s">
        <v>36</v>
      </c>
      <c r="M9" s="619" t="s">
        <v>1001</v>
      </c>
      <c r="N9" s="622"/>
      <c r="O9" s="3" t="s">
        <v>36</v>
      </c>
      <c r="P9" s="284">
        <v>0.6</v>
      </c>
      <c r="Q9" s="284"/>
      <c r="R9" s="284"/>
      <c r="S9" s="284">
        <v>0.2</v>
      </c>
      <c r="T9" s="284"/>
      <c r="U9" s="284">
        <v>0.2</v>
      </c>
      <c r="V9" s="623">
        <f t="shared" si="2"/>
        <v>0</v>
      </c>
      <c r="W9" s="623">
        <f t="shared" si="2"/>
        <v>0</v>
      </c>
      <c r="X9" s="623">
        <f t="shared" si="2"/>
        <v>0</v>
      </c>
      <c r="Y9" s="623">
        <f t="shared" si="2"/>
        <v>0</v>
      </c>
      <c r="Z9" s="623">
        <f t="shared" si="2"/>
        <v>0</v>
      </c>
      <c r="AA9" s="623">
        <f t="shared" si="2"/>
        <v>0</v>
      </c>
      <c r="AB9" s="75"/>
      <c r="AC9" s="692">
        <v>0.09</v>
      </c>
      <c r="AD9" s="693" t="s">
        <v>1089</v>
      </c>
      <c r="AE9" s="694">
        <f>ROUND(I9*AC9,-3)</f>
        <v>0</v>
      </c>
      <c r="AF9" s="695" t="s">
        <v>1090</v>
      </c>
      <c r="AG9" s="690">
        <f>K9</f>
        <v>0</v>
      </c>
      <c r="AH9" s="690" t="e">
        <f>$AG9*(V$6/$K$6)</f>
        <v>#DIV/0!</v>
      </c>
      <c r="AI9" s="690" t="e">
        <f t="shared" ref="AI9:AM9" si="3">$AG9*(W$6/$K$6)</f>
        <v>#DIV/0!</v>
      </c>
      <c r="AJ9" s="690" t="e">
        <f t="shared" si="3"/>
        <v>#DIV/0!</v>
      </c>
      <c r="AK9" s="690" t="e">
        <f t="shared" si="3"/>
        <v>#DIV/0!</v>
      </c>
      <c r="AL9" s="690" t="e">
        <f t="shared" si="3"/>
        <v>#DIV/0!</v>
      </c>
      <c r="AM9" s="690" t="e">
        <f t="shared" si="3"/>
        <v>#DIV/0!</v>
      </c>
    </row>
    <row r="10" spans="1:39" ht="38">
      <c r="C10" s="580" t="s">
        <v>1011</v>
      </c>
      <c r="D10" s="110"/>
      <c r="E10" s="630" t="s">
        <v>1012</v>
      </c>
      <c r="F10" s="631" t="s">
        <v>1009</v>
      </c>
      <c r="G10" s="634">
        <v>1.6E-2</v>
      </c>
      <c r="H10" s="626" t="s">
        <v>436</v>
      </c>
      <c r="I10" s="628">
        <f t="shared" ref="I10:I13" si="4">0.2*$I$7</f>
        <v>0</v>
      </c>
      <c r="J10" s="580" t="s">
        <v>1010</v>
      </c>
      <c r="K10" s="642">
        <f>I10*G10/1000</f>
        <v>0</v>
      </c>
      <c r="L10" s="626" t="s">
        <v>36</v>
      </c>
      <c r="M10" s="619" t="s">
        <v>1002</v>
      </c>
      <c r="N10" s="622"/>
      <c r="O10" s="3" t="s">
        <v>36</v>
      </c>
      <c r="P10" s="284">
        <v>0.4</v>
      </c>
      <c r="Q10" s="284"/>
      <c r="R10" s="284"/>
      <c r="S10" s="284">
        <v>0.2</v>
      </c>
      <c r="T10" s="284"/>
      <c r="U10" s="284">
        <v>0.4</v>
      </c>
      <c r="V10" s="623">
        <f t="shared" si="2"/>
        <v>0</v>
      </c>
      <c r="W10" s="623">
        <f t="shared" si="2"/>
        <v>0</v>
      </c>
      <c r="X10" s="623">
        <f t="shared" si="2"/>
        <v>0</v>
      </c>
      <c r="Y10" s="623">
        <f t="shared" si="2"/>
        <v>0</v>
      </c>
      <c r="Z10" s="623">
        <f t="shared" si="2"/>
        <v>0</v>
      </c>
      <c r="AA10" s="623">
        <f t="shared" si="2"/>
        <v>0</v>
      </c>
      <c r="AB10" s="75"/>
      <c r="AC10" s="692">
        <v>0.10571428571428573</v>
      </c>
      <c r="AD10" s="693" t="s">
        <v>1089</v>
      </c>
      <c r="AE10" s="694">
        <f>ROUND(I10*AC10,-3)</f>
        <v>0</v>
      </c>
      <c r="AF10" s="695" t="s">
        <v>1090</v>
      </c>
      <c r="AG10" s="690">
        <f t="shared" ref="AG10:AG13" si="5">K10</f>
        <v>0</v>
      </c>
      <c r="AH10" s="690" t="e">
        <f t="shared" ref="AH10:AH13" si="6">$AG10*(V$6/$K$6)</f>
        <v>#DIV/0!</v>
      </c>
      <c r="AI10" s="690" t="e">
        <f t="shared" ref="AI10:AI13" si="7">$AG10*(W$6/$K$6)</f>
        <v>#DIV/0!</v>
      </c>
      <c r="AJ10" s="690" t="e">
        <f t="shared" ref="AJ10:AJ13" si="8">$AG10*(X$6/$K$6)</f>
        <v>#DIV/0!</v>
      </c>
      <c r="AK10" s="690" t="e">
        <f t="shared" ref="AK10:AK13" si="9">$AG10*(Y$6/$K$6)</f>
        <v>#DIV/0!</v>
      </c>
      <c r="AL10" s="690" t="e">
        <f t="shared" ref="AL10:AL13" si="10">$AG10*(Z$6/$K$6)</f>
        <v>#DIV/0!</v>
      </c>
      <c r="AM10" s="690" t="e">
        <f t="shared" ref="AM10:AM13" si="11">$AG10*(AA$6/$K$6)</f>
        <v>#DIV/0!</v>
      </c>
    </row>
    <row r="11" spans="1:39" ht="38">
      <c r="C11" s="579" t="s">
        <v>1013</v>
      </c>
      <c r="D11" s="110"/>
      <c r="E11" s="630" t="s">
        <v>1028</v>
      </c>
      <c r="F11" s="631" t="s">
        <v>1009</v>
      </c>
      <c r="G11" s="632">
        <v>1.7000000000000001E-2</v>
      </c>
      <c r="H11" s="626" t="s">
        <v>436</v>
      </c>
      <c r="I11" s="628">
        <f t="shared" si="4"/>
        <v>0</v>
      </c>
      <c r="J11" s="580" t="s">
        <v>1010</v>
      </c>
      <c r="K11" s="642">
        <f>I11*G11/1000</f>
        <v>0</v>
      </c>
      <c r="L11" s="626" t="s">
        <v>36</v>
      </c>
      <c r="M11" s="619" t="s">
        <v>1003</v>
      </c>
      <c r="N11" s="622"/>
      <c r="O11" s="3" t="s">
        <v>36</v>
      </c>
      <c r="P11" s="284">
        <v>0.2</v>
      </c>
      <c r="Q11" s="284"/>
      <c r="R11" s="284"/>
      <c r="S11" s="284">
        <v>0.2</v>
      </c>
      <c r="T11" s="284"/>
      <c r="U11" s="284">
        <v>0.6</v>
      </c>
      <c r="V11" s="623">
        <f t="shared" si="2"/>
        <v>0</v>
      </c>
      <c r="W11" s="623">
        <f t="shared" si="2"/>
        <v>0</v>
      </c>
      <c r="X11" s="623">
        <f t="shared" si="2"/>
        <v>0</v>
      </c>
      <c r="Y11" s="623">
        <f t="shared" si="2"/>
        <v>0</v>
      </c>
      <c r="Z11" s="623">
        <f t="shared" si="2"/>
        <v>0</v>
      </c>
      <c r="AA11" s="623">
        <f t="shared" si="2"/>
        <v>0</v>
      </c>
      <c r="AB11" s="75"/>
      <c r="AC11" s="692">
        <v>0.17411764705882354</v>
      </c>
      <c r="AD11" s="693" t="s">
        <v>1089</v>
      </c>
      <c r="AE11" s="694">
        <f>ROUND(I11*AC11,-3)</f>
        <v>0</v>
      </c>
      <c r="AF11" s="695" t="s">
        <v>1090</v>
      </c>
      <c r="AG11" s="690">
        <f t="shared" si="5"/>
        <v>0</v>
      </c>
      <c r="AH11" s="690" t="e">
        <f t="shared" si="6"/>
        <v>#DIV/0!</v>
      </c>
      <c r="AI11" s="690" t="e">
        <f t="shared" si="7"/>
        <v>#DIV/0!</v>
      </c>
      <c r="AJ11" s="690" t="e">
        <f t="shared" si="8"/>
        <v>#DIV/0!</v>
      </c>
      <c r="AK11" s="690" t="e">
        <f t="shared" si="9"/>
        <v>#DIV/0!</v>
      </c>
      <c r="AL11" s="690" t="e">
        <f t="shared" si="10"/>
        <v>#DIV/0!</v>
      </c>
      <c r="AM11" s="690" t="e">
        <f t="shared" si="11"/>
        <v>#DIV/0!</v>
      </c>
    </row>
    <row r="12" spans="1:39" ht="38">
      <c r="C12" s="579" t="s">
        <v>1014</v>
      </c>
      <c r="D12" s="110"/>
      <c r="E12" s="630" t="s">
        <v>1029</v>
      </c>
      <c r="F12" s="631" t="s">
        <v>1009</v>
      </c>
      <c r="G12" s="632">
        <v>1E-3</v>
      </c>
      <c r="H12" s="626" t="s">
        <v>436</v>
      </c>
      <c r="I12" s="628">
        <f t="shared" si="4"/>
        <v>0</v>
      </c>
      <c r="J12" s="580" t="s">
        <v>1010</v>
      </c>
      <c r="K12" s="642">
        <f>I12*G12/1000</f>
        <v>0</v>
      </c>
      <c r="L12" s="626" t="s">
        <v>36</v>
      </c>
      <c r="M12" s="619" t="s">
        <v>1004</v>
      </c>
      <c r="N12" s="622"/>
      <c r="O12" s="3" t="s">
        <v>36</v>
      </c>
      <c r="P12" s="284">
        <v>0.04</v>
      </c>
      <c r="Q12" s="284"/>
      <c r="R12" s="284"/>
      <c r="S12" s="284">
        <v>0.2</v>
      </c>
      <c r="T12" s="284"/>
      <c r="U12" s="284">
        <v>0.76</v>
      </c>
      <c r="V12" s="623">
        <f t="shared" si="2"/>
        <v>0</v>
      </c>
      <c r="W12" s="623">
        <f t="shared" si="2"/>
        <v>0</v>
      </c>
      <c r="X12" s="623">
        <f t="shared" si="2"/>
        <v>0</v>
      </c>
      <c r="Y12" s="623">
        <f t="shared" si="2"/>
        <v>0</v>
      </c>
      <c r="Z12" s="623">
        <f t="shared" si="2"/>
        <v>0</v>
      </c>
      <c r="AA12" s="623">
        <f t="shared" si="2"/>
        <v>0</v>
      </c>
      <c r="AB12" s="75"/>
      <c r="AC12" s="692">
        <v>7.0000000000000007E-2</v>
      </c>
      <c r="AD12" s="693" t="s">
        <v>1089</v>
      </c>
      <c r="AE12" s="694">
        <f>ROUND(I12*AC12,-3)</f>
        <v>0</v>
      </c>
      <c r="AF12" s="695" t="s">
        <v>1090</v>
      </c>
      <c r="AG12" s="690">
        <f t="shared" si="5"/>
        <v>0</v>
      </c>
      <c r="AH12" s="690" t="e">
        <f t="shared" si="6"/>
        <v>#DIV/0!</v>
      </c>
      <c r="AI12" s="690" t="e">
        <f t="shared" si="7"/>
        <v>#DIV/0!</v>
      </c>
      <c r="AJ12" s="690" t="e">
        <f t="shared" si="8"/>
        <v>#DIV/0!</v>
      </c>
      <c r="AK12" s="690" t="e">
        <f t="shared" si="9"/>
        <v>#DIV/0!</v>
      </c>
      <c r="AL12" s="690" t="e">
        <f t="shared" si="10"/>
        <v>#DIV/0!</v>
      </c>
      <c r="AM12" s="690" t="e">
        <f t="shared" si="11"/>
        <v>#DIV/0!</v>
      </c>
    </row>
    <row r="13" spans="1:39" ht="38">
      <c r="C13" s="579" t="s">
        <v>1016</v>
      </c>
      <c r="D13" s="110"/>
      <c r="E13" s="631" t="s">
        <v>1017</v>
      </c>
      <c r="F13" s="631" t="s">
        <v>1009</v>
      </c>
      <c r="G13" s="632">
        <v>2.0000000000000002E-5</v>
      </c>
      <c r="H13" s="626" t="s">
        <v>436</v>
      </c>
      <c r="I13" s="628">
        <f t="shared" si="4"/>
        <v>0</v>
      </c>
      <c r="J13" s="580" t="s">
        <v>1010</v>
      </c>
      <c r="K13" s="642">
        <f>I13*G13/1000</f>
        <v>0</v>
      </c>
      <c r="L13" s="626" t="s">
        <v>36</v>
      </c>
      <c r="M13" s="32" t="s">
        <v>1005</v>
      </c>
      <c r="N13" s="622"/>
      <c r="O13" s="3" t="s">
        <v>36</v>
      </c>
      <c r="P13" s="284"/>
      <c r="Q13" s="284"/>
      <c r="R13" s="284"/>
      <c r="S13" s="284"/>
      <c r="T13" s="284"/>
      <c r="U13" s="284"/>
      <c r="V13" s="623">
        <f t="shared" si="2"/>
        <v>0</v>
      </c>
      <c r="W13" s="623">
        <f t="shared" si="2"/>
        <v>0</v>
      </c>
      <c r="X13" s="623">
        <f t="shared" si="2"/>
        <v>0</v>
      </c>
      <c r="Y13" s="623">
        <f t="shared" si="2"/>
        <v>0</v>
      </c>
      <c r="Z13" s="623">
        <f t="shared" si="2"/>
        <v>0</v>
      </c>
      <c r="AA13" s="623">
        <f t="shared" si="2"/>
        <v>0</v>
      </c>
      <c r="AB13" s="75"/>
      <c r="AC13" s="692">
        <v>75.897435897435898</v>
      </c>
      <c r="AD13" s="691" t="s">
        <v>1091</v>
      </c>
      <c r="AE13" s="694">
        <f>ROUND(I13*AC13,-5)</f>
        <v>0</v>
      </c>
      <c r="AF13" s="695" t="s">
        <v>1092</v>
      </c>
      <c r="AG13" s="690">
        <f t="shared" si="5"/>
        <v>0</v>
      </c>
      <c r="AH13" s="690" t="e">
        <f t="shared" si="6"/>
        <v>#DIV/0!</v>
      </c>
      <c r="AI13" s="690" t="e">
        <f t="shared" si="7"/>
        <v>#DIV/0!</v>
      </c>
      <c r="AJ13" s="690" t="e">
        <f t="shared" si="8"/>
        <v>#DIV/0!</v>
      </c>
      <c r="AK13" s="690" t="e">
        <f t="shared" si="9"/>
        <v>#DIV/0!</v>
      </c>
      <c r="AL13" s="690" t="e">
        <f t="shared" si="10"/>
        <v>#DIV/0!</v>
      </c>
      <c r="AM13" s="690" t="e">
        <f t="shared" si="11"/>
        <v>#DIV/0!</v>
      </c>
    </row>
    <row r="14" spans="1:39" ht="50.5">
      <c r="C14" s="579"/>
      <c r="D14" s="110"/>
      <c r="E14" s="630"/>
      <c r="F14" s="631"/>
      <c r="G14" s="632"/>
      <c r="H14" s="626"/>
      <c r="I14" s="635">
        <f>SUM(I9:I13)</f>
        <v>0</v>
      </c>
      <c r="J14" s="580" t="s">
        <v>1018</v>
      </c>
      <c r="K14" s="633"/>
      <c r="L14" s="626"/>
      <c r="M14" s="619" t="s">
        <v>1001</v>
      </c>
      <c r="N14" s="772">
        <f>$K$6*IF('Step3-Metals-RawMat'!$E$26=yes,'Step3-Metals-RawMat'!$H$30/100,'Default Controls'!$D$38/100)</f>
        <v>0</v>
      </c>
      <c r="O14" s="3" t="s">
        <v>36</v>
      </c>
      <c r="P14" s="284">
        <v>0.7</v>
      </c>
      <c r="Q14" s="284"/>
      <c r="R14" s="284"/>
      <c r="S14" s="284">
        <v>0.3</v>
      </c>
      <c r="T14" s="284"/>
      <c r="U14" s="284"/>
      <c r="V14" s="623">
        <f t="shared" si="2"/>
        <v>0</v>
      </c>
      <c r="W14" s="623">
        <f t="shared" si="2"/>
        <v>0</v>
      </c>
      <c r="X14" s="623">
        <f t="shared" si="2"/>
        <v>0</v>
      </c>
      <c r="Y14" s="623">
        <f t="shared" si="2"/>
        <v>0</v>
      </c>
      <c r="Z14" s="623">
        <f t="shared" si="2"/>
        <v>0</v>
      </c>
      <c r="AA14" s="623">
        <f t="shared" si="2"/>
        <v>0</v>
      </c>
      <c r="AB14" s="75"/>
      <c r="AC14" s="692"/>
      <c r="AD14" s="690"/>
      <c r="AE14" s="690"/>
      <c r="AF14" s="690"/>
      <c r="AG14" s="690"/>
      <c r="AH14" s="690"/>
      <c r="AI14" s="690"/>
      <c r="AJ14" s="690"/>
      <c r="AK14" s="690"/>
      <c r="AL14" s="690"/>
      <c r="AM14" s="690"/>
    </row>
    <row r="15" spans="1:39" ht="38">
      <c r="C15" s="26"/>
      <c r="D15" s="110"/>
      <c r="E15" s="36"/>
      <c r="F15" s="36"/>
      <c r="G15" s="336"/>
      <c r="H15" s="36"/>
      <c r="I15" s="247"/>
      <c r="J15" s="9"/>
      <c r="K15" s="171"/>
      <c r="L15" s="3"/>
      <c r="M15" s="619" t="s">
        <v>1002</v>
      </c>
      <c r="N15" s="772">
        <f>$K$6*IF('Step3-Metals-RawMat'!$E$26=yes,'Step3-Metals-RawMat'!$I$30/100,'Default Controls'!$E$38/100)</f>
        <v>0</v>
      </c>
      <c r="O15" s="3" t="s">
        <v>36</v>
      </c>
      <c r="P15" s="284">
        <v>0.6</v>
      </c>
      <c r="Q15" s="284"/>
      <c r="R15" s="284"/>
      <c r="S15" s="284">
        <v>0.4</v>
      </c>
      <c r="T15" s="284"/>
      <c r="U15" s="284"/>
      <c r="V15" s="623">
        <f t="shared" si="2"/>
        <v>0</v>
      </c>
      <c r="W15" s="623">
        <f t="shared" si="2"/>
        <v>0</v>
      </c>
      <c r="X15" s="623">
        <f t="shared" si="2"/>
        <v>0</v>
      </c>
      <c r="Y15" s="623">
        <f t="shared" si="2"/>
        <v>0</v>
      </c>
      <c r="Z15" s="623">
        <f t="shared" si="2"/>
        <v>0</v>
      </c>
      <c r="AA15" s="623">
        <f t="shared" si="2"/>
        <v>0</v>
      </c>
      <c r="AB15" s="75"/>
      <c r="AC15" s="692"/>
      <c r="AD15" s="690"/>
      <c r="AE15" s="690"/>
      <c r="AF15" s="690"/>
      <c r="AG15" s="690"/>
      <c r="AH15" s="690"/>
      <c r="AI15" s="690"/>
      <c r="AJ15" s="690"/>
      <c r="AK15" s="690"/>
      <c r="AL15" s="690"/>
      <c r="AM15" s="690"/>
    </row>
    <row r="16" spans="1:39" ht="38">
      <c r="C16" s="26"/>
      <c r="D16" s="110"/>
      <c r="E16" s="36"/>
      <c r="F16" s="36"/>
      <c r="G16" s="336"/>
      <c r="H16" s="36"/>
      <c r="I16" s="247"/>
      <c r="J16" s="9"/>
      <c r="K16" s="171"/>
      <c r="L16" s="3"/>
      <c r="M16" s="619" t="s">
        <v>1003</v>
      </c>
      <c r="N16" s="772">
        <f>$K$6*IF('Step3-Metals-RawMat'!$E$26=yes,'Step3-Metals-RawMat'!$J$30/100,'Default Controls'!$F$38/100)</f>
        <v>0</v>
      </c>
      <c r="O16" s="3" t="s">
        <v>36</v>
      </c>
      <c r="P16" s="284">
        <v>0.5</v>
      </c>
      <c r="Q16" s="284"/>
      <c r="R16" s="284"/>
      <c r="S16" s="284">
        <v>0.5</v>
      </c>
      <c r="T16" s="284"/>
      <c r="U16" s="284"/>
      <c r="V16" s="623">
        <f t="shared" si="2"/>
        <v>0</v>
      </c>
      <c r="W16" s="623">
        <f t="shared" si="2"/>
        <v>0</v>
      </c>
      <c r="X16" s="623">
        <f t="shared" si="2"/>
        <v>0</v>
      </c>
      <c r="Y16" s="623">
        <f t="shared" si="2"/>
        <v>0</v>
      </c>
      <c r="Z16" s="623">
        <f t="shared" si="2"/>
        <v>0</v>
      </c>
      <c r="AA16" s="623">
        <f t="shared" si="2"/>
        <v>0</v>
      </c>
      <c r="AB16" s="75"/>
      <c r="AC16" s="692"/>
      <c r="AD16" s="690"/>
      <c r="AE16" s="690"/>
      <c r="AF16" s="690"/>
      <c r="AG16" s="690"/>
      <c r="AH16" s="690"/>
      <c r="AI16" s="690"/>
      <c r="AJ16" s="690"/>
      <c r="AK16" s="690"/>
      <c r="AL16" s="690"/>
      <c r="AM16" s="690"/>
    </row>
    <row r="17" spans="2:39" ht="50.5">
      <c r="C17" s="26"/>
      <c r="D17" s="110"/>
      <c r="E17" s="36"/>
      <c r="F17" s="36"/>
      <c r="G17" s="336"/>
      <c r="H17" s="36"/>
      <c r="I17" s="247"/>
      <c r="J17" s="9"/>
      <c r="K17" s="171"/>
      <c r="L17" s="3"/>
      <c r="M17" s="619" t="s">
        <v>1006</v>
      </c>
      <c r="N17" s="772">
        <f>$K$6*IF('Step3-Metals-RawMat'!$E$26=yes,'Step3-Metals-RawMat'!$K$30/100,'Default Controls'!$G$38/100)</f>
        <v>0</v>
      </c>
      <c r="O17" s="3" t="s">
        <v>36</v>
      </c>
      <c r="P17" s="284">
        <v>0.04</v>
      </c>
      <c r="Q17" s="284"/>
      <c r="R17" s="284"/>
      <c r="S17" s="284">
        <v>0.5</v>
      </c>
      <c r="T17" s="284"/>
      <c r="U17" s="284">
        <v>0.46</v>
      </c>
      <c r="V17" s="623">
        <f t="shared" si="2"/>
        <v>0</v>
      </c>
      <c r="W17" s="623">
        <f t="shared" si="2"/>
        <v>0</v>
      </c>
      <c r="X17" s="623">
        <f t="shared" si="2"/>
        <v>0</v>
      </c>
      <c r="Y17" s="623">
        <f t="shared" si="2"/>
        <v>0</v>
      </c>
      <c r="Z17" s="623">
        <f t="shared" si="2"/>
        <v>0</v>
      </c>
      <c r="AA17" s="623">
        <f t="shared" si="2"/>
        <v>0</v>
      </c>
      <c r="AB17" s="75"/>
      <c r="AC17" s="692"/>
      <c r="AD17" s="690"/>
      <c r="AE17" s="690"/>
      <c r="AF17" s="690"/>
      <c r="AG17" s="690"/>
      <c r="AH17" s="690"/>
      <c r="AI17" s="690"/>
      <c r="AJ17" s="690"/>
      <c r="AK17" s="690"/>
      <c r="AL17" s="690"/>
      <c r="AM17" s="690"/>
    </row>
    <row r="18" spans="2:39" ht="13">
      <c r="C18" s="26"/>
      <c r="D18" s="110"/>
      <c r="E18" s="36"/>
      <c r="F18" s="36"/>
      <c r="G18" s="336"/>
      <c r="H18" s="36"/>
      <c r="I18" s="247"/>
      <c r="J18" s="9"/>
      <c r="K18" s="171"/>
      <c r="L18" s="3"/>
      <c r="M18" s="442"/>
      <c r="N18" s="251"/>
      <c r="O18" s="3"/>
      <c r="P18" s="284"/>
      <c r="Q18" s="284"/>
      <c r="R18" s="284"/>
      <c r="S18" s="284"/>
      <c r="T18" s="284"/>
      <c r="U18" s="284"/>
      <c r="V18" s="170"/>
      <c r="W18" s="170"/>
      <c r="X18" s="170"/>
      <c r="Y18" s="170"/>
      <c r="Z18" s="170"/>
      <c r="AA18" s="170"/>
      <c r="AB18" s="75"/>
      <c r="AC18" s="690"/>
      <c r="AD18" s="690"/>
      <c r="AE18" s="690"/>
      <c r="AF18" s="690"/>
      <c r="AG18" s="690"/>
      <c r="AH18" s="690"/>
      <c r="AI18" s="690"/>
      <c r="AJ18" s="690"/>
      <c r="AK18" s="690"/>
      <c r="AL18" s="690"/>
      <c r="AM18" s="690"/>
    </row>
    <row r="19" spans="2:39" ht="38">
      <c r="C19" s="26" t="s">
        <v>892</v>
      </c>
      <c r="D19" s="110"/>
      <c r="E19" s="278" t="s">
        <v>894</v>
      </c>
      <c r="F19" s="36" t="s">
        <v>436</v>
      </c>
      <c r="G19" s="336">
        <v>0.15</v>
      </c>
      <c r="H19" s="36" t="s">
        <v>436</v>
      </c>
      <c r="I19" s="247">
        <f>'Step3-Metals-RawMat'!C$26*('Step3-Metals-RawMat'!G28+'Step3-Metals-RawMat'!H28+'Step3-Metals-RawMat'!I28+'Step3-Metals-RawMat'!J28+'Step3-Metals-RawMat'!K28)/100</f>
        <v>0</v>
      </c>
      <c r="J19" s="9" t="s">
        <v>326</v>
      </c>
      <c r="K19" s="637">
        <f>I19*G19/1000+SUM(K21:K25)</f>
        <v>0</v>
      </c>
      <c r="L19" s="636" t="s">
        <v>1019</v>
      </c>
      <c r="M19" s="14" t="s">
        <v>999</v>
      </c>
      <c r="N19" s="772">
        <f>$K$6*IF('Step3-Metals-RawMat'!$E$26=yes,'Step3-Metals-RawMat'!$G$28/100,'Default Controls'!$C$36/100)</f>
        <v>0</v>
      </c>
      <c r="O19" s="3" t="s">
        <v>36</v>
      </c>
      <c r="P19" s="284">
        <v>0.8</v>
      </c>
      <c r="Q19" s="284"/>
      <c r="R19" s="284"/>
      <c r="S19" s="284">
        <v>0.2</v>
      </c>
      <c r="T19" s="284"/>
      <c r="U19" s="284"/>
      <c r="V19" s="623">
        <f t="shared" ref="V19:AA29" si="12">$N19*P19</f>
        <v>0</v>
      </c>
      <c r="W19" s="623">
        <f t="shared" si="12"/>
        <v>0</v>
      </c>
      <c r="X19" s="623">
        <f t="shared" si="12"/>
        <v>0</v>
      </c>
      <c r="Y19" s="623">
        <f t="shared" si="12"/>
        <v>0</v>
      </c>
      <c r="Z19" s="623">
        <f t="shared" si="12"/>
        <v>0</v>
      </c>
      <c r="AA19" s="623">
        <f t="shared" si="12"/>
        <v>0</v>
      </c>
      <c r="AB19" s="75"/>
      <c r="AC19" s="690"/>
      <c r="AD19" s="690"/>
      <c r="AE19" s="690"/>
      <c r="AF19" s="690"/>
      <c r="AG19" s="690"/>
      <c r="AH19" s="690"/>
      <c r="AI19" s="690"/>
      <c r="AJ19" s="690"/>
      <c r="AK19" s="690"/>
      <c r="AL19" s="690"/>
      <c r="AM19" s="690"/>
    </row>
    <row r="20" spans="2:39" ht="88">
      <c r="C20" s="624" t="s">
        <v>1030</v>
      </c>
      <c r="D20" s="110"/>
      <c r="E20" s="625"/>
      <c r="F20" s="626"/>
      <c r="G20" s="627"/>
      <c r="H20" s="231"/>
      <c r="I20" s="252"/>
      <c r="J20" s="9"/>
      <c r="K20" s="629"/>
      <c r="L20" s="3"/>
      <c r="M20" s="32" t="s">
        <v>1000</v>
      </c>
      <c r="N20" s="622"/>
      <c r="O20" s="3" t="s">
        <v>36</v>
      </c>
      <c r="P20" s="284"/>
      <c r="Q20" s="284"/>
      <c r="R20" s="284"/>
      <c r="S20" s="284"/>
      <c r="T20" s="284"/>
      <c r="U20" s="284"/>
      <c r="V20" s="623">
        <f t="shared" si="12"/>
        <v>0</v>
      </c>
      <c r="W20" s="623">
        <f t="shared" si="12"/>
        <v>0</v>
      </c>
      <c r="X20" s="623">
        <f t="shared" si="12"/>
        <v>0</v>
      </c>
      <c r="Y20" s="623">
        <f t="shared" si="12"/>
        <v>0</v>
      </c>
      <c r="Z20" s="623">
        <f t="shared" si="12"/>
        <v>0</v>
      </c>
      <c r="AA20" s="623">
        <f t="shared" si="12"/>
        <v>0</v>
      </c>
      <c r="AB20" s="75"/>
      <c r="AC20" s="691" t="s">
        <v>1087</v>
      </c>
      <c r="AD20" s="690"/>
      <c r="AE20" s="691" t="s">
        <v>1088</v>
      </c>
      <c r="AF20" s="690"/>
      <c r="AG20" s="690"/>
      <c r="AH20" s="690"/>
      <c r="AI20" s="690"/>
      <c r="AJ20" s="690"/>
      <c r="AK20" s="690"/>
      <c r="AL20" s="690"/>
      <c r="AM20" s="690"/>
    </row>
    <row r="21" spans="2:39" ht="38">
      <c r="C21" s="579" t="s">
        <v>1007</v>
      </c>
      <c r="D21" s="110"/>
      <c r="E21" s="630" t="s">
        <v>1015</v>
      </c>
      <c r="F21" s="631" t="s">
        <v>1009</v>
      </c>
      <c r="G21" s="632">
        <v>2E-3</v>
      </c>
      <c r="H21" s="626" t="s">
        <v>436</v>
      </c>
      <c r="I21" s="628">
        <f>0.2*$I$19</f>
        <v>0</v>
      </c>
      <c r="J21" s="580" t="s">
        <v>1010</v>
      </c>
      <c r="K21" s="642">
        <f>I21*G21/1000</f>
        <v>0</v>
      </c>
      <c r="L21" s="626" t="s">
        <v>36</v>
      </c>
      <c r="M21" s="619" t="s">
        <v>1001</v>
      </c>
      <c r="N21" s="622"/>
      <c r="O21" s="3" t="s">
        <v>36</v>
      </c>
      <c r="P21" s="284">
        <v>0.6</v>
      </c>
      <c r="Q21" s="284"/>
      <c r="R21" s="284"/>
      <c r="S21" s="284">
        <v>0.2</v>
      </c>
      <c r="T21" s="284"/>
      <c r="U21" s="284">
        <v>0.2</v>
      </c>
      <c r="V21" s="623">
        <f t="shared" si="12"/>
        <v>0</v>
      </c>
      <c r="W21" s="623">
        <f t="shared" si="12"/>
        <v>0</v>
      </c>
      <c r="X21" s="623">
        <f t="shared" si="12"/>
        <v>0</v>
      </c>
      <c r="Y21" s="623">
        <f t="shared" si="12"/>
        <v>0</v>
      </c>
      <c r="Z21" s="623">
        <f t="shared" si="12"/>
        <v>0</v>
      </c>
      <c r="AA21" s="623">
        <f t="shared" si="12"/>
        <v>0</v>
      </c>
      <c r="AB21" s="75"/>
      <c r="AC21" s="692">
        <v>0.09</v>
      </c>
      <c r="AD21" s="693" t="s">
        <v>1089</v>
      </c>
      <c r="AE21" s="694">
        <f>ROUND(I21*AC21,-3)</f>
        <v>0</v>
      </c>
      <c r="AF21" s="695" t="s">
        <v>1090</v>
      </c>
      <c r="AG21" s="690">
        <f>K21</f>
        <v>0</v>
      </c>
      <c r="AH21" s="690" t="e">
        <f>$AG21*(V$6/$K$6)</f>
        <v>#DIV/0!</v>
      </c>
      <c r="AI21" s="690" t="e">
        <f t="shared" ref="AI21:AI25" si="13">$AG21*(W$6/$K$6)</f>
        <v>#DIV/0!</v>
      </c>
      <c r="AJ21" s="690" t="e">
        <f t="shared" ref="AJ21:AJ25" si="14">$AG21*(X$6/$K$6)</f>
        <v>#DIV/0!</v>
      </c>
      <c r="AK21" s="690" t="e">
        <f t="shared" ref="AK21:AK25" si="15">$AG21*(Y$6/$K$6)</f>
        <v>#DIV/0!</v>
      </c>
      <c r="AL21" s="690" t="e">
        <f t="shared" ref="AL21:AL25" si="16">$AG21*(Z$6/$K$6)</f>
        <v>#DIV/0!</v>
      </c>
      <c r="AM21" s="690" t="e">
        <f t="shared" ref="AM21:AM25" si="17">$AG21*(AA$6/$K$6)</f>
        <v>#DIV/0!</v>
      </c>
    </row>
    <row r="22" spans="2:39" ht="38">
      <c r="C22" s="580" t="s">
        <v>1011</v>
      </c>
      <c r="D22" s="110"/>
      <c r="E22" s="630" t="s">
        <v>1020</v>
      </c>
      <c r="F22" s="631" t="s">
        <v>1009</v>
      </c>
      <c r="G22" s="632">
        <v>1.4E-2</v>
      </c>
      <c r="H22" s="626" t="s">
        <v>436</v>
      </c>
      <c r="I22" s="628">
        <f t="shared" ref="I22:I25" si="18">0.2*$I$19</f>
        <v>0</v>
      </c>
      <c r="J22" s="580" t="s">
        <v>1010</v>
      </c>
      <c r="K22" s="642">
        <f>I22*G22/1000</f>
        <v>0</v>
      </c>
      <c r="L22" s="626" t="s">
        <v>36</v>
      </c>
      <c r="M22" s="619" t="s">
        <v>1002</v>
      </c>
      <c r="N22" s="622"/>
      <c r="O22" s="3" t="s">
        <v>36</v>
      </c>
      <c r="P22" s="284">
        <v>0.4</v>
      </c>
      <c r="Q22" s="284"/>
      <c r="R22" s="284"/>
      <c r="S22" s="284">
        <v>0.2</v>
      </c>
      <c r="T22" s="284"/>
      <c r="U22" s="284">
        <v>0.4</v>
      </c>
      <c r="V22" s="623">
        <f t="shared" si="12"/>
        <v>0</v>
      </c>
      <c r="W22" s="623">
        <f t="shared" si="12"/>
        <v>0</v>
      </c>
      <c r="X22" s="623">
        <f t="shared" si="12"/>
        <v>0</v>
      </c>
      <c r="Y22" s="623">
        <f t="shared" si="12"/>
        <v>0</v>
      </c>
      <c r="Z22" s="623">
        <f t="shared" si="12"/>
        <v>0</v>
      </c>
      <c r="AA22" s="623">
        <f t="shared" si="12"/>
        <v>0</v>
      </c>
      <c r="AB22" s="75"/>
      <c r="AC22" s="692">
        <v>0.10571428571428573</v>
      </c>
      <c r="AD22" s="693" t="s">
        <v>1089</v>
      </c>
      <c r="AE22" s="694">
        <f>ROUND(I22*AC22,-3)</f>
        <v>0</v>
      </c>
      <c r="AF22" s="695" t="s">
        <v>1090</v>
      </c>
      <c r="AG22" s="690">
        <f t="shared" ref="AG22:AG25" si="19">K22</f>
        <v>0</v>
      </c>
      <c r="AH22" s="690" t="e">
        <f t="shared" ref="AH22:AH25" si="20">$AG22*(V$6/$K$6)</f>
        <v>#DIV/0!</v>
      </c>
      <c r="AI22" s="690" t="e">
        <f t="shared" si="13"/>
        <v>#DIV/0!</v>
      </c>
      <c r="AJ22" s="690" t="e">
        <f t="shared" si="14"/>
        <v>#DIV/0!</v>
      </c>
      <c r="AK22" s="690" t="e">
        <f t="shared" si="15"/>
        <v>#DIV/0!</v>
      </c>
      <c r="AL22" s="690" t="e">
        <f t="shared" si="16"/>
        <v>#DIV/0!</v>
      </c>
      <c r="AM22" s="690" t="e">
        <f t="shared" si="17"/>
        <v>#DIV/0!</v>
      </c>
    </row>
    <row r="23" spans="2:39" ht="38">
      <c r="C23" s="579" t="s">
        <v>1013</v>
      </c>
      <c r="D23" s="110"/>
      <c r="E23" s="630" t="s">
        <v>1021</v>
      </c>
      <c r="F23" s="631" t="s">
        <v>1009</v>
      </c>
      <c r="G23" s="632">
        <v>1.4999999999999999E-2</v>
      </c>
      <c r="H23" s="626" t="s">
        <v>436</v>
      </c>
      <c r="I23" s="628">
        <f t="shared" si="18"/>
        <v>0</v>
      </c>
      <c r="J23" s="580" t="s">
        <v>1010</v>
      </c>
      <c r="K23" s="642">
        <f>I23*G23/1000</f>
        <v>0</v>
      </c>
      <c r="L23" s="626" t="s">
        <v>36</v>
      </c>
      <c r="M23" s="619" t="s">
        <v>1003</v>
      </c>
      <c r="N23" s="622"/>
      <c r="O23" s="3" t="s">
        <v>36</v>
      </c>
      <c r="P23" s="284">
        <v>0.2</v>
      </c>
      <c r="Q23" s="284"/>
      <c r="R23" s="284"/>
      <c r="S23" s="284">
        <v>0.2</v>
      </c>
      <c r="T23" s="284"/>
      <c r="U23" s="284">
        <v>0.6</v>
      </c>
      <c r="V23" s="623">
        <f t="shared" si="12"/>
        <v>0</v>
      </c>
      <c r="W23" s="623">
        <f t="shared" si="12"/>
        <v>0</v>
      </c>
      <c r="X23" s="623">
        <f t="shared" si="12"/>
        <v>0</v>
      </c>
      <c r="Y23" s="623">
        <f t="shared" si="12"/>
        <v>0</v>
      </c>
      <c r="Z23" s="623">
        <f t="shared" si="12"/>
        <v>0</v>
      </c>
      <c r="AA23" s="623">
        <f t="shared" si="12"/>
        <v>0</v>
      </c>
      <c r="AB23" s="75"/>
      <c r="AC23" s="692">
        <v>0.17411764705882354</v>
      </c>
      <c r="AD23" s="693" t="s">
        <v>1089</v>
      </c>
      <c r="AE23" s="694">
        <f>ROUND(I23*AC23,-3)</f>
        <v>0</v>
      </c>
      <c r="AF23" s="695" t="s">
        <v>1090</v>
      </c>
      <c r="AG23" s="690">
        <f t="shared" si="19"/>
        <v>0</v>
      </c>
      <c r="AH23" s="690" t="e">
        <f t="shared" si="20"/>
        <v>#DIV/0!</v>
      </c>
      <c r="AI23" s="690" t="e">
        <f t="shared" si="13"/>
        <v>#DIV/0!</v>
      </c>
      <c r="AJ23" s="690" t="e">
        <f t="shared" si="14"/>
        <v>#DIV/0!</v>
      </c>
      <c r="AK23" s="690" t="e">
        <f t="shared" si="15"/>
        <v>#DIV/0!</v>
      </c>
      <c r="AL23" s="690" t="e">
        <f t="shared" si="16"/>
        <v>#DIV/0!</v>
      </c>
      <c r="AM23" s="690" t="e">
        <f t="shared" si="17"/>
        <v>#DIV/0!</v>
      </c>
    </row>
    <row r="24" spans="2:39" ht="38">
      <c r="C24" s="579" t="s">
        <v>1014</v>
      </c>
      <c r="D24" s="110"/>
      <c r="E24" s="630" t="s">
        <v>1022</v>
      </c>
      <c r="F24" s="631" t="s">
        <v>1009</v>
      </c>
      <c r="G24" s="632">
        <v>1E-3</v>
      </c>
      <c r="H24" s="626" t="s">
        <v>436</v>
      </c>
      <c r="I24" s="628">
        <f t="shared" si="18"/>
        <v>0</v>
      </c>
      <c r="J24" s="580" t="s">
        <v>1010</v>
      </c>
      <c r="K24" s="642">
        <f>I24*G24/1000</f>
        <v>0</v>
      </c>
      <c r="L24" s="626" t="s">
        <v>36</v>
      </c>
      <c r="M24" s="619" t="s">
        <v>1004</v>
      </c>
      <c r="N24" s="622"/>
      <c r="O24" s="3" t="s">
        <v>36</v>
      </c>
      <c r="P24" s="284">
        <v>0.04</v>
      </c>
      <c r="Q24" s="284"/>
      <c r="R24" s="284"/>
      <c r="S24" s="284">
        <v>0.2</v>
      </c>
      <c r="T24" s="284"/>
      <c r="U24" s="284">
        <v>0.76</v>
      </c>
      <c r="V24" s="623">
        <f t="shared" si="12"/>
        <v>0</v>
      </c>
      <c r="W24" s="623">
        <f t="shared" si="12"/>
        <v>0</v>
      </c>
      <c r="X24" s="623">
        <f t="shared" si="12"/>
        <v>0</v>
      </c>
      <c r="Y24" s="623">
        <f t="shared" si="12"/>
        <v>0</v>
      </c>
      <c r="Z24" s="623">
        <f t="shared" si="12"/>
        <v>0</v>
      </c>
      <c r="AA24" s="623">
        <f t="shared" si="12"/>
        <v>0</v>
      </c>
      <c r="AB24" s="75"/>
      <c r="AC24" s="692">
        <v>7.0000000000000007E-2</v>
      </c>
      <c r="AD24" s="693" t="s">
        <v>1089</v>
      </c>
      <c r="AE24" s="694">
        <f>ROUND(I24*AC24,-3)</f>
        <v>0</v>
      </c>
      <c r="AF24" s="695" t="s">
        <v>1090</v>
      </c>
      <c r="AG24" s="690">
        <f t="shared" si="19"/>
        <v>0</v>
      </c>
      <c r="AH24" s="690" t="e">
        <f t="shared" si="20"/>
        <v>#DIV/0!</v>
      </c>
      <c r="AI24" s="690" t="e">
        <f t="shared" si="13"/>
        <v>#DIV/0!</v>
      </c>
      <c r="AJ24" s="690" t="e">
        <f t="shared" si="14"/>
        <v>#DIV/0!</v>
      </c>
      <c r="AK24" s="690" t="e">
        <f t="shared" si="15"/>
        <v>#DIV/0!</v>
      </c>
      <c r="AL24" s="690" t="e">
        <f t="shared" si="16"/>
        <v>#DIV/0!</v>
      </c>
      <c r="AM24" s="690" t="e">
        <f t="shared" si="17"/>
        <v>#DIV/0!</v>
      </c>
    </row>
    <row r="25" spans="2:39" ht="38">
      <c r="C25" s="579" t="s">
        <v>1016</v>
      </c>
      <c r="D25" s="110"/>
      <c r="E25" s="631" t="s">
        <v>1017</v>
      </c>
      <c r="F25" s="631" t="s">
        <v>1009</v>
      </c>
      <c r="G25" s="632">
        <v>2.0000000000000002E-5</v>
      </c>
      <c r="H25" s="626" t="s">
        <v>436</v>
      </c>
      <c r="I25" s="628">
        <f t="shared" si="18"/>
        <v>0</v>
      </c>
      <c r="J25" s="580" t="s">
        <v>1010</v>
      </c>
      <c r="K25" s="642">
        <f>I25*G25/1000</f>
        <v>0</v>
      </c>
      <c r="L25" s="626" t="s">
        <v>36</v>
      </c>
      <c r="M25" s="32" t="s">
        <v>1005</v>
      </c>
      <c r="N25" s="622"/>
      <c r="O25" s="3" t="s">
        <v>36</v>
      </c>
      <c r="P25" s="284"/>
      <c r="Q25" s="284"/>
      <c r="R25" s="284"/>
      <c r="S25" s="284"/>
      <c r="T25" s="284"/>
      <c r="U25" s="284"/>
      <c r="V25" s="623">
        <f t="shared" si="12"/>
        <v>0</v>
      </c>
      <c r="W25" s="623">
        <f t="shared" si="12"/>
        <v>0</v>
      </c>
      <c r="X25" s="623">
        <f t="shared" si="12"/>
        <v>0</v>
      </c>
      <c r="Y25" s="623">
        <f t="shared" si="12"/>
        <v>0</v>
      </c>
      <c r="Z25" s="623">
        <f t="shared" si="12"/>
        <v>0</v>
      </c>
      <c r="AA25" s="623">
        <f t="shared" si="12"/>
        <v>0</v>
      </c>
      <c r="AB25" s="75"/>
      <c r="AC25" s="692">
        <v>75.897435897435898</v>
      </c>
      <c r="AD25" s="691" t="s">
        <v>1091</v>
      </c>
      <c r="AE25" s="694">
        <f>ROUND(I25*AC25,-5)</f>
        <v>0</v>
      </c>
      <c r="AF25" s="695" t="s">
        <v>1092</v>
      </c>
      <c r="AG25" s="690">
        <f t="shared" si="19"/>
        <v>0</v>
      </c>
      <c r="AH25" s="690" t="e">
        <f t="shared" si="20"/>
        <v>#DIV/0!</v>
      </c>
      <c r="AI25" s="690" t="e">
        <f t="shared" si="13"/>
        <v>#DIV/0!</v>
      </c>
      <c r="AJ25" s="690" t="e">
        <f t="shared" si="14"/>
        <v>#DIV/0!</v>
      </c>
      <c r="AK25" s="690" t="e">
        <f t="shared" si="15"/>
        <v>#DIV/0!</v>
      </c>
      <c r="AL25" s="690" t="e">
        <f t="shared" si="16"/>
        <v>#DIV/0!</v>
      </c>
      <c r="AM25" s="690" t="e">
        <f t="shared" si="17"/>
        <v>#DIV/0!</v>
      </c>
    </row>
    <row r="26" spans="2:39" ht="50.5">
      <c r="C26" s="579"/>
      <c r="D26" s="110"/>
      <c r="E26" s="630"/>
      <c r="F26" s="631"/>
      <c r="G26" s="632"/>
      <c r="H26" s="626"/>
      <c r="I26" s="635">
        <f>SUM(I21:I25)</f>
        <v>0</v>
      </c>
      <c r="J26" s="580" t="s">
        <v>1018</v>
      </c>
      <c r="K26" s="633"/>
      <c r="L26" s="626"/>
      <c r="M26" s="619" t="s">
        <v>1001</v>
      </c>
      <c r="N26" s="772">
        <f>$K$6*IF('Step3-Metals-RawMat'!$E$26=yes,'Step3-Metals-RawMat'!$H$28/100,'Default Controls'!$D$36/100)</f>
        <v>0</v>
      </c>
      <c r="O26" s="3" t="s">
        <v>36</v>
      </c>
      <c r="P26" s="284">
        <v>0.7</v>
      </c>
      <c r="Q26" s="284"/>
      <c r="R26" s="284"/>
      <c r="S26" s="284">
        <v>0.3</v>
      </c>
      <c r="T26" s="284"/>
      <c r="U26" s="284"/>
      <c r="V26" s="623">
        <f t="shared" si="12"/>
        <v>0</v>
      </c>
      <c r="W26" s="623">
        <f t="shared" si="12"/>
        <v>0</v>
      </c>
      <c r="X26" s="623">
        <f t="shared" si="12"/>
        <v>0</v>
      </c>
      <c r="Y26" s="623">
        <f t="shared" si="12"/>
        <v>0</v>
      </c>
      <c r="Z26" s="623">
        <f t="shared" si="12"/>
        <v>0</v>
      </c>
      <c r="AA26" s="623">
        <f t="shared" si="12"/>
        <v>0</v>
      </c>
      <c r="AB26" s="75"/>
      <c r="AC26" s="692"/>
      <c r="AD26" s="690"/>
      <c r="AE26" s="690"/>
      <c r="AF26" s="690"/>
    </row>
    <row r="27" spans="2:39" ht="38">
      <c r="C27" s="26"/>
      <c r="D27" s="110"/>
      <c r="E27" s="278"/>
      <c r="F27" s="36"/>
      <c r="G27" s="336"/>
      <c r="H27" s="36"/>
      <c r="I27" s="247"/>
      <c r="J27" s="9"/>
      <c r="K27" s="171"/>
      <c r="L27" s="3"/>
      <c r="M27" s="619" t="s">
        <v>1002</v>
      </c>
      <c r="N27" s="772">
        <f>$K$6*IF('Step3-Metals-RawMat'!$E$26=yes,'Step3-Metals-RawMat'!$I$28/100,'Default Controls'!$E$3/100)</f>
        <v>0</v>
      </c>
      <c r="O27" s="3" t="s">
        <v>36</v>
      </c>
      <c r="P27" s="284">
        <v>0.6</v>
      </c>
      <c r="Q27" s="284"/>
      <c r="R27" s="284"/>
      <c r="S27" s="284">
        <v>0.4</v>
      </c>
      <c r="T27" s="284"/>
      <c r="U27" s="284"/>
      <c r="V27" s="623">
        <f t="shared" si="12"/>
        <v>0</v>
      </c>
      <c r="W27" s="623">
        <f t="shared" si="12"/>
        <v>0</v>
      </c>
      <c r="X27" s="623">
        <f t="shared" si="12"/>
        <v>0</v>
      </c>
      <c r="Y27" s="623">
        <f t="shared" si="12"/>
        <v>0</v>
      </c>
      <c r="Z27" s="623">
        <f t="shared" si="12"/>
        <v>0</v>
      </c>
      <c r="AA27" s="623">
        <f t="shared" si="12"/>
        <v>0</v>
      </c>
      <c r="AB27" s="75"/>
      <c r="AC27" s="692"/>
      <c r="AD27" s="690"/>
      <c r="AE27" s="690"/>
      <c r="AF27" s="690"/>
    </row>
    <row r="28" spans="2:39" ht="38">
      <c r="C28" s="26"/>
      <c r="D28" s="110"/>
      <c r="E28" s="278"/>
      <c r="F28" s="36"/>
      <c r="G28" s="336"/>
      <c r="H28" s="36"/>
      <c r="I28" s="247"/>
      <c r="J28" s="9"/>
      <c r="K28" s="171"/>
      <c r="L28" s="3"/>
      <c r="M28" s="619" t="s">
        <v>1003</v>
      </c>
      <c r="N28" s="772">
        <f>$K$6*IF('Step3-Metals-RawMat'!$E$26=yes,'Step3-Metals-RawMat'!$J$28/100,'Default Controls'!$F$36/100)</f>
        <v>0</v>
      </c>
      <c r="O28" s="3" t="s">
        <v>36</v>
      </c>
      <c r="P28" s="284">
        <v>0.5</v>
      </c>
      <c r="Q28" s="284"/>
      <c r="R28" s="284"/>
      <c r="S28" s="284">
        <v>0.5</v>
      </c>
      <c r="T28" s="284"/>
      <c r="U28" s="284"/>
      <c r="V28" s="623">
        <f t="shared" si="12"/>
        <v>0</v>
      </c>
      <c r="W28" s="623">
        <f t="shared" si="12"/>
        <v>0</v>
      </c>
      <c r="X28" s="623">
        <f t="shared" si="12"/>
        <v>0</v>
      </c>
      <c r="Y28" s="623">
        <f t="shared" si="12"/>
        <v>0</v>
      </c>
      <c r="Z28" s="623">
        <f t="shared" si="12"/>
        <v>0</v>
      </c>
      <c r="AA28" s="623">
        <f t="shared" si="12"/>
        <v>0</v>
      </c>
      <c r="AB28" s="75"/>
      <c r="AC28" s="692"/>
      <c r="AD28" s="690"/>
      <c r="AE28" s="690"/>
      <c r="AF28" s="690"/>
    </row>
    <row r="29" spans="2:39" ht="50.5">
      <c r="C29" s="26"/>
      <c r="D29" s="110"/>
      <c r="E29" s="278"/>
      <c r="F29" s="36"/>
      <c r="G29" s="336"/>
      <c r="H29" s="36"/>
      <c r="I29" s="247"/>
      <c r="J29" s="9"/>
      <c r="K29" s="171"/>
      <c r="L29" s="3"/>
      <c r="M29" s="619" t="s">
        <v>1006</v>
      </c>
      <c r="N29" s="772">
        <f>$K$6*IF('Step3-Metals-RawMat'!$E$26=yes,'Step3-Metals-RawMat'!$K$28/100,'Default Controls'!$G$36/100)</f>
        <v>0</v>
      </c>
      <c r="O29" s="3" t="s">
        <v>36</v>
      </c>
      <c r="P29" s="284">
        <v>0.04</v>
      </c>
      <c r="Q29" s="284"/>
      <c r="R29" s="284"/>
      <c r="S29" s="284">
        <v>0.5</v>
      </c>
      <c r="T29" s="284"/>
      <c r="U29" s="284">
        <v>0.46</v>
      </c>
      <c r="V29" s="623">
        <f t="shared" si="12"/>
        <v>0</v>
      </c>
      <c r="W29" s="623">
        <f t="shared" si="12"/>
        <v>0</v>
      </c>
      <c r="X29" s="623">
        <f t="shared" si="12"/>
        <v>0</v>
      </c>
      <c r="Y29" s="623">
        <f t="shared" si="12"/>
        <v>0</v>
      </c>
      <c r="Z29" s="623">
        <f t="shared" si="12"/>
        <v>0</v>
      </c>
      <c r="AA29" s="623">
        <f t="shared" si="12"/>
        <v>0</v>
      </c>
      <c r="AB29" s="75"/>
      <c r="AC29" s="692"/>
      <c r="AD29" s="690"/>
      <c r="AE29" s="690"/>
      <c r="AF29" s="690"/>
    </row>
    <row r="30" spans="2:39" s="55" customFormat="1" ht="13">
      <c r="C30" s="136"/>
      <c r="D30" s="75"/>
      <c r="E30" s="103"/>
      <c r="F30" s="103"/>
      <c r="G30" s="75"/>
      <c r="H30" s="103"/>
      <c r="I30" s="247"/>
      <c r="K30" s="171"/>
      <c r="L30" s="103"/>
      <c r="M30" s="33"/>
      <c r="N30" s="247"/>
      <c r="O30" s="3"/>
      <c r="P30" s="130"/>
      <c r="Q30" s="130"/>
      <c r="R30" s="130"/>
      <c r="S30" s="130"/>
      <c r="T30" s="130"/>
      <c r="U30" s="130"/>
      <c r="V30" s="170"/>
      <c r="W30" s="170"/>
      <c r="X30" s="170"/>
      <c r="Y30" s="170"/>
      <c r="Z30" s="170"/>
      <c r="AA30" s="170"/>
      <c r="AB30" s="75"/>
    </row>
    <row r="31" spans="2:39" ht="13">
      <c r="B31" s="3" t="s">
        <v>187</v>
      </c>
      <c r="C31" s="26" t="s">
        <v>188</v>
      </c>
      <c r="D31" s="110"/>
      <c r="E31" s="36" t="s">
        <v>506</v>
      </c>
      <c r="F31" s="278" t="s">
        <v>507</v>
      </c>
      <c r="G31" s="75">
        <v>0.03</v>
      </c>
      <c r="H31" s="36" t="s">
        <v>471</v>
      </c>
      <c r="I31" s="247">
        <f>'Step3-Metals-RawMat'!C31</f>
        <v>0</v>
      </c>
      <c r="J31" s="3" t="s">
        <v>434</v>
      </c>
      <c r="K31" s="234">
        <f>I31*G31/1000</f>
        <v>0</v>
      </c>
      <c r="L31" s="3" t="s">
        <v>36</v>
      </c>
      <c r="M31" s="442"/>
      <c r="N31" s="247"/>
      <c r="O31" s="3"/>
      <c r="P31" s="342"/>
      <c r="Q31" s="342"/>
      <c r="R31" s="342"/>
      <c r="S31" s="342"/>
      <c r="T31" s="342"/>
      <c r="U31" s="342"/>
      <c r="V31" s="113">
        <f>SUM(V32:V33)</f>
        <v>0</v>
      </c>
      <c r="W31" s="113">
        <f t="shared" ref="W31:Z31" si="21">SUM(W32:W33)</f>
        <v>0</v>
      </c>
      <c r="X31" s="113">
        <f t="shared" si="21"/>
        <v>0</v>
      </c>
      <c r="Y31" s="113">
        <f t="shared" si="21"/>
        <v>0</v>
      </c>
      <c r="Z31" s="113">
        <f t="shared" si="21"/>
        <v>0</v>
      </c>
      <c r="AA31" s="113">
        <f>SUM(AA32:AA33)</f>
        <v>0</v>
      </c>
      <c r="AB31" s="75"/>
    </row>
    <row r="32" spans="2:39" ht="13">
      <c r="B32" s="3"/>
      <c r="C32" s="26"/>
      <c r="D32" s="110"/>
      <c r="E32" s="36"/>
      <c r="F32" s="278"/>
      <c r="G32" s="75"/>
      <c r="H32" s="36"/>
      <c r="I32" s="247"/>
      <c r="J32" s="3"/>
      <c r="K32" s="234"/>
      <c r="L32" s="3"/>
      <c r="M32" s="442" t="s">
        <v>525</v>
      </c>
      <c r="N32" s="772">
        <f>$K$31*IF('Step3-Metals-RawMat'!$E$31=yes,'Step3-Metals-RawMat'!$G$33/100,'Default Controls'!$C$41/100)</f>
        <v>0</v>
      </c>
      <c r="O32" s="3" t="s">
        <v>36</v>
      </c>
      <c r="P32" s="342">
        <v>1</v>
      </c>
      <c r="Q32" s="342"/>
      <c r="R32" s="342"/>
      <c r="S32" s="342"/>
      <c r="T32" s="342"/>
      <c r="U32" s="342"/>
      <c r="V32" s="170">
        <f t="shared" ref="V32" si="22">$N32*P32</f>
        <v>0</v>
      </c>
      <c r="W32" s="170">
        <f t="shared" ref="W32" si="23">$N32*Q32</f>
        <v>0</v>
      </c>
      <c r="X32" s="170">
        <f t="shared" ref="X32" si="24">$N32*R32</f>
        <v>0</v>
      </c>
      <c r="Y32" s="170">
        <f t="shared" ref="Y32" si="25">$N32*S32</f>
        <v>0</v>
      </c>
      <c r="Z32" s="170">
        <f t="shared" ref="Z32" si="26">$N32*T32</f>
        <v>0</v>
      </c>
      <c r="AA32" s="170">
        <f t="shared" ref="AA32" si="27">$N32*U32</f>
        <v>0</v>
      </c>
      <c r="AB32" s="75"/>
    </row>
    <row r="33" spans="2:28" s="55" customFormat="1" ht="25.5">
      <c r="B33" s="103"/>
      <c r="C33" s="136"/>
      <c r="D33" s="75"/>
      <c r="E33" s="148"/>
      <c r="F33" s="103"/>
      <c r="G33" s="75"/>
      <c r="H33" s="103"/>
      <c r="I33" s="247"/>
      <c r="K33" s="114"/>
      <c r="L33" s="103"/>
      <c r="M33" s="33" t="s">
        <v>470</v>
      </c>
      <c r="N33" s="772">
        <f>$K$31*IF('Step3-Metals-RawMat'!$E$31=yes,'Step3-Metals-RawMat'!$H$33/100,'Default Controls'!$D$41/100)</f>
        <v>0</v>
      </c>
      <c r="O33" s="3" t="s">
        <v>36</v>
      </c>
      <c r="P33" s="284">
        <v>0.9</v>
      </c>
      <c r="Q33" s="284"/>
      <c r="R33" s="284"/>
      <c r="S33" s="284"/>
      <c r="T33" s="284">
        <v>0.1</v>
      </c>
      <c r="U33" s="284"/>
      <c r="V33" s="170">
        <f t="shared" ref="V33:AA33" si="28">$N33*P33</f>
        <v>0</v>
      </c>
      <c r="W33" s="170">
        <f t="shared" si="28"/>
        <v>0</v>
      </c>
      <c r="X33" s="170">
        <f t="shared" si="28"/>
        <v>0</v>
      </c>
      <c r="Y33" s="170">
        <f t="shared" si="28"/>
        <v>0</v>
      </c>
      <c r="Z33" s="170">
        <f t="shared" si="28"/>
        <v>0</v>
      </c>
      <c r="AA33" s="170">
        <f t="shared" si="28"/>
        <v>0</v>
      </c>
      <c r="AB33" s="75"/>
    </row>
    <row r="34" spans="2:28" ht="26">
      <c r="B34" t="s">
        <v>168</v>
      </c>
      <c r="C34" s="26" t="s">
        <v>189</v>
      </c>
      <c r="D34" s="75"/>
      <c r="E34" s="11"/>
      <c r="F34" s="3"/>
      <c r="G34" s="75"/>
      <c r="H34" s="3"/>
      <c r="I34" s="247"/>
      <c r="K34" s="113"/>
      <c r="L34" s="3" t="s">
        <v>36</v>
      </c>
      <c r="M34" s="33"/>
      <c r="N34" s="247"/>
      <c r="O34" s="3"/>
      <c r="P34" s="129"/>
      <c r="Q34" s="129"/>
      <c r="R34" s="129"/>
      <c r="S34" s="129"/>
      <c r="T34" s="129"/>
      <c r="U34" s="126"/>
      <c r="V34" s="113">
        <f t="shared" ref="V34:AA34" si="29">SUM(V35:V36)</f>
        <v>0</v>
      </c>
      <c r="W34" s="113">
        <f t="shared" si="29"/>
        <v>0</v>
      </c>
      <c r="X34" s="113">
        <f t="shared" si="29"/>
        <v>0</v>
      </c>
      <c r="Y34" s="113">
        <f t="shared" si="29"/>
        <v>0</v>
      </c>
      <c r="Z34" s="113">
        <f t="shared" si="29"/>
        <v>0</v>
      </c>
      <c r="AA34" s="113">
        <f t="shared" si="29"/>
        <v>0</v>
      </c>
      <c r="AB34" s="75"/>
    </row>
    <row r="35" spans="2:28" ht="13">
      <c r="C35" s="26" t="s">
        <v>190</v>
      </c>
      <c r="D35" s="75"/>
      <c r="E35" s="29" t="s">
        <v>43</v>
      </c>
      <c r="F35" s="3"/>
      <c r="G35" s="75" t="s">
        <v>43</v>
      </c>
      <c r="H35" s="3" t="s">
        <v>43</v>
      </c>
      <c r="I35" s="247"/>
      <c r="K35" s="171" t="s">
        <v>43</v>
      </c>
      <c r="L35" s="3" t="s">
        <v>36</v>
      </c>
      <c r="M35" s="33"/>
      <c r="N35" s="246"/>
      <c r="O35" s="3" t="s">
        <v>36</v>
      </c>
      <c r="P35" s="126"/>
      <c r="Q35" s="126"/>
      <c r="R35" s="126"/>
      <c r="S35" s="126"/>
      <c r="T35" s="126"/>
      <c r="U35" s="126"/>
      <c r="V35" s="115">
        <f t="shared" ref="V35:AA35" si="30">$N35*P35</f>
        <v>0</v>
      </c>
      <c r="W35" s="115">
        <f t="shared" si="30"/>
        <v>0</v>
      </c>
      <c r="X35" s="115">
        <f t="shared" si="30"/>
        <v>0</v>
      </c>
      <c r="Y35" s="115">
        <f t="shared" si="30"/>
        <v>0</v>
      </c>
      <c r="Z35" s="115">
        <f t="shared" si="30"/>
        <v>0</v>
      </c>
      <c r="AA35" s="115">
        <f t="shared" si="30"/>
        <v>0</v>
      </c>
      <c r="AB35" s="75"/>
    </row>
    <row r="36" spans="2:28" ht="13">
      <c r="C36" s="26" t="s">
        <v>191</v>
      </c>
      <c r="D36" s="75"/>
      <c r="E36" s="29" t="s">
        <v>43</v>
      </c>
      <c r="F36" s="3" t="s">
        <v>43</v>
      </c>
      <c r="G36" s="75" t="s">
        <v>43</v>
      </c>
      <c r="H36" s="3" t="s">
        <v>43</v>
      </c>
      <c r="I36" s="247"/>
      <c r="K36" s="171" t="s">
        <v>43</v>
      </c>
      <c r="L36" s="3" t="s">
        <v>36</v>
      </c>
      <c r="M36" s="33"/>
      <c r="N36" s="246"/>
      <c r="O36" s="3" t="s">
        <v>36</v>
      </c>
      <c r="P36" s="126"/>
      <c r="Q36" s="126"/>
      <c r="R36" s="126"/>
      <c r="S36" s="126"/>
      <c r="T36" s="126"/>
      <c r="U36" s="126"/>
      <c r="V36" s="115">
        <f t="shared" ref="V36:AA36" si="31">$N36*P36</f>
        <v>0</v>
      </c>
      <c r="W36" s="115">
        <f t="shared" si="31"/>
        <v>0</v>
      </c>
      <c r="X36" s="115">
        <f t="shared" si="31"/>
        <v>0</v>
      </c>
      <c r="Y36" s="115">
        <f t="shared" si="31"/>
        <v>0</v>
      </c>
      <c r="Z36" s="115">
        <f t="shared" si="31"/>
        <v>0</v>
      </c>
      <c r="AA36" s="115">
        <f t="shared" si="31"/>
        <v>0</v>
      </c>
      <c r="AB36" s="75"/>
    </row>
    <row r="37" spans="2:28" s="55" customFormat="1" ht="13">
      <c r="C37" s="149"/>
      <c r="D37" s="75"/>
      <c r="E37" s="103"/>
      <c r="F37" s="103"/>
      <c r="G37" s="75"/>
      <c r="I37" s="246"/>
      <c r="K37" s="172"/>
      <c r="M37" s="106"/>
      <c r="N37" s="247"/>
      <c r="O37" s="103"/>
      <c r="P37" s="126"/>
      <c r="Q37" s="126"/>
      <c r="R37" s="126"/>
      <c r="S37" s="126"/>
      <c r="T37" s="126"/>
      <c r="U37" s="126"/>
      <c r="V37" s="58"/>
      <c r="W37" s="58"/>
      <c r="X37" s="58"/>
      <c r="Y37" s="58"/>
      <c r="Z37" s="58"/>
      <c r="AA37" s="58"/>
      <c r="AB37" s="75"/>
    </row>
    <row r="38" spans="2:28" ht="27" customHeight="1">
      <c r="B38" s="3" t="s">
        <v>169</v>
      </c>
      <c r="C38" s="26" t="s">
        <v>355</v>
      </c>
      <c r="D38" s="110"/>
      <c r="E38" s="3" t="s">
        <v>43</v>
      </c>
      <c r="F38" s="3" t="s">
        <v>43</v>
      </c>
      <c r="G38" s="75" t="s">
        <v>43</v>
      </c>
      <c r="H38" s="3" t="s">
        <v>43</v>
      </c>
      <c r="I38" s="247"/>
      <c r="J38" t="s">
        <v>43</v>
      </c>
      <c r="K38" s="171" t="s">
        <v>43</v>
      </c>
      <c r="L38" s="3" t="s">
        <v>36</v>
      </c>
      <c r="M38" s="33"/>
      <c r="N38" s="247"/>
      <c r="O38" s="3" t="s">
        <v>36</v>
      </c>
      <c r="P38" s="126"/>
      <c r="Q38" s="126"/>
      <c r="R38" s="126"/>
      <c r="S38" s="126"/>
      <c r="T38" s="126"/>
      <c r="U38" s="126"/>
      <c r="V38" s="113">
        <f t="shared" ref="V38:AA38" si="32">$N38*P38</f>
        <v>0</v>
      </c>
      <c r="W38" s="113">
        <f t="shared" si="32"/>
        <v>0</v>
      </c>
      <c r="X38" s="113">
        <f t="shared" si="32"/>
        <v>0</v>
      </c>
      <c r="Y38" s="113">
        <f t="shared" si="32"/>
        <v>0</v>
      </c>
      <c r="Z38" s="113">
        <f t="shared" si="32"/>
        <v>0</v>
      </c>
      <c r="AA38" s="113">
        <f t="shared" si="32"/>
        <v>0</v>
      </c>
      <c r="AB38" s="75"/>
    </row>
    <row r="39" spans="2:28" s="55" customFormat="1" ht="13">
      <c r="B39" s="103"/>
      <c r="C39" s="136"/>
      <c r="D39" s="75"/>
      <c r="E39" s="148"/>
      <c r="F39" s="103"/>
      <c r="G39" s="75"/>
      <c r="H39" s="103"/>
      <c r="I39" s="247"/>
      <c r="K39" s="114"/>
      <c r="L39" s="103"/>
      <c r="M39" s="137"/>
      <c r="N39" s="247"/>
      <c r="O39" s="103"/>
      <c r="P39" s="129"/>
      <c r="Q39" s="129"/>
      <c r="R39" s="129"/>
      <c r="S39" s="129"/>
      <c r="T39" s="129"/>
      <c r="U39" s="126"/>
      <c r="V39" s="115"/>
      <c r="W39" s="115"/>
      <c r="X39" s="115"/>
      <c r="Y39" s="115"/>
      <c r="Z39" s="115"/>
      <c r="AA39" s="115"/>
      <c r="AB39" s="75"/>
    </row>
    <row r="40" spans="2:28" ht="13">
      <c r="C40" s="9"/>
      <c r="M40" s="14"/>
      <c r="N40" s="238"/>
      <c r="O40" s="3"/>
    </row>
    <row r="41" spans="2:28" ht="13">
      <c r="C41" s="9"/>
      <c r="M41" s="14"/>
      <c r="N41" s="248"/>
      <c r="O41" s="3"/>
    </row>
    <row r="42" spans="2:28" ht="13">
      <c r="C42" s="12"/>
      <c r="D42" s="8"/>
    </row>
    <row r="43" spans="2:28">
      <c r="D43" s="8"/>
    </row>
    <row r="44" spans="2:28">
      <c r="C44" s="48"/>
      <c r="D44" s="94"/>
      <c r="E44" s="48"/>
    </row>
    <row r="45" spans="2:28" ht="13">
      <c r="C45" s="48"/>
      <c r="D45" s="441"/>
      <c r="E45" s="48"/>
    </row>
    <row r="46" spans="2:28" ht="13">
      <c r="C46" s="48"/>
      <c r="D46" s="441"/>
      <c r="E46" s="48"/>
    </row>
    <row r="47" spans="2:28">
      <c r="C47" s="48"/>
      <c r="D47" s="48"/>
      <c r="E47" s="48"/>
    </row>
    <row r="48" spans="2:28">
      <c r="C48" s="48"/>
      <c r="D48" s="48"/>
      <c r="E48" s="48"/>
    </row>
  </sheetData>
  <sheetProtection algorithmName="SHA-512" hashValue="yqZG0r7rA0jZ6Q2XOrG8RpLtYt6Kl8FIMRVJmZHNRmjtfqICO5ZFjgJbp4MR4hgHsCszv8mrvFTyhhZbDymtzQ==" saltValue="mmkkOiuehElDAitgM08G7Q==" spinCount="100000" sheet="1"/>
  <customSheetViews>
    <customSheetView guid="{EB7FE26D-7077-48F2-8515-D783BE87A220}" scale="60" state="hidden">
      <selection activeCell="A4" sqref="A4"/>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23"/>
  <sheetViews>
    <sheetView workbookViewId="0">
      <selection activeCell="C16" sqref="C16"/>
    </sheetView>
  </sheetViews>
  <sheetFormatPr defaultColWidth="9.1796875" defaultRowHeight="12.5"/>
  <cols>
    <col min="1" max="1" width="43.1796875" style="339" customWidth="1"/>
    <col min="2" max="2" width="8.81640625" style="360" customWidth="1"/>
    <col min="3" max="3" width="14.1796875" style="339" customWidth="1"/>
    <col min="4" max="4" width="29.453125" style="339" customWidth="1"/>
    <col min="5" max="5" width="14.453125" style="339" customWidth="1"/>
    <col min="6" max="6" width="11.453125" style="339" customWidth="1"/>
    <col min="7" max="7" width="13" style="339" customWidth="1"/>
    <col min="8" max="8" width="13.1796875" style="339" customWidth="1"/>
    <col min="9" max="9" width="12.453125" style="339" customWidth="1"/>
    <col min="10" max="10" width="11.453125" style="339" customWidth="1"/>
    <col min="11" max="11" width="16.1796875" style="339" customWidth="1"/>
    <col min="12" max="12" width="5.6328125" style="339" customWidth="1"/>
    <col min="13" max="13" width="9.1796875" style="339"/>
    <col min="14" max="14" width="0" style="339" hidden="1" customWidth="1"/>
    <col min="15" max="16384" width="9.1796875" style="339"/>
  </cols>
  <sheetData>
    <row r="1" spans="1:14" ht="13">
      <c r="A1" s="389" t="s">
        <v>381</v>
      </c>
      <c r="B1" s="357"/>
    </row>
    <row r="2" spans="1:14" ht="30" customHeight="1">
      <c r="A2" s="840" t="str">
        <f>IF(ISNA(MATCH("n",N5:N17,0)),"",trans_warning)</f>
        <v/>
      </c>
      <c r="B2" s="841"/>
      <c r="C2" s="841"/>
      <c r="D2" s="841"/>
      <c r="E2" s="841"/>
      <c r="F2" s="841"/>
      <c r="G2" s="841"/>
      <c r="H2" s="841"/>
      <c r="I2" s="841"/>
      <c r="J2" s="841"/>
      <c r="K2" s="841"/>
      <c r="L2" s="842"/>
    </row>
    <row r="3" spans="1:14" s="361" customFormat="1" ht="26">
      <c r="A3" s="710" t="s">
        <v>312</v>
      </c>
      <c r="B3" s="711" t="s">
        <v>365</v>
      </c>
      <c r="C3" s="712" t="s">
        <v>496</v>
      </c>
      <c r="D3" s="710"/>
      <c r="E3" s="714" t="s">
        <v>358</v>
      </c>
      <c r="F3" s="837" t="s">
        <v>363</v>
      </c>
      <c r="G3" s="838"/>
      <c r="H3" s="838"/>
      <c r="I3" s="838"/>
      <c r="J3" s="838"/>
      <c r="K3" s="839"/>
      <c r="L3" s="710"/>
    </row>
    <row r="4" spans="1:14" ht="43.5" customHeight="1" thickBot="1">
      <c r="A4" s="710" t="s">
        <v>513</v>
      </c>
      <c r="B4" s="709" t="str">
        <f>quest</f>
        <v>Y/N/?</v>
      </c>
      <c r="C4" s="715" t="s">
        <v>1117</v>
      </c>
      <c r="D4" s="712" t="s">
        <v>35</v>
      </c>
      <c r="E4" s="712" t="s">
        <v>362</v>
      </c>
      <c r="F4" s="717" t="s">
        <v>38</v>
      </c>
      <c r="G4" s="717" t="s">
        <v>39</v>
      </c>
      <c r="H4" s="717" t="s">
        <v>40</v>
      </c>
      <c r="I4" s="712" t="s">
        <v>499</v>
      </c>
      <c r="J4" s="712" t="s">
        <v>42</v>
      </c>
      <c r="K4" s="712" t="s">
        <v>364</v>
      </c>
      <c r="L4" s="710" t="s">
        <v>357</v>
      </c>
      <c r="M4" s="323" t="s">
        <v>56</v>
      </c>
    </row>
    <row r="5" spans="1:14" ht="15.5">
      <c r="A5" s="270" t="s">
        <v>382</v>
      </c>
      <c r="B5" s="614"/>
      <c r="C5" s="377"/>
      <c r="D5" s="271" t="s">
        <v>941</v>
      </c>
      <c r="E5" s="460" t="str">
        <f>IF(OR($B5=yes,$B5=yes),'5-4 Int Hg in Industry'!K7, IF(OR($B5=no,$B5=no),"-", IF($B5=que,que, pres)))</f>
        <v>Present?</v>
      </c>
      <c r="F5" s="280" t="str">
        <f>IF(OR($B5=yes,$B5=yes),SUM('5-4 Int Hg in Industry'!V7:V8), IF(OR($B5=no,$B5=no),"-", IF($B5=que,que, pres)))</f>
        <v>Present?</v>
      </c>
      <c r="G5" s="280" t="str">
        <f>IF(OR($B5=yes,$B5=yes),SUM('5-4 Int Hg in Industry'!W7:W8), IF(OR($B5=no,$B5=no),"-", IF($B5=que,que, pres)))</f>
        <v>Present?</v>
      </c>
      <c r="H5" s="280" t="str">
        <f>IF(OR($B5=yes,$B5=yes),SUM('5-4 Int Hg in Industry'!X7:X8), IF(OR($B5=no,$B5=no),"-", IF($B5=que,que, pres)))</f>
        <v>Present?</v>
      </c>
      <c r="I5" s="280" t="str">
        <f>IF(OR($B5=yes,$B5=yes),SUM('5-4 Int Hg in Industry'!Y7:Y8), IF(OR($B5=no,$B5=no),"-", IF($B5=que,que, pres)))</f>
        <v>Present?</v>
      </c>
      <c r="J5" s="280" t="str">
        <f>IF(OR($B5=yes,$B5=yes),SUM('5-4 Int Hg in Industry'!Z7:Z8), IF(OR($B5=no,$B5=no),"-", IF($B5=que,que, pres)))</f>
        <v>Present?</v>
      </c>
      <c r="K5" s="280" t="str">
        <f>IF(OR($B5=yes,$B5=yes),SUM('5-4 Int Hg in Industry'!AA7:AA8), IF(OR($B5=no,$B5=no),"-", IF($B5=que,que, pres)))</f>
        <v>Present?</v>
      </c>
      <c r="L5" s="273" t="s">
        <v>146</v>
      </c>
      <c r="M5" s="463"/>
      <c r="N5" s="339" t="str">
        <f>INDEX('Range-thresholds'!$G$6:$G$73,MATCH(A5,'Range-thresholds'!$A$6:$A$73,0))</f>
        <v/>
      </c>
    </row>
    <row r="6" spans="1:14">
      <c r="A6" s="270" t="s">
        <v>150</v>
      </c>
      <c r="B6" s="615"/>
      <c r="C6" s="378"/>
      <c r="D6" s="271" t="s">
        <v>942</v>
      </c>
      <c r="E6" s="460" t="str">
        <f>IF(OR($B6=yes,$B6=yes),'5-4 Int Hg in Industry'!K10, IF(OR($B6=no,$B6=no),"-", IF($B6=que,que, pres)))</f>
        <v>Present?</v>
      </c>
      <c r="F6" s="280" t="str">
        <f>IF(OR($B6=yes,$B6=yes),'5-4 Int Hg in Industry'!V10, IF(OR($B6=no,$B6=no),"-", IF($B6=que,que, pres)))</f>
        <v>Present?</v>
      </c>
      <c r="G6" s="280" t="str">
        <f>IF(OR($B6=yes,$B6=yes),'5-4 Int Hg in Industry'!W10, IF(OR($B6=no,$B6=no),"-", IF($B6=que,que, pres)))</f>
        <v>Present?</v>
      </c>
      <c r="H6" s="280" t="str">
        <f>IF(OR($B6=yes,$B6=yes),'5-4 Int Hg in Industry'!X10, IF(OR($B6=no,$B6=no),"-", IF($B6=que,que, pres)))</f>
        <v>Present?</v>
      </c>
      <c r="I6" s="280" t="str">
        <f>IF(OR($B6=yes,$B6=yes),'5-4 Int Hg in Industry'!Y10, IF(OR($B6=no,$B6=no),"-", IF($B6=que,que, pres)))</f>
        <v>Present?</v>
      </c>
      <c r="J6" s="280" t="str">
        <f>IF(OR($B6=yes,$B6=yes),'5-4 Int Hg in Industry'!Z10, IF(OR($B6=no,$B6=no),"-", IF($B6=que,que, pres)))</f>
        <v>Present?</v>
      </c>
      <c r="K6" s="280" t="str">
        <f>IF(OR($B6=yes,$B6=yes),'5-4 Int Hg in Industry'!AA10, IF(OR($B6=no,$B6=no),"-", IF($B6=que,que, pres)))</f>
        <v>Present?</v>
      </c>
      <c r="L6" s="273" t="s">
        <v>148</v>
      </c>
      <c r="M6" s="463"/>
      <c r="N6" s="339" t="str">
        <f>INDEX('Range-thresholds'!$G$6:$G$73,MATCH(A6,'Range-thresholds'!$A$6:$A$73,0))</f>
        <v/>
      </c>
    </row>
    <row r="7" spans="1:14" ht="13" thickBot="1">
      <c r="A7" s="270" t="s">
        <v>151</v>
      </c>
      <c r="B7" s="616"/>
      <c r="C7" s="400"/>
      <c r="D7" s="348" t="s">
        <v>943</v>
      </c>
      <c r="E7" s="460" t="str">
        <f>IF(OR($B7=yes,$B7=yes),'5-4 Int Hg in Industry'!K12, IF(OR($B7=no,$B7=no),"-", IF($B7=que,que, pres)))</f>
        <v>Present?</v>
      </c>
      <c r="F7" s="280" t="str">
        <f>IF(OR($B7=yes,$B7=yes),'5-4 Int Hg in Industry'!V12, IF(OR($B7=no,$B7=no),"-", IF($B7=que,que, pres)))</f>
        <v>Present?</v>
      </c>
      <c r="G7" s="280" t="str">
        <f>IF(OR($B7=yes,$B7=yes),'5-4 Int Hg in Industry'!W12, IF(OR($B7=no,$B7=no),"-", IF($B7=que,que, pres)))</f>
        <v>Present?</v>
      </c>
      <c r="H7" s="280" t="str">
        <f>IF(OR($B7=yes,$B7=yes),'5-4 Int Hg in Industry'!X12, IF(OR($B7=no,$B7=no),"-", IF($B7=que,que, pres)))</f>
        <v>Present?</v>
      </c>
      <c r="I7" s="280" t="str">
        <f>IF(OR($B7=yes,$B7=yes),'5-4 Int Hg in Industry'!Y12, IF(OR($B7=no,$B7=no),"-", IF($B7=que,que, pres)))</f>
        <v>Present?</v>
      </c>
      <c r="J7" s="280" t="str">
        <f>IF(OR($B7=yes,$B7=yes),'5-4 Int Hg in Industry'!Z12, IF(OR($B7=no,$B7=no),"-", IF($B7=que,que, pres)))</f>
        <v>Present?</v>
      </c>
      <c r="K7" s="280" t="str">
        <f>IF(OR($B7=yes,$B7=yes),'5-4 Int Hg in Industry'!AA12, IF(OR($B7=no,$B7=no),"-", IF($B7=que,que, pres)))</f>
        <v>Present?</v>
      </c>
      <c r="L7" s="273" t="s">
        <v>383</v>
      </c>
      <c r="M7" s="463"/>
      <c r="N7" s="339" t="str">
        <f>INDEX('Range-thresholds'!$G$6:$G$73,MATCH(A7,'Range-thresholds'!$A$6:$A$73,0))</f>
        <v/>
      </c>
    </row>
    <row r="8" spans="1:14">
      <c r="A8" s="263"/>
      <c r="B8" s="481"/>
      <c r="C8" s="350"/>
      <c r="D8" s="273"/>
      <c r="E8" s="279"/>
      <c r="F8" s="280"/>
      <c r="G8" s="280"/>
      <c r="H8" s="280"/>
      <c r="I8" s="280"/>
      <c r="J8" s="280"/>
      <c r="K8" s="280"/>
      <c r="L8" s="273"/>
      <c r="M8" s="463"/>
    </row>
    <row r="9" spans="1:14" ht="13.5" thickBot="1">
      <c r="A9" s="265" t="s">
        <v>385</v>
      </c>
      <c r="B9" s="482"/>
      <c r="C9" s="347"/>
      <c r="D9" s="273"/>
      <c r="E9" s="279"/>
      <c r="F9" s="280"/>
      <c r="G9" s="280"/>
      <c r="H9" s="280"/>
      <c r="I9" s="280"/>
      <c r="J9" s="280"/>
      <c r="K9" s="280"/>
      <c r="L9" s="273"/>
      <c r="M9" s="463"/>
    </row>
    <row r="10" spans="1:14">
      <c r="A10" s="275" t="s">
        <v>964</v>
      </c>
      <c r="B10" s="614"/>
      <c r="C10" s="377"/>
      <c r="D10" s="345" t="s">
        <v>944</v>
      </c>
      <c r="E10" s="460" t="str">
        <f>IF(OR($B10=yes,$B10=yes),'5-5 Cons prod'!K7, IF(OR($B10=no,$B10=no),"-", IF($B10=que,que, pres)))</f>
        <v>Present?</v>
      </c>
      <c r="F10" s="280" t="str">
        <f>IF(OR($B10=yes,$B10=yes),'5-5 Cons prod'!V7, IF(OR($B10=no,$B10=no),"-", IF($B10=que,que, pres)))</f>
        <v>Present?</v>
      </c>
      <c r="G10" s="280" t="str">
        <f>IF(OR($B10=yes,$B10=yes),'5-5 Cons prod'!W7, IF(OR($B10=no,$B10=no),"-", IF($B10=que,que, pres)))</f>
        <v>Present?</v>
      </c>
      <c r="H10" s="280" t="str">
        <f>IF(OR($B10=yes,$B10=yes),'5-5 Cons prod'!X7, IF(OR($B10=no,$B10=no),"-", IF($B10=que,que, pres)))</f>
        <v>Present?</v>
      </c>
      <c r="I10" s="280" t="str">
        <f>IF(OR($B10=yes,$B10=yes),'5-5 Cons prod'!Y7, IF(OR($B10=no,$B10=no),"-", IF($B10=que,que, pres)))</f>
        <v>Present?</v>
      </c>
      <c r="J10" s="280" t="str">
        <f>IF(OR($B10=yes,$B10=yes),'5-5 Cons prod'!Z7, IF(OR($B10=no,$B10=no),"-", IF($B10=que,que, pres)))</f>
        <v>Present?</v>
      </c>
      <c r="K10" s="280" t="str">
        <f>IF(OR($B10=yes,$B10=yes),'5-5 Cons prod'!AA7, IF(OR($B10=no,$B10=no),"-", IF($B10=que,que, pres)))</f>
        <v>Present?</v>
      </c>
      <c r="L10" s="273" t="s">
        <v>89</v>
      </c>
      <c r="M10" s="464"/>
      <c r="N10" s="339" t="str">
        <f>INDEX('Range-thresholds'!$G$6:$G$73,MATCH(A10,'Range-thresholds'!$A$6:$A$73,0))</f>
        <v/>
      </c>
    </row>
    <row r="11" spans="1:14">
      <c r="A11" s="275" t="s">
        <v>965</v>
      </c>
      <c r="B11" s="615"/>
      <c r="C11" s="378"/>
      <c r="D11" s="345" t="s">
        <v>944</v>
      </c>
      <c r="E11" s="460" t="str">
        <f>IF(OR($B11=yes,$B11=yes),'5-5 Cons prod'!K19, IF(OR($B11=no,$B11=no),"-", IF($B11=que,que, pres)))</f>
        <v>Present?</v>
      </c>
      <c r="F11" s="280" t="str">
        <f>IF(OR($B11=yes,$B11=yes),'5-5 Cons prod'!V19, IF(OR($B11=no,$B11=no),"-", IF($B11=que,que, pres)))</f>
        <v>Present?</v>
      </c>
      <c r="G11" s="280" t="str">
        <f>IF(OR($B11=yes,$B11=yes),'5-5 Cons prod'!W19, IF(OR($B11=no,$B11=no),"-", IF($B11=que,que, pres)))</f>
        <v>Present?</v>
      </c>
      <c r="H11" s="280" t="str">
        <f>IF(OR($B11=yes,$B11=yes),'5-5 Cons prod'!X19, IF(OR($B11=no,$B11=no),"-", IF($B11=que,que, pres)))</f>
        <v>Present?</v>
      </c>
      <c r="I11" s="280" t="str">
        <f>IF(OR($B11=yes,$B11=yes),'5-5 Cons prod'!Y19, IF(OR($B11=no,$B11=no),"-", IF($B11=que,que, pres)))</f>
        <v>Present?</v>
      </c>
      <c r="J11" s="280" t="str">
        <f>IF(OR($B11=yes,$B11=yes),'5-5 Cons prod'!Z19, IF(OR($B11=no,$B11=no),"-", IF($B11=que,que, pres)))</f>
        <v>Present?</v>
      </c>
      <c r="K11" s="280" t="str">
        <f>IF(OR($B11=yes,$B11=yes),'5-5 Cons prod'!AA19, IF(OR($B11=no,$B11=no),"-", IF($B11=que,que, pres)))</f>
        <v>Present?</v>
      </c>
      <c r="L11" s="273" t="s">
        <v>114</v>
      </c>
      <c r="M11" s="464"/>
      <c r="N11" s="339" t="str">
        <f>INDEX('Range-thresholds'!$G$6:$G$73,MATCH(A11,'Range-thresholds'!$A$6:$A$73,0))</f>
        <v/>
      </c>
    </row>
    <row r="12" spans="1:14" ht="25">
      <c r="A12" s="275" t="s">
        <v>966</v>
      </c>
      <c r="B12" s="615"/>
      <c r="C12" s="378"/>
      <c r="D12" s="345" t="s">
        <v>944</v>
      </c>
      <c r="E12" s="460" t="str">
        <f>IF(OR($B12=yes,$B12=yes),'5-5 Cons prod'!K26, IF(OR($B12=no,$B12=no),"-", IF($B12=que,que, pres)))</f>
        <v>Present?</v>
      </c>
      <c r="F12" s="280" t="str">
        <f>IF(OR($B12=yes,$B12=yes),'5-5 Cons prod'!V26, IF(OR($B12=no,$B12=no),"-", IF($B12=que,que, pres)))</f>
        <v>Present?</v>
      </c>
      <c r="G12" s="280" t="str">
        <f>IF(OR($B12=yes,$B12=yes),'5-5 Cons prod'!W26, IF(OR($B12=no,$B12=no),"-", IF($B12=que,que, pres)))</f>
        <v>Present?</v>
      </c>
      <c r="H12" s="280" t="str">
        <f>IF(OR($B12=yes,$B12=yes),'5-5 Cons prod'!X26, IF(OR($B12=no,$B12=no),"-", IF($B12=que,que, pres)))</f>
        <v>Present?</v>
      </c>
      <c r="I12" s="280" t="str">
        <f>IF(OR($B12=yes,$B12=yes),'5-5 Cons prod'!Y26, IF(OR($B12=no,$B12=no),"-", IF($B12=que,que, pres)))</f>
        <v>Present?</v>
      </c>
      <c r="J12" s="280" t="str">
        <f>IF(OR($B12=yes,$B12=yes),'5-5 Cons prod'!Z26, IF(OR($B12=no,$B12=no),"-", IF($B12=que,que, pres)))</f>
        <v>Present?</v>
      </c>
      <c r="K12" s="280" t="str">
        <f>IF(OR($B12=yes,$B12=yes),'5-5 Cons prod'!AA26, IF(OR($B12=no,$B12=no),"-", IF($B12=que,que, pres)))</f>
        <v>Present?</v>
      </c>
      <c r="L12" s="273" t="s">
        <v>119</v>
      </c>
      <c r="M12" s="463"/>
      <c r="N12" s="339" t="str">
        <f>INDEX('Range-thresholds'!$G$6:$G$73,MATCH(A12,'Range-thresholds'!$A$6:$A$73,0))</f>
        <v/>
      </c>
    </row>
    <row r="13" spans="1:14">
      <c r="A13" s="275" t="s">
        <v>967</v>
      </c>
      <c r="B13" s="615"/>
      <c r="C13" s="378"/>
      <c r="D13" s="345" t="s">
        <v>944</v>
      </c>
      <c r="E13" s="460" t="str">
        <f>IF(OR($B13=yes,$B13=yes),'5-5 Cons prod'!K36, IF(OR($B13=no,$B13=no),"-", IF($B13=que,que, pres)))</f>
        <v>Present?</v>
      </c>
      <c r="F13" s="280" t="str">
        <f>IF(OR($B13=yes,$B13=yes),'5-5 Cons prod'!V36, IF(OR($B13=no,$B13=no),"-", IF($B13=que,que, pres)))</f>
        <v>Present?</v>
      </c>
      <c r="G13" s="280" t="str">
        <f>IF(OR($B13=yes,$B13=yes),'5-5 Cons prod'!W36, IF(OR($B13=no,$B13=no),"-", IF($B13=que,que, pres)))</f>
        <v>Present?</v>
      </c>
      <c r="H13" s="280" t="str">
        <f>IF(OR($B13=yes,$B13=yes),'5-5 Cons prod'!X36, IF(OR($B13=no,$B13=no),"-", IF($B13=que,que, pres)))</f>
        <v>Present?</v>
      </c>
      <c r="I13" s="280" t="str">
        <f>IF(OR($B13=yes,$B13=yes),'5-5 Cons prod'!Y36, IF(OR($B13=no,$B13=no),"-", IF($B13=que,que, pres)))</f>
        <v>Present?</v>
      </c>
      <c r="J13" s="280" t="str">
        <f>IF(OR($B13=yes,$B13=yes),'5-5 Cons prod'!Z36, IF(OR($B13=no,$B13=no),"-", IF($B13=que,que, pres)))</f>
        <v>Present?</v>
      </c>
      <c r="K13" s="280" t="str">
        <f>IF(OR($B13=yes,$B13=yes),'5-5 Cons prod'!AA36, IF(OR($B13=no,$B13=no),"-", IF($B13=que,que, pres)))</f>
        <v>Present?</v>
      </c>
      <c r="L13" s="273" t="s">
        <v>131</v>
      </c>
      <c r="M13" s="463"/>
      <c r="N13" s="339" t="str">
        <f>INDEX('Range-thresholds'!$G$6:$G$73,MATCH(A13,'Range-thresholds'!$A$6:$A$73,0))</f>
        <v/>
      </c>
    </row>
    <row r="14" spans="1:14">
      <c r="A14" s="275" t="s">
        <v>968</v>
      </c>
      <c r="B14" s="615"/>
      <c r="C14" s="378"/>
      <c r="D14" s="345" t="s">
        <v>944</v>
      </c>
      <c r="E14" s="460" t="str">
        <f>IF(OR($B14=yes,$B14=yes),'5-6 Other int use'!N14, IF(OR($B14=no,$B14=no),"-", IF($B14=que,que, pres)))</f>
        <v>Present?</v>
      </c>
      <c r="F14" s="280" t="str">
        <f>IF(OR($B14=yes,$B14=yes),'5-6 Other int use'!V14, IF(OR($B14=no,$B14=no),"-", IF($B14=que,que, pres)))</f>
        <v>Present?</v>
      </c>
      <c r="G14" s="280" t="str">
        <f>IF(OR($B14=yes,$B14=yes),'5-6 Other int use'!W14, IF(OR($B14=no,$B14=no),"-", IF($B14=que,que, pres)))</f>
        <v>Present?</v>
      </c>
      <c r="H14" s="280" t="str">
        <f>IF(OR($B14=yes,$B14=yes),'5-6 Other int use'!X14, IF(OR($B14=no,$B14=no),"-", IF($B14=que,que, pres)))</f>
        <v>Present?</v>
      </c>
      <c r="I14" s="280" t="str">
        <f>IF(OR($B14=yes,$B14=yes),'5-6 Other int use'!Y14, IF(OR($B14=no,$B14=no),"-", IF($B14=que,que, pres)))</f>
        <v>Present?</v>
      </c>
      <c r="J14" s="280" t="str">
        <f>IF(OR($B14=yes,$B14=yes),'5-6 Other int use'!Z14, IF(OR($B14=no,$B14=no),"-", IF($B14=que,que, pres)))</f>
        <v>Present?</v>
      </c>
      <c r="K14" s="280" t="str">
        <f>IF(OR($B14=yes,$B14=yes),'5-6 Other int use'!AA14, IF(OR($B14=no,$B14=no),"-", IF($B14=que,que, pres)))</f>
        <v>Present?</v>
      </c>
      <c r="L14" s="273" t="s">
        <v>225</v>
      </c>
      <c r="M14" s="463"/>
      <c r="N14" s="339" t="str">
        <f>INDEX('Range-thresholds'!$G$6:$G$73,MATCH(A14,'Range-thresholds'!$A$6:$A$73,0))</f>
        <v/>
      </c>
    </row>
    <row r="15" spans="1:14">
      <c r="A15" s="275" t="s">
        <v>969</v>
      </c>
      <c r="B15" s="615"/>
      <c r="C15" s="378"/>
      <c r="D15" s="345" t="s">
        <v>944</v>
      </c>
      <c r="E15" s="460" t="str">
        <f>IF(OR($B15=yes,$B15=yes),'5-5 Cons prod'!K56, IF(OR($B15=no,$B15=no),"-", IF($B15=que,que, pres)))</f>
        <v>Present?</v>
      </c>
      <c r="F15" s="280" t="str">
        <f>IF(OR($B15=yes,$B15=yes),'5-5 Cons prod'!V56, IF(OR($B15=no,$B15=no),"-", IF($B15=que,que, pres)))</f>
        <v>Present?</v>
      </c>
      <c r="G15" s="280" t="str">
        <f>IF(OR($B15=yes,$B15=yes),'5-5 Cons prod'!W56, IF(OR($B15=no,$B15=no),"-", IF($B15=que,que, pres)))</f>
        <v>Present?</v>
      </c>
      <c r="H15" s="280" t="str">
        <f>IF(OR($B15=yes,$B15=yes),'5-5 Cons prod'!X56, IF(OR($B15=no,$B15=no),"-", IF($B15=que,que, pres)))</f>
        <v>Present?</v>
      </c>
      <c r="I15" s="280" t="str">
        <f>IF(OR($B15=yes,$B15=yes),'5-5 Cons prod'!Y56, IF(OR($B15=no,$B15=no),"-", IF($B15=que,que, pres)))</f>
        <v>Present?</v>
      </c>
      <c r="J15" s="280" t="str">
        <f>IF(OR($B15=yes,$B15=yes),'5-5 Cons prod'!Z56, IF(OR($B15=no,$B15=no),"-", IF($B15=que,que, pres)))</f>
        <v>Present?</v>
      </c>
      <c r="K15" s="280" t="str">
        <f>IF(OR($B15=yes,$B15=yes),'5-5 Cons prod'!AA56, IF(OR($B15=no,$B15=no),"-", IF($B15=que,que, pres)))</f>
        <v>Present?</v>
      </c>
      <c r="L15" s="273" t="s">
        <v>130</v>
      </c>
      <c r="M15" s="463"/>
      <c r="N15" s="339" t="str">
        <f>INDEX('Range-thresholds'!$G$6:$G$73,MATCH(A15,'Range-thresholds'!$A$6:$A$73,0))</f>
        <v/>
      </c>
    </row>
    <row r="16" spans="1:14">
      <c r="A16" s="275" t="s">
        <v>970</v>
      </c>
      <c r="B16" s="617"/>
      <c r="C16" s="378"/>
      <c r="D16" s="345" t="s">
        <v>944</v>
      </c>
      <c r="E16" s="460" t="str">
        <f>IF(OR($B16=yes,$B16=yes),'5-5 Cons prod'!K60, IF(OR($B16=no,$B16=no),"-", IF($B16=que,que, pres)))</f>
        <v>Present?</v>
      </c>
      <c r="F16" s="280" t="str">
        <f>IF(OR($B16=yes,$B16=yes),'5-5 Cons prod'!V60, IF(OR($B16=no,$B16=no),"-", IF($B16=que,que, pres)))</f>
        <v>Present?</v>
      </c>
      <c r="G16" s="280" t="str">
        <f>IF(OR($B16=yes,$B16=yes),'5-5 Cons prod'!W60, IF(OR($B16=no,$B16=no),"-", IF($B16=que,que, pres)))</f>
        <v>Present?</v>
      </c>
      <c r="H16" s="280" t="str">
        <f>IF(OR($B16=yes,$B16=yes),'5-5 Cons prod'!X60, IF(OR($B16=no,$B16=no),"-", IF($B16=que,que, pres)))</f>
        <v>Present?</v>
      </c>
      <c r="I16" s="280" t="str">
        <f>IF(OR($B16=yes,$B16=yes),'5-5 Cons prod'!Y60, IF(OR($B16=no,$B16=no),"-", IF($B16=que,que, pres)))</f>
        <v>Present?</v>
      </c>
      <c r="J16" s="280" t="str">
        <f>IF(OR($B16=yes,$B16=yes),'5-5 Cons prod'!Z60, IF(OR($B16=no,$B16=no),"-", IF($B16=que,que, pres)))</f>
        <v>Present?</v>
      </c>
      <c r="K16" s="280" t="str">
        <f>IF(OR($B16=yes,$B16=yes),'5-5 Cons prod'!AA60, IF(OR($B16=no,$B16=no),"-", IF($B16=que,que, pres)))</f>
        <v>Present?</v>
      </c>
      <c r="L16" s="273" t="s">
        <v>139</v>
      </c>
      <c r="M16" s="463"/>
      <c r="N16" s="339" t="str">
        <f>INDEX('Range-thresholds'!$G$6:$G$73,MATCH(A16,'Range-thresholds'!$A$6:$A$73,0))</f>
        <v/>
      </c>
    </row>
    <row r="17" spans="1:14" ht="25.5" thickBot="1">
      <c r="A17" s="275" t="s">
        <v>971</v>
      </c>
      <c r="B17" s="616"/>
      <c r="C17" s="400"/>
      <c r="D17" s="345" t="s">
        <v>944</v>
      </c>
      <c r="E17" s="460" t="str">
        <f>IF(OR($B17=yes,$B17=yes),'5-5 Cons prod'!K64, IF(OR($B17=no,$B17=no),"-", IF($B17=que,que, pres)))</f>
        <v>Present?</v>
      </c>
      <c r="F17" s="280" t="str">
        <f>IF(OR($B17=yes,$B17=yes),'5-5 Cons prod'!V64, IF(OR($B17=no,$B17=no),"-", IF($B17=que,que, pres)))</f>
        <v>Present?</v>
      </c>
      <c r="G17" s="280" t="str">
        <f>IF(OR($B17=yes,$B17=yes),'5-5 Cons prod'!W64, IF(OR($B17=no,$B17=no),"-", IF($B17=que,que, pres)))</f>
        <v>Present?</v>
      </c>
      <c r="H17" s="280" t="str">
        <f>IF(OR($B17=yes,$B17=yes),'5-5 Cons prod'!X64, IF(OR($B17=no,$B17=no),"-", IF($B17=que,que, pres)))</f>
        <v>Present?</v>
      </c>
      <c r="I17" s="280" t="str">
        <f>IF(OR($B17=yes,$B17=yes),'5-5 Cons prod'!Y64, IF(OR($B17=no,$B17=no),"-", IF($B17=que,que, pres)))</f>
        <v>Present?</v>
      </c>
      <c r="J17" s="280" t="str">
        <f>IF(OR($B17=yes,$B17=yes),'5-5 Cons prod'!Z64, IF(OR($B17=no,$B17=no),"-", IF($B17=que,que, pres)))</f>
        <v>Present?</v>
      </c>
      <c r="K17" s="280" t="str">
        <f>IF(OR($B17=yes,$B17=yes),'5-5 Cons prod'!AA64, IF(OR($B17=no,$B17=no),"-", IF($B17=que,que, pres)))</f>
        <v>Present?</v>
      </c>
      <c r="L17" s="273" t="s">
        <v>386</v>
      </c>
      <c r="M17" s="464"/>
      <c r="N17" s="339" t="str">
        <f>INDEX('Range-thresholds'!$G$6:$G$73,MATCH(A17,'Range-thresholds'!$A$6:$A$73,0))</f>
        <v/>
      </c>
    </row>
    <row r="18" spans="1:14">
      <c r="A18" s="358"/>
      <c r="B18" s="359"/>
    </row>
    <row r="19" spans="1:14">
      <c r="A19" s="358"/>
      <c r="B19" s="359"/>
    </row>
    <row r="20" spans="1:14">
      <c r="A20" s="585" t="s">
        <v>979</v>
      </c>
    </row>
    <row r="21" spans="1:14">
      <c r="A21" s="585"/>
    </row>
    <row r="23" spans="1:14">
      <c r="A23" s="560"/>
      <c r="B23" s="584"/>
      <c r="C23" s="560"/>
      <c r="D23" s="560"/>
    </row>
  </sheetData>
  <sheetProtection algorithmName="SHA-512" hashValue="mK/AUD4XxVYsbSEE9fAEyBr7ZuP3c4ZrhJcIxtbt6Q4gRQhc7Rd7lq6zGXGOTXuuAmLcbS35RpKmGMBpKd8QjQ==" saltValue="33w3E5H/6MG65ixhsjT2gQ==" spinCount="100000" sheet="1"/>
  <customSheetViews>
    <customSheetView guid="{EB7FE26D-7077-48F2-8515-D783BE87A220}" fitToPage="1" hiddenColumns="1">
      <selection activeCell="A3" sqref="A3"/>
      <pageMargins left="0.39370078740157483" right="0.39370078740157483" top="0.74803149606299213" bottom="0.74803149606299213" header="0.31496062992125984" footer="0.31496062992125984"/>
      <pageSetup paperSize="9" scale="73" orientation="landscape" r:id="rId1"/>
      <headerFooter>
        <oddFooter>&amp;L&amp;A
Printed &amp;D</oddFooter>
      </headerFooter>
    </customSheetView>
  </customSheetViews>
  <mergeCells count="2">
    <mergeCell ref="F3:K3"/>
    <mergeCell ref="A2:L2"/>
  </mergeCells>
  <conditionalFormatting sqref="A2">
    <cfRule type="expression" dxfId="49" priority="9" stopIfTrue="1">
      <formula>$A$2&lt;&gt;""</formula>
    </cfRule>
  </conditionalFormatting>
  <conditionalFormatting sqref="E10:E17 E5:E7">
    <cfRule type="expression" dxfId="48" priority="135" stopIfTrue="1">
      <formula>AND(B5="y",N5="n")</formula>
    </cfRule>
  </conditionalFormatting>
  <dataValidations xWindow="441" yWindow="461" count="2">
    <dataValidation type="decimal" allowBlank="1" showInputMessage="1" showErrorMessage="1" errorTitle="Input error" error="Use digits and decimal mark only." promptTitle="Input cell" prompt="Use digits and decimal mark only." sqref="C10:C17 C5:C7" xr:uid="{00000000-0002-0000-0600-000000000000}">
      <formula1>-9.99999999999999E+22</formula1>
      <formula2>9.99999999999999E+22</formula2>
    </dataValidation>
    <dataValidation type="list" allowBlank="1" showInputMessage="1" showErrorMessage="1" errorTitle="Input error" error="Enter only y, n or ? (or translation of these)" sqref="B10:B17 B5:B7" xr:uid="{00000000-0002-0000-0600-000001000000}">
      <formula1>yn?</formula1>
    </dataValidation>
  </dataValidations>
  <pageMargins left="0.39370078740157483" right="0.39370078740157483" top="0.74803149606299213" bottom="0.74803149606299213" header="0.31496062992125984" footer="0.31496062992125984"/>
  <pageSetup paperSize="9" scale="73" orientation="landscape" r:id="rId2"/>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6" id="{2DA2B224-945B-4AAB-83A3-2A4A860F2BEE}">
            <xm:f>'Insert IL2 results'!$K$38&lt;&gt;""</xm:f>
            <x14:dxf>
              <font>
                <color rgb="FFFF0000"/>
              </font>
            </x14:dxf>
          </x14:cfRule>
          <xm:sqref>A20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B77"/>
  <sheetViews>
    <sheetView workbookViewId="0"/>
  </sheetViews>
  <sheetFormatPr defaultColWidth="8.81640625" defaultRowHeight="12.5"/>
  <cols>
    <col min="1" max="1" width="3" customWidth="1"/>
    <col min="2" max="2" width="6.1796875" customWidth="1"/>
    <col min="3" max="3" width="40" customWidth="1"/>
    <col min="4" max="4" width="7.36328125" customWidth="1"/>
    <col min="5" max="5" width="14.453125" customWidth="1"/>
    <col min="6" max="6" width="20.6328125" customWidth="1"/>
    <col min="7" max="7" width="10.36328125" customWidth="1"/>
    <col min="8" max="8" width="9.453125" customWidth="1"/>
    <col min="9" max="9" width="12.453125" customWidth="1"/>
    <col min="10" max="10" width="19.1796875" customWidth="1"/>
    <col min="11" max="11" width="11.36328125" customWidth="1"/>
    <col min="12" max="12" width="11.453125" customWidth="1"/>
    <col min="13" max="13" width="21.1796875" style="13" customWidth="1"/>
    <col min="14" max="14" width="9.1796875" style="239"/>
    <col min="16" max="16" width="5.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998</v>
      </c>
      <c r="L1" s="48"/>
      <c r="M1" s="48"/>
      <c r="N1" s="230"/>
    </row>
    <row r="2" spans="1:28" ht="14">
      <c r="A2" s="54" t="s">
        <v>311</v>
      </c>
      <c r="L2" s="48"/>
      <c r="M2" s="48"/>
      <c r="N2" s="230"/>
    </row>
    <row r="3" spans="1:28" s="5" customFormat="1" ht="13">
      <c r="D3" s="7"/>
      <c r="E3" s="7"/>
      <c r="F3" s="7"/>
      <c r="G3" s="7"/>
      <c r="H3" s="7"/>
      <c r="I3" s="7"/>
      <c r="J3" s="7"/>
      <c r="K3" s="7"/>
      <c r="L3" s="30"/>
      <c r="M3" s="30"/>
      <c r="N3" s="254"/>
      <c r="O3" s="7"/>
      <c r="P3" s="65" t="s">
        <v>55</v>
      </c>
      <c r="Q3" s="65"/>
      <c r="R3" s="65"/>
      <c r="S3" s="65"/>
      <c r="T3" s="65"/>
      <c r="U3" s="65"/>
      <c r="V3" s="10" t="s">
        <v>54</v>
      </c>
      <c r="W3" s="102"/>
      <c r="X3" s="102"/>
      <c r="Y3" s="102"/>
      <c r="Z3" s="102"/>
      <c r="AA3" s="102"/>
      <c r="AB3" s="65"/>
    </row>
    <row r="4" spans="1:28" s="143" customFormat="1" ht="26">
      <c r="A4" s="143" t="s">
        <v>52</v>
      </c>
      <c r="B4" s="143" t="s">
        <v>50</v>
      </c>
      <c r="C4" s="133" t="s">
        <v>59</v>
      </c>
      <c r="D4" s="111" t="s">
        <v>153</v>
      </c>
      <c r="E4" s="133" t="s">
        <v>49</v>
      </c>
      <c r="F4" s="142" t="s">
        <v>35</v>
      </c>
      <c r="G4" s="111" t="s">
        <v>37</v>
      </c>
      <c r="H4" s="142" t="s">
        <v>35</v>
      </c>
      <c r="I4" s="111" t="s">
        <v>51</v>
      </c>
      <c r="J4" s="143" t="s">
        <v>35</v>
      </c>
      <c r="K4" s="83" t="s">
        <v>61</v>
      </c>
      <c r="L4" s="142" t="s">
        <v>35</v>
      </c>
      <c r="M4" s="125" t="s">
        <v>209</v>
      </c>
      <c r="N4" s="244" t="s">
        <v>92</v>
      </c>
      <c r="O4" s="142" t="s">
        <v>35</v>
      </c>
      <c r="P4" s="110" t="s">
        <v>38</v>
      </c>
      <c r="Q4" s="110" t="s">
        <v>39</v>
      </c>
      <c r="R4" s="110" t="s">
        <v>40</v>
      </c>
      <c r="S4" s="110" t="s">
        <v>41</v>
      </c>
      <c r="T4" s="111" t="s">
        <v>42</v>
      </c>
      <c r="U4" s="111" t="s">
        <v>227</v>
      </c>
      <c r="V4" s="56" t="s">
        <v>38</v>
      </c>
      <c r="W4" s="56" t="s">
        <v>39</v>
      </c>
      <c r="X4" s="56" t="s">
        <v>40</v>
      </c>
      <c r="Y4" s="56" t="s">
        <v>41</v>
      </c>
      <c r="Z4" s="57" t="s">
        <v>42</v>
      </c>
      <c r="AA4" s="57" t="s">
        <v>227</v>
      </c>
      <c r="AB4" s="110" t="s">
        <v>87</v>
      </c>
    </row>
    <row r="5" spans="1:28" s="128" customFormat="1" ht="26">
      <c r="A5" s="128" t="s">
        <v>145</v>
      </c>
      <c r="C5" s="133" t="s">
        <v>144</v>
      </c>
      <c r="D5" s="110"/>
      <c r="F5" s="127"/>
      <c r="G5" s="75"/>
      <c r="H5" s="127"/>
      <c r="I5" s="252"/>
      <c r="K5" s="112"/>
      <c r="L5" s="127"/>
      <c r="M5" s="122"/>
      <c r="N5" s="246"/>
      <c r="O5" s="127"/>
      <c r="P5" s="283"/>
      <c r="Q5" s="75"/>
      <c r="R5" s="75"/>
      <c r="S5" s="75"/>
      <c r="T5" s="75"/>
      <c r="U5" s="75"/>
      <c r="V5" s="58"/>
      <c r="W5" s="58"/>
      <c r="X5" s="58"/>
      <c r="Y5" s="58"/>
      <c r="Z5" s="58"/>
      <c r="AA5" s="58"/>
      <c r="AB5" s="75"/>
    </row>
    <row r="6" spans="1:28" ht="26">
      <c r="B6" t="s">
        <v>146</v>
      </c>
      <c r="C6" s="12" t="s">
        <v>147</v>
      </c>
      <c r="D6" s="110"/>
      <c r="G6" s="288"/>
      <c r="I6" s="289"/>
      <c r="K6" s="290">
        <f>K7</f>
        <v>0</v>
      </c>
      <c r="L6" s="28"/>
      <c r="M6" s="156" t="s">
        <v>154</v>
      </c>
      <c r="N6" s="246"/>
      <c r="O6" s="3"/>
      <c r="P6" s="75"/>
      <c r="Q6" s="75"/>
      <c r="R6" s="75"/>
      <c r="S6" s="75"/>
      <c r="T6" s="75"/>
      <c r="U6" s="75"/>
      <c r="V6" s="638">
        <f>SUM(V7:V8)</f>
        <v>0</v>
      </c>
      <c r="W6" s="638">
        <f>SUM(W7:W8)</f>
        <v>0</v>
      </c>
      <c r="X6" s="638">
        <f>SUM(X7:X8)</f>
        <v>0</v>
      </c>
      <c r="Y6" s="638">
        <f t="shared" ref="Y6:Z6" si="0">SUM(Y7:Y8)</f>
        <v>0</v>
      </c>
      <c r="Z6" s="638">
        <f t="shared" si="0"/>
        <v>0</v>
      </c>
      <c r="AA6" s="638">
        <f>SUM(AA7:AA8)</f>
        <v>0</v>
      </c>
      <c r="AB6" s="75"/>
    </row>
    <row r="7" spans="1:28" ht="39">
      <c r="C7" s="12"/>
      <c r="D7" s="110"/>
      <c r="E7" s="569" t="s">
        <v>895</v>
      </c>
      <c r="F7" s="294" t="s">
        <v>338</v>
      </c>
      <c r="G7" s="75">
        <v>100</v>
      </c>
      <c r="H7" s="127" t="s">
        <v>338</v>
      </c>
      <c r="I7" s="253">
        <f>'Step4-Industrial Hg use'!C5</f>
        <v>0</v>
      </c>
      <c r="J7" s="128" t="s">
        <v>327</v>
      </c>
      <c r="K7" s="168">
        <f>G7*I7/1000</f>
        <v>0</v>
      </c>
      <c r="L7" s="28" t="s">
        <v>36</v>
      </c>
      <c r="M7" s="157" t="s">
        <v>1058</v>
      </c>
      <c r="N7" s="247"/>
      <c r="O7" s="3"/>
      <c r="P7" s="130">
        <v>0.1</v>
      </c>
      <c r="Q7" s="130">
        <v>0.01</v>
      </c>
      <c r="R7" s="130">
        <v>0.01</v>
      </c>
      <c r="S7" s="130">
        <v>0.01</v>
      </c>
      <c r="T7" s="130"/>
      <c r="U7" s="130">
        <v>0.87</v>
      </c>
      <c r="V7" s="623">
        <f t="shared" ref="V7:AA7" si="1">$N7*P7</f>
        <v>0</v>
      </c>
      <c r="W7" s="623">
        <f t="shared" si="1"/>
        <v>0</v>
      </c>
      <c r="X7" s="623">
        <f t="shared" si="1"/>
        <v>0</v>
      </c>
      <c r="Y7" s="623">
        <f t="shared" si="1"/>
        <v>0</v>
      </c>
      <c r="Z7" s="623">
        <f t="shared" si="1"/>
        <v>0</v>
      </c>
      <c r="AA7" s="623">
        <f t="shared" si="1"/>
        <v>0</v>
      </c>
      <c r="AB7" s="75"/>
    </row>
    <row r="8" spans="1:28" ht="26">
      <c r="C8" s="9"/>
      <c r="D8" s="75"/>
      <c r="E8" s="286"/>
      <c r="F8" s="127"/>
      <c r="G8" s="75"/>
      <c r="H8" s="127"/>
      <c r="I8" s="253"/>
      <c r="J8" s="295"/>
      <c r="K8" s="291"/>
      <c r="L8" s="28"/>
      <c r="M8" s="157" t="s">
        <v>1059</v>
      </c>
      <c r="N8" s="247">
        <f>K7</f>
        <v>0</v>
      </c>
      <c r="O8" s="3"/>
      <c r="P8" s="284">
        <v>0.2</v>
      </c>
      <c r="Q8" s="284">
        <v>0.02</v>
      </c>
      <c r="R8" s="284">
        <v>0.38</v>
      </c>
      <c r="S8" s="284">
        <v>0.1</v>
      </c>
      <c r="T8" s="284"/>
      <c r="U8" s="284">
        <v>0.3</v>
      </c>
      <c r="V8" s="623">
        <f t="shared" ref="V8:V14" si="2">$N8*P8</f>
        <v>0</v>
      </c>
      <c r="W8" s="623">
        <f t="shared" ref="W8:W14" si="3">$N8*Q8</f>
        <v>0</v>
      </c>
      <c r="X8" s="623">
        <f t="shared" ref="X8:X14" si="4">$N8*R8</f>
        <v>0</v>
      </c>
      <c r="Y8" s="623">
        <f t="shared" ref="Y8:Y14" si="5">$N8*S8</f>
        <v>0</v>
      </c>
      <c r="Z8" s="623">
        <f t="shared" ref="Z8:Z14" si="6">$N8*T8</f>
        <v>0</v>
      </c>
      <c r="AA8" s="623">
        <f>$N8*U8</f>
        <v>0</v>
      </c>
      <c r="AB8" s="75"/>
    </row>
    <row r="9" spans="1:28" s="55" customFormat="1" ht="13">
      <c r="C9" s="104"/>
      <c r="D9" s="75"/>
      <c r="G9" s="118"/>
      <c r="I9" s="292"/>
      <c r="K9" s="112"/>
      <c r="M9" s="158"/>
      <c r="N9" s="247"/>
      <c r="O9" s="103"/>
      <c r="P9" s="75"/>
      <c r="Q9" s="75"/>
      <c r="R9" s="75"/>
      <c r="S9" s="75"/>
      <c r="T9" s="75"/>
      <c r="U9" s="75"/>
      <c r="V9" s="113"/>
      <c r="W9" s="113"/>
      <c r="X9" s="113"/>
      <c r="Y9" s="113"/>
      <c r="Z9" s="113"/>
      <c r="AA9" s="113"/>
      <c r="AB9" s="75"/>
    </row>
    <row r="10" spans="1:28" ht="13">
      <c r="A10" s="3"/>
      <c r="B10" s="3" t="s">
        <v>148</v>
      </c>
      <c r="C10" s="26" t="s">
        <v>150</v>
      </c>
      <c r="D10" s="110"/>
      <c r="E10" s="286" t="s">
        <v>149</v>
      </c>
      <c r="F10" s="127" t="s">
        <v>339</v>
      </c>
      <c r="G10" s="75">
        <v>120</v>
      </c>
      <c r="H10" s="127" t="s">
        <v>339</v>
      </c>
      <c r="I10" s="253">
        <f>'Step4-Industrial Hg use'!C6</f>
        <v>0</v>
      </c>
      <c r="J10" s="287" t="s">
        <v>447</v>
      </c>
      <c r="K10" s="168">
        <f>G10*I10/1000</f>
        <v>0</v>
      </c>
      <c r="L10" s="28" t="s">
        <v>36</v>
      </c>
      <c r="M10" s="156"/>
      <c r="N10" s="247">
        <f>K10</f>
        <v>0</v>
      </c>
      <c r="O10" s="3"/>
      <c r="P10" s="129">
        <v>0.02</v>
      </c>
      <c r="Q10" s="129">
        <v>0.02</v>
      </c>
      <c r="R10" s="129"/>
      <c r="S10" s="129">
        <v>0.36</v>
      </c>
      <c r="T10" s="129"/>
      <c r="U10" s="129">
        <v>0.6</v>
      </c>
      <c r="V10" s="113">
        <f t="shared" si="2"/>
        <v>0</v>
      </c>
      <c r="W10" s="113">
        <f t="shared" si="3"/>
        <v>0</v>
      </c>
      <c r="X10" s="113">
        <f t="shared" si="4"/>
        <v>0</v>
      </c>
      <c r="Y10" s="113">
        <f t="shared" si="5"/>
        <v>0</v>
      </c>
      <c r="Z10" s="113">
        <f t="shared" si="6"/>
        <v>0</v>
      </c>
      <c r="AA10" s="113">
        <f t="shared" ref="AA10:AA14" si="7">$N10*U10</f>
        <v>0</v>
      </c>
      <c r="AB10" s="75"/>
    </row>
    <row r="11" spans="1:28" s="55" customFormat="1" ht="13">
      <c r="A11" s="151"/>
      <c r="B11" s="103"/>
      <c r="C11" s="136"/>
      <c r="D11" s="110"/>
      <c r="E11" s="105"/>
      <c r="F11" s="103"/>
      <c r="G11" s="118"/>
      <c r="H11" s="103"/>
      <c r="I11" s="285"/>
      <c r="K11" s="168"/>
      <c r="L11" s="103"/>
      <c r="M11" s="159"/>
      <c r="N11" s="247"/>
      <c r="O11" s="103"/>
      <c r="P11" s="75"/>
      <c r="Q11" s="75"/>
      <c r="R11" s="75"/>
      <c r="S11" s="75"/>
      <c r="T11" s="75"/>
      <c r="U11" s="75"/>
      <c r="V11" s="113"/>
      <c r="W11" s="113"/>
      <c r="X11" s="113"/>
      <c r="Y11" s="113"/>
      <c r="Z11" s="113"/>
      <c r="AA11" s="113"/>
      <c r="AB11" s="75"/>
    </row>
    <row r="12" spans="1:28" s="3" customFormat="1" ht="26">
      <c r="B12" s="36" t="s">
        <v>383</v>
      </c>
      <c r="C12" s="26" t="s">
        <v>151</v>
      </c>
      <c r="D12" s="110"/>
      <c r="E12" s="293" t="s">
        <v>43</v>
      </c>
      <c r="F12" s="127" t="s">
        <v>43</v>
      </c>
      <c r="G12" s="283">
        <v>120</v>
      </c>
      <c r="H12" s="294" t="s">
        <v>446</v>
      </c>
      <c r="I12" s="253">
        <f>'Step4-Industrial Hg use'!C7</f>
        <v>0</v>
      </c>
      <c r="J12" s="287" t="s">
        <v>448</v>
      </c>
      <c r="K12" s="168">
        <f>G12*I12/1000</f>
        <v>0</v>
      </c>
      <c r="L12" s="28" t="s">
        <v>36</v>
      </c>
      <c r="M12" s="156"/>
      <c r="N12" s="247">
        <f>K12</f>
        <v>0</v>
      </c>
      <c r="P12" s="337">
        <v>0.02</v>
      </c>
      <c r="Q12" s="337">
        <v>0.02</v>
      </c>
      <c r="R12" s="337"/>
      <c r="S12" s="337">
        <v>0.36</v>
      </c>
      <c r="T12" s="337"/>
      <c r="U12" s="337">
        <v>0.6</v>
      </c>
      <c r="V12" s="113">
        <f t="shared" si="2"/>
        <v>0</v>
      </c>
      <c r="W12" s="113">
        <f t="shared" si="3"/>
        <v>0</v>
      </c>
      <c r="X12" s="113">
        <f t="shared" si="4"/>
        <v>0</v>
      </c>
      <c r="Y12" s="113">
        <f t="shared" si="5"/>
        <v>0</v>
      </c>
      <c r="Z12" s="113">
        <f t="shared" si="6"/>
        <v>0</v>
      </c>
      <c r="AA12" s="113">
        <f t="shared" si="7"/>
        <v>0</v>
      </c>
      <c r="AB12" s="75"/>
    </row>
    <row r="13" spans="1:28" s="103" customFormat="1" ht="13">
      <c r="A13" s="138"/>
      <c r="C13" s="136"/>
      <c r="D13" s="110"/>
      <c r="G13" s="118"/>
      <c r="I13" s="292"/>
      <c r="K13" s="120"/>
      <c r="M13" s="158"/>
      <c r="N13" s="247"/>
      <c r="P13" s="75"/>
      <c r="Q13" s="75"/>
      <c r="R13" s="75"/>
      <c r="S13" s="75"/>
      <c r="T13" s="75"/>
      <c r="U13" s="75"/>
      <c r="V13" s="113"/>
      <c r="W13" s="113"/>
      <c r="X13" s="113"/>
      <c r="Y13" s="113"/>
      <c r="Z13" s="113"/>
      <c r="AA13" s="113"/>
      <c r="AB13" s="75"/>
    </row>
    <row r="14" spans="1:28" s="127" customFormat="1" ht="26">
      <c r="B14" s="294" t="s">
        <v>384</v>
      </c>
      <c r="C14" s="150" t="s">
        <v>152</v>
      </c>
      <c r="D14" s="110"/>
      <c r="E14" s="127" t="s">
        <v>43</v>
      </c>
      <c r="F14" s="127" t="s">
        <v>43</v>
      </c>
      <c r="G14" s="75" t="s">
        <v>43</v>
      </c>
      <c r="H14" s="127" t="s">
        <v>43</v>
      </c>
      <c r="I14" s="252" t="s">
        <v>43</v>
      </c>
      <c r="J14" s="127" t="s">
        <v>43</v>
      </c>
      <c r="K14" s="112" t="s">
        <v>43</v>
      </c>
      <c r="L14" s="127" t="s">
        <v>36</v>
      </c>
      <c r="M14" s="122"/>
      <c r="N14" s="247"/>
      <c r="P14" s="75" t="s">
        <v>43</v>
      </c>
      <c r="Q14" s="75" t="s">
        <v>43</v>
      </c>
      <c r="R14" s="75" t="s">
        <v>43</v>
      </c>
      <c r="S14" s="75" t="s">
        <v>43</v>
      </c>
      <c r="T14" s="75" t="s">
        <v>43</v>
      </c>
      <c r="U14" s="75" t="s">
        <v>43</v>
      </c>
      <c r="V14" s="113" t="e">
        <f t="shared" si="2"/>
        <v>#VALUE!</v>
      </c>
      <c r="W14" s="113" t="e">
        <f t="shared" si="3"/>
        <v>#VALUE!</v>
      </c>
      <c r="X14" s="113" t="e">
        <f t="shared" si="4"/>
        <v>#VALUE!</v>
      </c>
      <c r="Y14" s="113" t="e">
        <f t="shared" si="5"/>
        <v>#VALUE!</v>
      </c>
      <c r="Z14" s="113" t="e">
        <f t="shared" si="6"/>
        <v>#VALUE!</v>
      </c>
      <c r="AA14" s="113" t="e">
        <f t="shared" si="7"/>
        <v>#VALUE!</v>
      </c>
      <c r="AB14" s="75"/>
    </row>
    <row r="15" spans="1:28" s="3" customFormat="1" ht="13">
      <c r="C15" s="3" t="s">
        <v>280</v>
      </c>
      <c r="E15" s="11"/>
      <c r="I15" s="20"/>
      <c r="K15" s="21"/>
      <c r="M15" s="28"/>
      <c r="N15" s="255"/>
      <c r="O15" s="28"/>
      <c r="P15" s="23"/>
      <c r="Q15" s="23"/>
      <c r="R15" s="24"/>
      <c r="S15" s="24"/>
      <c r="T15" s="23"/>
      <c r="V15" s="22"/>
      <c r="W15" s="22"/>
      <c r="X15" s="22"/>
      <c r="Y15" s="22"/>
      <c r="Z15" s="22"/>
      <c r="AA15" s="22"/>
    </row>
    <row r="16" spans="1:28" s="3" customFormat="1" ht="13">
      <c r="C16" s="231" t="s">
        <v>1060</v>
      </c>
      <c r="E16" s="11"/>
      <c r="I16" s="20"/>
      <c r="K16" s="21"/>
      <c r="M16" s="28"/>
      <c r="N16" s="255"/>
      <c r="O16" s="28"/>
      <c r="P16" s="23"/>
      <c r="Q16" s="23"/>
      <c r="R16" s="24"/>
      <c r="S16" s="24"/>
      <c r="T16" s="23"/>
      <c r="V16" s="22"/>
      <c r="W16" s="22"/>
      <c r="X16" s="22"/>
      <c r="Y16" s="22"/>
      <c r="Z16" s="22"/>
      <c r="AA16" s="22"/>
    </row>
    <row r="17" spans="3:27" s="3" customFormat="1" ht="13">
      <c r="C17" s="36" t="s">
        <v>316</v>
      </c>
      <c r="E17" s="11"/>
      <c r="I17" s="20"/>
      <c r="K17" s="21"/>
      <c r="M17" s="30"/>
      <c r="N17" s="255"/>
      <c r="O17" s="28"/>
      <c r="P17" s="23"/>
      <c r="Q17" s="23"/>
      <c r="R17" s="24"/>
      <c r="S17" s="24"/>
      <c r="T17" s="23"/>
      <c r="V17" s="22"/>
      <c r="W17" s="22"/>
      <c r="X17" s="22"/>
      <c r="Y17" s="22"/>
      <c r="Z17" s="22"/>
      <c r="AA17" s="22"/>
    </row>
    <row r="18" spans="3:27" s="3" customFormat="1" ht="13">
      <c r="E18" s="11"/>
      <c r="I18" s="20"/>
      <c r="K18" s="21"/>
      <c r="M18" s="30"/>
      <c r="N18" s="255"/>
      <c r="O18" s="28"/>
      <c r="P18" s="23"/>
      <c r="Q18" s="23"/>
      <c r="R18" s="24"/>
      <c r="S18" s="24"/>
      <c r="T18" s="23"/>
      <c r="V18" s="22"/>
      <c r="W18" s="22"/>
      <c r="X18" s="22"/>
      <c r="Y18" s="22"/>
      <c r="Z18" s="22"/>
      <c r="AA18" s="22"/>
    </row>
    <row r="19" spans="3:27" s="3" customFormat="1" ht="13">
      <c r="E19" s="11"/>
      <c r="I19" s="20"/>
      <c r="K19" s="21"/>
      <c r="M19" s="31"/>
      <c r="N19" s="255"/>
      <c r="O19" s="28"/>
      <c r="P19" s="23"/>
      <c r="Q19" s="23"/>
      <c r="R19" s="24"/>
      <c r="S19" s="24"/>
      <c r="T19" s="23"/>
      <c r="V19" s="22"/>
      <c r="W19" s="22"/>
      <c r="X19" s="22"/>
      <c r="Y19" s="22"/>
      <c r="Z19" s="22"/>
      <c r="AA19" s="22"/>
    </row>
    <row r="20" spans="3:27" s="3" customFormat="1" ht="13">
      <c r="C20" s="7"/>
      <c r="D20" s="7"/>
      <c r="E20" s="11"/>
      <c r="I20" s="20"/>
      <c r="K20" s="21"/>
      <c r="M20" s="29"/>
      <c r="N20" s="255"/>
      <c r="O20" s="28"/>
      <c r="P20" s="23"/>
      <c r="Q20" s="23"/>
      <c r="R20" s="24"/>
      <c r="S20" s="24"/>
      <c r="T20" s="23"/>
      <c r="V20" s="25"/>
      <c r="W20" s="25"/>
      <c r="X20" s="25"/>
      <c r="Y20" s="25"/>
      <c r="Z20" s="25"/>
      <c r="AA20" s="25"/>
    </row>
    <row r="21" spans="3:27" s="3" customFormat="1" ht="13">
      <c r="C21" s="7"/>
      <c r="D21" s="7"/>
      <c r="E21" s="11"/>
      <c r="I21" s="20"/>
      <c r="K21" s="21"/>
      <c r="M21" s="29"/>
      <c r="N21" s="255"/>
      <c r="O21" s="28"/>
      <c r="P21" s="23"/>
      <c r="Q21" s="23"/>
      <c r="R21" s="24"/>
      <c r="S21" s="24"/>
      <c r="T21" s="23"/>
      <c r="V21" s="22"/>
      <c r="W21" s="22"/>
      <c r="X21" s="22"/>
      <c r="Y21" s="22"/>
      <c r="Z21" s="22"/>
      <c r="AA21" s="22"/>
    </row>
    <row r="22" spans="3:27" s="3" customFormat="1" ht="13">
      <c r="C22" s="7"/>
      <c r="D22" s="7"/>
      <c r="E22" s="11"/>
      <c r="I22" s="20"/>
      <c r="K22" s="22"/>
      <c r="M22" s="29"/>
      <c r="N22" s="255"/>
      <c r="O22" s="28"/>
      <c r="P22" s="23"/>
      <c r="Q22" s="23"/>
      <c r="R22" s="24"/>
      <c r="S22" s="24"/>
      <c r="T22" s="23"/>
      <c r="V22" s="22"/>
      <c r="W22" s="22"/>
      <c r="X22" s="22"/>
      <c r="Y22" s="22"/>
      <c r="Z22" s="22"/>
      <c r="AA22" s="22"/>
    </row>
    <row r="23" spans="3:27" s="3" customFormat="1" ht="13">
      <c r="E23" s="11"/>
      <c r="I23" s="20"/>
      <c r="K23" s="22"/>
      <c r="M23" s="29"/>
      <c r="N23" s="255"/>
      <c r="O23" s="28"/>
      <c r="P23" s="23"/>
      <c r="Q23" s="23"/>
      <c r="R23" s="24"/>
      <c r="S23" s="24"/>
      <c r="T23" s="23"/>
      <c r="V23" s="22"/>
      <c r="W23" s="22"/>
      <c r="X23" s="22"/>
      <c r="Y23" s="22"/>
      <c r="Z23" s="22"/>
      <c r="AA23" s="22"/>
    </row>
    <row r="24" spans="3:27" s="3" customFormat="1" ht="13">
      <c r="E24" s="11"/>
      <c r="I24" s="20"/>
      <c r="K24" s="22"/>
      <c r="M24" s="30"/>
      <c r="N24" s="255"/>
      <c r="O24" s="28"/>
      <c r="P24" s="23"/>
      <c r="Q24" s="23"/>
      <c r="R24" s="24"/>
      <c r="S24" s="24"/>
      <c r="T24" s="23"/>
      <c r="V24" s="22"/>
      <c r="W24" s="22"/>
      <c r="X24" s="22"/>
      <c r="Y24" s="22"/>
      <c r="Z24" s="22"/>
      <c r="AA24" s="22"/>
    </row>
    <row r="25" spans="3:27" s="3" customFormat="1" ht="13">
      <c r="E25" s="11"/>
      <c r="I25" s="20"/>
      <c r="K25" s="22"/>
      <c r="M25" s="30"/>
      <c r="N25" s="255"/>
      <c r="O25" s="28"/>
      <c r="P25" s="23"/>
      <c r="Q25" s="23"/>
      <c r="R25" s="24"/>
      <c r="S25" s="24"/>
      <c r="T25" s="23"/>
      <c r="V25" s="22"/>
      <c r="W25" s="22"/>
      <c r="X25" s="22"/>
      <c r="Y25" s="22"/>
      <c r="Z25" s="22"/>
      <c r="AA25" s="22"/>
    </row>
    <row r="26" spans="3:27" s="3" customFormat="1" ht="13">
      <c r="C26" s="7"/>
      <c r="D26" s="7"/>
      <c r="E26" s="11"/>
      <c r="I26" s="20"/>
      <c r="K26" s="22"/>
      <c r="M26" s="31"/>
      <c r="N26" s="255"/>
      <c r="O26" s="28"/>
      <c r="P26" s="23"/>
      <c r="Q26" s="23"/>
      <c r="R26" s="24"/>
      <c r="S26" s="24"/>
      <c r="T26" s="23"/>
      <c r="V26" s="22"/>
      <c r="W26" s="22"/>
      <c r="X26" s="22"/>
      <c r="Y26" s="22"/>
      <c r="Z26" s="22"/>
      <c r="AA26" s="22"/>
    </row>
    <row r="27" spans="3:27" s="3" customFormat="1" ht="13">
      <c r="C27" s="26"/>
      <c r="D27" s="26"/>
      <c r="E27" s="11"/>
      <c r="I27" s="20"/>
      <c r="K27" s="22"/>
      <c r="M27" s="29"/>
      <c r="N27" s="255"/>
      <c r="O27" s="28"/>
      <c r="P27" s="23"/>
      <c r="Q27" s="23"/>
      <c r="R27" s="24"/>
      <c r="S27" s="24"/>
      <c r="T27" s="23"/>
      <c r="V27" s="22"/>
      <c r="W27" s="22"/>
      <c r="X27" s="22"/>
      <c r="Y27" s="22"/>
      <c r="Z27" s="22"/>
      <c r="AA27" s="22"/>
    </row>
    <row r="28" spans="3:27" s="3" customFormat="1" ht="13">
      <c r="E28" s="11"/>
      <c r="I28" s="20"/>
      <c r="K28" s="22"/>
      <c r="M28" s="29"/>
      <c r="N28" s="255"/>
      <c r="O28" s="28"/>
      <c r="P28" s="23"/>
      <c r="Q28" s="23"/>
      <c r="R28" s="24"/>
      <c r="S28" s="24"/>
      <c r="T28" s="23"/>
      <c r="V28" s="22"/>
      <c r="W28" s="22"/>
      <c r="X28" s="22"/>
      <c r="Y28" s="22"/>
      <c r="Z28" s="22"/>
      <c r="AA28" s="22"/>
    </row>
    <row r="29" spans="3:27" s="3" customFormat="1" ht="13">
      <c r="E29" s="11"/>
      <c r="I29" s="20"/>
      <c r="K29" s="22"/>
      <c r="M29" s="29"/>
      <c r="N29" s="255"/>
      <c r="O29" s="28"/>
      <c r="P29" s="23"/>
      <c r="Q29" s="23"/>
      <c r="R29" s="24"/>
      <c r="S29" s="24"/>
      <c r="T29" s="23"/>
      <c r="V29" s="22"/>
      <c r="W29" s="22"/>
      <c r="X29" s="22"/>
      <c r="Y29" s="22"/>
      <c r="Z29" s="22"/>
      <c r="AA29" s="22"/>
    </row>
    <row r="30" spans="3:27" s="3" customFormat="1" ht="13">
      <c r="E30" s="11"/>
      <c r="I30" s="20"/>
      <c r="K30" s="22"/>
      <c r="M30" s="28"/>
      <c r="N30" s="255"/>
      <c r="O30" s="28"/>
      <c r="P30" s="23"/>
      <c r="Q30" s="23"/>
      <c r="R30" s="24"/>
      <c r="S30" s="24"/>
      <c r="T30" s="23"/>
      <c r="V30" s="22"/>
      <c r="W30" s="22"/>
      <c r="X30" s="22"/>
      <c r="Y30" s="22"/>
      <c r="Z30" s="22"/>
      <c r="AA30" s="22"/>
    </row>
    <row r="31" spans="3:27" s="3" customFormat="1" ht="13">
      <c r="E31" s="11"/>
      <c r="I31" s="20"/>
      <c r="K31" s="21"/>
      <c r="M31" s="29"/>
      <c r="N31" s="255"/>
      <c r="O31" s="28"/>
      <c r="P31" s="23"/>
      <c r="Q31" s="23"/>
      <c r="R31" s="24"/>
      <c r="S31" s="24"/>
      <c r="T31" s="23"/>
      <c r="V31" s="22"/>
      <c r="W31" s="22"/>
      <c r="X31" s="22"/>
      <c r="Y31" s="22"/>
      <c r="Z31" s="22"/>
      <c r="AA31" s="22"/>
    </row>
    <row r="32" spans="3:27" s="3" customFormat="1" ht="13">
      <c r="E32" s="11"/>
      <c r="I32" s="20"/>
      <c r="K32" s="21"/>
      <c r="M32" s="29"/>
      <c r="N32" s="255"/>
      <c r="O32" s="28"/>
      <c r="P32" s="23"/>
      <c r="Q32" s="23"/>
      <c r="R32" s="24"/>
      <c r="S32" s="24"/>
      <c r="T32" s="23"/>
      <c r="V32" s="22"/>
      <c r="W32" s="22"/>
      <c r="X32" s="22"/>
      <c r="Y32" s="22"/>
      <c r="Z32" s="22"/>
      <c r="AA32" s="22"/>
    </row>
    <row r="33" spans="3:27" s="3" customFormat="1" ht="13">
      <c r="C33" s="7"/>
      <c r="D33" s="7"/>
      <c r="E33" s="11"/>
      <c r="I33" s="20"/>
      <c r="K33" s="21"/>
      <c r="M33" s="29"/>
      <c r="N33" s="255"/>
      <c r="O33" s="28"/>
      <c r="P33" s="23"/>
      <c r="Q33" s="23"/>
      <c r="R33" s="24"/>
      <c r="S33" s="24"/>
      <c r="T33" s="23"/>
      <c r="V33" s="25"/>
      <c r="W33" s="25"/>
      <c r="X33" s="25"/>
      <c r="Y33" s="25"/>
      <c r="Z33" s="25"/>
      <c r="AA33" s="25"/>
    </row>
    <row r="34" spans="3:27" s="3" customFormat="1" ht="13">
      <c r="C34" s="7"/>
      <c r="D34" s="7"/>
      <c r="E34" s="11"/>
      <c r="I34" s="20"/>
      <c r="K34" s="21"/>
      <c r="M34" s="30"/>
      <c r="N34" s="255"/>
      <c r="O34" s="28"/>
      <c r="P34" s="23"/>
      <c r="Q34" s="23"/>
      <c r="R34" s="23"/>
      <c r="S34" s="23"/>
      <c r="T34" s="23"/>
      <c r="U34" s="23"/>
      <c r="V34" s="22"/>
      <c r="W34" s="22"/>
      <c r="X34" s="22"/>
      <c r="Y34" s="22"/>
      <c r="Z34" s="22"/>
      <c r="AA34" s="22"/>
    </row>
    <row r="35" spans="3:27" s="3" customFormat="1" ht="13">
      <c r="C35" s="7"/>
      <c r="D35" s="7"/>
      <c r="E35" s="11"/>
      <c r="I35" s="20"/>
      <c r="K35" s="21"/>
      <c r="M35" s="30"/>
      <c r="N35" s="255"/>
      <c r="O35" s="28"/>
      <c r="P35" s="23"/>
      <c r="Q35" s="23"/>
      <c r="R35" s="24"/>
      <c r="S35" s="24"/>
      <c r="T35" s="23"/>
      <c r="V35" s="22"/>
      <c r="W35" s="22"/>
      <c r="X35" s="22"/>
      <c r="Y35" s="22"/>
      <c r="Z35" s="22"/>
      <c r="AA35" s="22"/>
    </row>
    <row r="36" spans="3:27" s="3" customFormat="1" ht="13">
      <c r="C36" s="7"/>
      <c r="D36" s="7"/>
      <c r="E36" s="11"/>
      <c r="I36" s="20"/>
      <c r="K36" s="21"/>
      <c r="M36" s="29"/>
      <c r="N36" s="255"/>
      <c r="O36" s="28"/>
      <c r="P36" s="23"/>
      <c r="Q36" s="23"/>
      <c r="R36" s="24"/>
      <c r="S36" s="24"/>
      <c r="T36" s="23"/>
      <c r="V36" s="22"/>
      <c r="W36" s="22"/>
      <c r="X36" s="22"/>
      <c r="Y36" s="22"/>
      <c r="Z36" s="22"/>
      <c r="AA36" s="22"/>
    </row>
    <row r="37" spans="3:27" s="3" customFormat="1" ht="13">
      <c r="E37" s="11"/>
      <c r="I37" s="20"/>
      <c r="K37" s="21"/>
      <c r="M37" s="29"/>
      <c r="N37" s="255"/>
      <c r="O37" s="28"/>
      <c r="P37" s="23"/>
      <c r="Q37" s="23"/>
      <c r="R37" s="24"/>
      <c r="S37" s="24"/>
      <c r="T37" s="23"/>
      <c r="V37" s="22"/>
      <c r="W37" s="22"/>
      <c r="X37" s="22"/>
      <c r="Y37" s="22"/>
      <c r="Z37" s="22"/>
      <c r="AA37" s="22"/>
    </row>
    <row r="38" spans="3:27" s="3" customFormat="1" ht="13">
      <c r="E38" s="11"/>
      <c r="I38" s="20"/>
      <c r="K38" s="21"/>
      <c r="M38" s="29"/>
      <c r="N38" s="255"/>
      <c r="O38" s="28"/>
      <c r="P38" s="23"/>
      <c r="Q38" s="23"/>
      <c r="R38" s="24"/>
      <c r="S38" s="24"/>
      <c r="T38" s="23"/>
      <c r="V38" s="22"/>
      <c r="W38" s="22"/>
      <c r="X38" s="22"/>
      <c r="Y38" s="22"/>
      <c r="Z38" s="22"/>
      <c r="AA38" s="22"/>
    </row>
    <row r="39" spans="3:27" s="3" customFormat="1" ht="13">
      <c r="C39" s="7"/>
      <c r="D39" s="7"/>
      <c r="E39" s="11"/>
      <c r="I39" s="20"/>
      <c r="K39" s="21"/>
      <c r="M39" s="28"/>
      <c r="N39" s="255"/>
      <c r="O39" s="28"/>
      <c r="P39" s="23"/>
      <c r="Q39" s="23"/>
      <c r="R39" s="24"/>
      <c r="S39" s="24"/>
      <c r="T39" s="23"/>
      <c r="V39" s="25"/>
      <c r="W39" s="25"/>
      <c r="X39" s="25"/>
      <c r="Y39" s="25"/>
      <c r="Z39" s="25"/>
      <c r="AA39" s="25"/>
    </row>
    <row r="40" spans="3:27" s="3" customFormat="1" ht="13">
      <c r="C40" s="7"/>
      <c r="D40" s="7"/>
      <c r="E40" s="11"/>
      <c r="I40" s="20"/>
      <c r="K40" s="21"/>
      <c r="M40" s="28"/>
      <c r="N40" s="255"/>
      <c r="O40" s="28"/>
      <c r="P40" s="23"/>
      <c r="Q40" s="23"/>
      <c r="R40" s="24"/>
      <c r="S40" s="24"/>
      <c r="T40" s="23"/>
      <c r="V40" s="22"/>
      <c r="W40" s="22"/>
      <c r="X40" s="22"/>
      <c r="Y40" s="22"/>
      <c r="Z40" s="22"/>
      <c r="AA40" s="22"/>
    </row>
    <row r="41" spans="3:27" s="3" customFormat="1" ht="13">
      <c r="C41" s="7"/>
      <c r="D41" s="7"/>
      <c r="I41" s="19"/>
      <c r="M41" s="31"/>
      <c r="N41" s="255"/>
      <c r="O41" s="28"/>
      <c r="P41" s="23"/>
      <c r="Q41" s="23"/>
      <c r="R41" s="24"/>
      <c r="S41" s="24"/>
      <c r="T41" s="23"/>
      <c r="V41" s="22"/>
      <c r="W41" s="22"/>
      <c r="X41" s="22"/>
      <c r="Y41" s="22"/>
      <c r="Z41" s="22"/>
      <c r="AA41" s="22"/>
    </row>
    <row r="42" spans="3:27" s="3" customFormat="1" ht="13">
      <c r="C42" s="7"/>
      <c r="D42" s="7"/>
      <c r="I42" s="19"/>
      <c r="M42" s="29"/>
      <c r="N42" s="255"/>
      <c r="O42" s="28"/>
    </row>
    <row r="43" spans="3:27" s="3" customFormat="1" ht="13">
      <c r="I43" s="19"/>
      <c r="M43" s="29"/>
      <c r="N43" s="255"/>
      <c r="O43" s="28"/>
    </row>
    <row r="44" spans="3:27" s="3" customFormat="1" ht="13">
      <c r="I44" s="19"/>
      <c r="M44" s="29"/>
      <c r="N44" s="255"/>
      <c r="O44" s="28"/>
    </row>
    <row r="45" spans="3:27" s="3" customFormat="1" ht="13">
      <c r="C45" s="7"/>
      <c r="D45" s="7"/>
      <c r="I45" s="19"/>
      <c r="M45" s="28"/>
      <c r="N45" s="255"/>
      <c r="O45" s="28"/>
    </row>
    <row r="46" spans="3:27" s="3" customFormat="1">
      <c r="I46" s="19"/>
      <c r="M46" s="28"/>
      <c r="N46" s="255"/>
      <c r="O46" s="28"/>
    </row>
    <row r="47" spans="3:27" s="3" customFormat="1">
      <c r="I47" s="19"/>
      <c r="M47" s="28"/>
      <c r="N47" s="255"/>
      <c r="O47" s="28"/>
    </row>
    <row r="48" spans="3:27" s="3" customFormat="1" ht="13">
      <c r="I48" s="19"/>
      <c r="M48" s="30"/>
      <c r="N48" s="255"/>
      <c r="O48" s="28"/>
    </row>
    <row r="49" spans="3:15" s="3" customFormat="1" ht="13">
      <c r="C49" s="7"/>
      <c r="D49" s="7"/>
      <c r="I49" s="19"/>
      <c r="M49" s="30"/>
      <c r="N49" s="255"/>
      <c r="O49" s="28"/>
    </row>
    <row r="50" spans="3:15" s="3" customFormat="1" ht="13">
      <c r="I50" s="19"/>
      <c r="M50" s="31"/>
      <c r="N50" s="255"/>
      <c r="O50" s="28"/>
    </row>
    <row r="51" spans="3:15" s="3" customFormat="1" ht="13">
      <c r="I51" s="19"/>
      <c r="M51" s="31"/>
      <c r="N51" s="255"/>
      <c r="O51" s="28"/>
    </row>
    <row r="52" spans="3:15" s="3" customFormat="1" ht="13">
      <c r="I52" s="19"/>
      <c r="M52" s="30"/>
      <c r="N52" s="255"/>
      <c r="O52" s="28"/>
    </row>
    <row r="53" spans="3:15" s="3" customFormat="1" ht="13">
      <c r="I53" s="19"/>
      <c r="M53" s="30"/>
      <c r="N53" s="255"/>
      <c r="O53" s="28"/>
    </row>
    <row r="54" spans="3:15" s="3" customFormat="1" ht="13">
      <c r="I54" s="19"/>
      <c r="M54" s="31"/>
      <c r="N54" s="255"/>
      <c r="O54" s="17"/>
    </row>
    <row r="55" spans="3:15" s="3" customFormat="1" ht="13">
      <c r="I55" s="19"/>
      <c r="M55" s="31"/>
      <c r="N55" s="255"/>
      <c r="O55" s="28"/>
    </row>
    <row r="56" spans="3:15" s="3" customFormat="1" ht="13">
      <c r="I56" s="19"/>
      <c r="M56" s="30"/>
      <c r="N56" s="255"/>
      <c r="O56" s="28"/>
    </row>
    <row r="57" spans="3:15" s="3" customFormat="1" ht="13">
      <c r="I57" s="19"/>
      <c r="M57" s="30"/>
      <c r="N57" s="255"/>
      <c r="O57" s="28"/>
    </row>
    <row r="58" spans="3:15" s="3" customFormat="1" ht="13">
      <c r="I58" s="19"/>
      <c r="M58" s="31"/>
      <c r="N58" s="255"/>
      <c r="O58" s="17"/>
    </row>
    <row r="59" spans="3:15" s="3" customFormat="1" ht="13">
      <c r="I59" s="19"/>
      <c r="M59" s="31"/>
      <c r="N59" s="256"/>
      <c r="O59" s="28"/>
    </row>
    <row r="60" spans="3:15" s="3" customFormat="1" ht="13">
      <c r="I60" s="19"/>
      <c r="M60" s="31"/>
      <c r="N60" s="256"/>
      <c r="O60" s="28"/>
    </row>
    <row r="61" spans="3:15" s="3" customFormat="1" ht="13">
      <c r="I61" s="19"/>
      <c r="M61" s="31"/>
      <c r="N61" s="256"/>
      <c r="O61" s="28"/>
    </row>
    <row r="62" spans="3:15" s="3" customFormat="1" ht="13">
      <c r="I62" s="19"/>
      <c r="M62" s="31"/>
      <c r="N62" s="256"/>
      <c r="O62" s="28"/>
    </row>
    <row r="63" spans="3:15" s="3" customFormat="1" ht="13">
      <c r="I63" s="19"/>
      <c r="M63" s="31"/>
      <c r="N63" s="256"/>
      <c r="O63" s="28"/>
    </row>
    <row r="64" spans="3:15" s="3" customFormat="1" ht="13">
      <c r="I64" s="19"/>
      <c r="M64" s="31"/>
      <c r="N64" s="256"/>
      <c r="O64" s="28"/>
    </row>
    <row r="65" spans="3:15" s="3" customFormat="1" ht="13">
      <c r="I65" s="19"/>
      <c r="M65" s="31"/>
      <c r="N65" s="256"/>
      <c r="O65" s="28"/>
    </row>
    <row r="66" spans="3:15" s="3" customFormat="1" ht="13">
      <c r="M66" s="31"/>
      <c r="N66" s="256"/>
      <c r="O66" s="28"/>
    </row>
    <row r="67" spans="3:15" s="3" customFormat="1" ht="13">
      <c r="M67" s="29"/>
      <c r="N67" s="256"/>
      <c r="O67" s="28"/>
    </row>
    <row r="68" spans="3:15" s="3" customFormat="1" ht="13">
      <c r="M68" s="29"/>
      <c r="N68" s="256"/>
      <c r="O68" s="28"/>
    </row>
    <row r="69" spans="3:15" s="3" customFormat="1" ht="13">
      <c r="C69" s="7"/>
      <c r="D69" s="7"/>
      <c r="M69" s="29"/>
      <c r="N69" s="256"/>
      <c r="O69" s="28"/>
    </row>
    <row r="70" spans="3:15" s="3" customFormat="1">
      <c r="M70" s="28"/>
      <c r="N70" s="256"/>
      <c r="O70" s="28"/>
    </row>
    <row r="71" spans="3:15" s="3" customFormat="1">
      <c r="M71" s="28"/>
      <c r="N71" s="256"/>
      <c r="O71" s="28"/>
    </row>
    <row r="72" spans="3:15">
      <c r="M72" s="28"/>
      <c r="N72" s="256"/>
      <c r="O72" s="28"/>
    </row>
    <row r="73" spans="3:15" ht="13">
      <c r="M73" s="30"/>
      <c r="N73" s="256"/>
      <c r="O73" s="28"/>
    </row>
    <row r="74" spans="3:15" ht="13">
      <c r="M74" s="30"/>
      <c r="N74" s="255"/>
      <c r="O74" s="28"/>
    </row>
    <row r="75" spans="3:15">
      <c r="M75" s="28"/>
      <c r="N75" s="256"/>
      <c r="O75" s="28"/>
    </row>
    <row r="76" spans="3:15">
      <c r="M76" s="28"/>
      <c r="N76" s="256"/>
      <c r="O76" s="28"/>
    </row>
    <row r="77" spans="3:15">
      <c r="M77" s="28"/>
      <c r="N77" s="256"/>
      <c r="O77" s="28"/>
    </row>
  </sheetData>
  <sheetProtection algorithmName="SHA-512" hashValue="5wVXqhWGgBv/h/eYS3p+4Y0JJd1LSDQRlZDMcJTiGiXdPb7B+Xbo1ktLRydCVSJme1k+kQXftNHDEgLfbP1tog==" saltValue="u4wo1W0edwvYWSVYqHL/bg==" spinCount="100000" sheet="1" objects="1" scenarios="1"/>
  <customSheetViews>
    <customSheetView guid="{EB7FE26D-7077-48F2-8515-D783BE87A220}" scale="70" state="hidden">
      <selection activeCell="A27" sqref="A27"/>
      <pageMargins left="0.39370078740157483" right="0.39370078740157483" top="0.74803149606299213" bottom="0.74803149606299213" header="0.31496062992125984" footer="0.31496062992125984"/>
      <pageSetup paperSize="9" orientation="landscape" r:id="rId1"/>
      <headerFooter>
        <oddFooter>&amp;L&amp;A
Printed &amp;D</oddFooter>
      </headerFooter>
    </customSheetView>
  </customSheetViews>
  <phoneticPr fontId="3" type="noConversion"/>
  <pageMargins left="0.39370078740157483" right="0.39370078740157483" top="0.74803149606299213" bottom="0.74803149606299213" header="0.31496062992125984" footer="0.31496062992125984"/>
  <pageSetup paperSize="9" orientation="landscape" r:id="rId2"/>
  <headerFooter>
    <oddFooter>&amp;L&amp;A
Printed &amp;D</oddFooter>
  </headerFooter>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O43"/>
  <sheetViews>
    <sheetView topLeftCell="A17" workbookViewId="0">
      <selection activeCell="E30" sqref="E30"/>
    </sheetView>
  </sheetViews>
  <sheetFormatPr defaultColWidth="9.1796875" defaultRowHeight="12.5"/>
  <cols>
    <col min="1" max="1" width="40.453125" style="339" customWidth="1"/>
    <col min="2" max="2" width="8.81640625" style="360" customWidth="1"/>
    <col min="3" max="3" width="18" style="339" customWidth="1"/>
    <col min="4" max="4" width="28.453125" style="339" customWidth="1"/>
    <col min="5" max="5" width="26.36328125" style="339" customWidth="1"/>
    <col min="6" max="6" width="14.6328125" style="339" customWidth="1"/>
    <col min="7" max="8" width="12.36328125" style="339" customWidth="1"/>
    <col min="9" max="9" width="13.453125" style="339" customWidth="1"/>
    <col min="10" max="11" width="12.36328125" style="339" customWidth="1"/>
    <col min="12" max="12" width="16.1796875" style="339" customWidth="1"/>
    <col min="13" max="13" width="6.6328125" style="339" customWidth="1"/>
    <col min="14" max="14" width="9.1796875" style="339"/>
    <col min="15" max="15" width="9.1796875" style="339" hidden="1" customWidth="1"/>
    <col min="16" max="16384" width="9.1796875" style="339"/>
  </cols>
  <sheetData>
    <row r="1" spans="1:15" s="369" customFormat="1" ht="13">
      <c r="A1" s="390" t="s">
        <v>413</v>
      </c>
      <c r="B1" s="391"/>
    </row>
    <row r="2" spans="1:15" s="369" customFormat="1" ht="30" customHeight="1">
      <c r="A2" s="844" t="str">
        <f>IF(ISNA(MATCH("n",O9:O29,0)),"",trans_warning)</f>
        <v/>
      </c>
      <c r="B2" s="844"/>
      <c r="C2" s="844"/>
      <c r="D2" s="844"/>
      <c r="E2" s="844"/>
      <c r="F2" s="844"/>
      <c r="G2" s="844"/>
      <c r="H2" s="844"/>
      <c r="I2" s="844"/>
      <c r="J2" s="844"/>
      <c r="K2" s="844"/>
      <c r="L2" s="844"/>
      <c r="M2" s="844"/>
    </row>
    <row r="3" spans="1:15" ht="26.5" thickBot="1">
      <c r="A3" s="710" t="s">
        <v>1066</v>
      </c>
      <c r="B3" s="718" t="str">
        <f>quest2</f>
        <v>Y/N</v>
      </c>
      <c r="C3" s="719"/>
      <c r="D3" s="719"/>
      <c r="E3" s="718" t="str">
        <f>quest2</f>
        <v>Y/N</v>
      </c>
      <c r="F3" s="720"/>
      <c r="G3" s="720"/>
      <c r="H3" s="719"/>
      <c r="I3" s="720"/>
      <c r="J3" s="720"/>
      <c r="K3" s="720"/>
      <c r="L3" s="262"/>
      <c r="M3" s="262"/>
      <c r="N3" s="463"/>
    </row>
    <row r="4" spans="1:15" ht="51.5" thickBot="1">
      <c r="A4" s="662" t="s">
        <v>1081</v>
      </c>
      <c r="B4" s="665" t="s">
        <v>544</v>
      </c>
      <c r="C4" s="662"/>
      <c r="D4" s="662" t="s">
        <v>1065</v>
      </c>
      <c r="E4" s="665" t="s">
        <v>544</v>
      </c>
      <c r="F4" s="845" t="s">
        <v>1064</v>
      </c>
      <c r="G4" s="846"/>
      <c r="H4" s="514"/>
      <c r="I4" s="272"/>
      <c r="J4" s="272"/>
      <c r="K4" s="272"/>
      <c r="L4" s="262"/>
      <c r="M4" s="262"/>
      <c r="N4" s="463"/>
    </row>
    <row r="5" spans="1:15">
      <c r="A5" s="483"/>
      <c r="B5" s="664" t="s">
        <v>1063</v>
      </c>
      <c r="C5" s="394"/>
      <c r="D5" s="515"/>
      <c r="E5" s="515"/>
      <c r="F5" s="515"/>
      <c r="G5" s="515"/>
      <c r="H5" s="515"/>
      <c r="I5" s="395"/>
      <c r="J5" s="395"/>
      <c r="K5" s="395"/>
      <c r="L5" s="395"/>
      <c r="M5" s="262"/>
      <c r="N5" s="463"/>
    </row>
    <row r="6" spans="1:15" s="369" customFormat="1" ht="13">
      <c r="A6" s="484" t="s">
        <v>424</v>
      </c>
      <c r="B6" s="396"/>
      <c r="C6" s="395"/>
      <c r="D6" s="395"/>
      <c r="E6" s="395"/>
      <c r="F6" s="395"/>
      <c r="G6" s="395"/>
      <c r="H6" s="395"/>
      <c r="I6" s="395"/>
      <c r="J6" s="395"/>
      <c r="K6" s="395"/>
      <c r="L6" s="395"/>
      <c r="M6" s="395"/>
      <c r="N6" s="465"/>
    </row>
    <row r="7" spans="1:15" s="361" customFormat="1" ht="26">
      <c r="A7" s="710" t="s">
        <v>312</v>
      </c>
      <c r="B7" s="712" t="s">
        <v>365</v>
      </c>
      <c r="C7" s="712" t="s">
        <v>496</v>
      </c>
      <c r="D7" s="710"/>
      <c r="E7" s="710"/>
      <c r="F7" s="712" t="s">
        <v>358</v>
      </c>
      <c r="G7" s="843" t="s">
        <v>363</v>
      </c>
      <c r="H7" s="843"/>
      <c r="I7" s="843"/>
      <c r="J7" s="843"/>
      <c r="K7" s="843"/>
      <c r="L7" s="843"/>
      <c r="M7" s="710"/>
      <c r="N7" s="466"/>
    </row>
    <row r="8" spans="1:15" ht="39.5" thickBot="1">
      <c r="A8" s="710" t="s">
        <v>444</v>
      </c>
      <c r="B8" s="718" t="str">
        <f>quest</f>
        <v>Y/N/?</v>
      </c>
      <c r="C8" s="715" t="s">
        <v>452</v>
      </c>
      <c r="D8" s="712" t="s">
        <v>35</v>
      </c>
      <c r="E8" s="716" t="s">
        <v>1055</v>
      </c>
      <c r="F8" s="712" t="s">
        <v>362</v>
      </c>
      <c r="G8" s="717" t="s">
        <v>38</v>
      </c>
      <c r="H8" s="717" t="s">
        <v>39</v>
      </c>
      <c r="I8" s="717" t="s">
        <v>40</v>
      </c>
      <c r="J8" s="712" t="s">
        <v>499</v>
      </c>
      <c r="K8" s="712" t="s">
        <v>42</v>
      </c>
      <c r="L8" s="712" t="s">
        <v>364</v>
      </c>
      <c r="M8" s="710" t="s">
        <v>357</v>
      </c>
      <c r="N8" s="323" t="s">
        <v>56</v>
      </c>
    </row>
    <row r="9" spans="1:15" ht="25">
      <c r="A9" s="270" t="s">
        <v>276</v>
      </c>
      <c r="B9" s="610"/>
      <c r="C9" s="377"/>
      <c r="D9" s="271" t="s">
        <v>945</v>
      </c>
      <c r="E9" s="271"/>
      <c r="F9" s="460" t="str">
        <f>IF(OR($B9=yes,$B9=yes),'5-7 Recycl metals'!K6, IF(OR($B9=no,$B9=no),"-", IF($B9=que,que, pres)))</f>
        <v>Present?</v>
      </c>
      <c r="G9" s="461" t="str">
        <f>IF(OR($B9=yes,$B9=yes),'5-7 Recycl metals'!V6, IF(OR($B9=no,$B9=no),"-", IF($B9=que,que, pres)))</f>
        <v>Present?</v>
      </c>
      <c r="H9" s="461" t="str">
        <f>IF(OR($B9=yes,$B9=yes),'5-7 Recycl metals'!W6, IF(OR($B9=no,$B9=no),"-", IF($B9=que,que, pres)))</f>
        <v>Present?</v>
      </c>
      <c r="I9" s="461" t="str">
        <f>IF(OR($B9=yes,$B9=yes),'5-7 Recycl metals'!X6, IF(OR($B9=no,$B9=no),"-", IF($B9=que,que, pres)))</f>
        <v>Present?</v>
      </c>
      <c r="J9" s="461" t="str">
        <f>IF(OR($B9=yes,$B9=yes),'5-7 Recycl metals'!Y6, IF(OR($B9=no,$B9=no),"-", IF($B9=que,que, pres)))</f>
        <v>Present?</v>
      </c>
      <c r="K9" s="461" t="str">
        <f>IF(OR($B9=yes,$B9=yes),'5-7 Recycl metals'!Z6, IF(OR($B9=no,$B9=no),"-", IF($B9=que,que, pres)))</f>
        <v>Present?</v>
      </c>
      <c r="L9" s="461" t="str">
        <f>IF(OR($B9=yes,$B9=yes),'5-7 Recycl metals'!AA6, IF(OR($B9=no,$B9=no),"-", IF($B9=que,que, pres)))</f>
        <v>Present?</v>
      </c>
      <c r="M9" s="273" t="s">
        <v>274</v>
      </c>
      <c r="N9" s="463"/>
      <c r="O9" s="339" t="str">
        <f>INDEX('Range-thresholds'!$G$6:$G$73,MATCH(A9,'Range-thresholds'!$A$6:$A$73,0))</f>
        <v/>
      </c>
    </row>
    <row r="10" spans="1:15" ht="25.5" thickBot="1">
      <c r="A10" s="270" t="s">
        <v>277</v>
      </c>
      <c r="B10" s="611"/>
      <c r="C10" s="400"/>
      <c r="D10" s="271" t="s">
        <v>946</v>
      </c>
      <c r="E10" s="271"/>
      <c r="F10" s="460" t="str">
        <f>IF(OR($B10=yes,$B10=yes),'5-7 Recycl metals'!K8, IF(OR($B10=no,$B10=no),"-", IF($B10=que,que, pres)))</f>
        <v>Present?</v>
      </c>
      <c r="G10" s="461" t="str">
        <f>IF(OR($B10=yes,$B10=yes),'5-7 Recycl metals'!V8, IF(OR($B10=no,$B10=no),"-", IF($B10=que,que, pres)))</f>
        <v>Present?</v>
      </c>
      <c r="H10" s="461" t="str">
        <f>IF(OR($B10=yes,$B10=yes),'5-7 Recycl metals'!W8, IF(OR($B10=no,$B10=no),"-", IF($B10=que,que, pres)))</f>
        <v>Present?</v>
      </c>
      <c r="I10" s="461" t="str">
        <f>IF(OR($B10=yes,$B10=yes),'5-7 Recycl metals'!X8, IF(OR($B10=no,$B10=no),"-", IF($B10=que,que, pres)))</f>
        <v>Present?</v>
      </c>
      <c r="J10" s="461" t="str">
        <f>IF(OR($B10=yes,$B10=yes),'5-7 Recycl metals'!Y8, IF(OR($B10=no,$B10=no),"-", IF($B10=que,que, pres)))</f>
        <v>Present?</v>
      </c>
      <c r="K10" s="461" t="str">
        <f>IF(OR($B10=yes,$B10=yes),'5-7 Recycl metals'!Z8, IF(OR($B10=no,$B10=no),"-", IF($B10=que,que, pres)))</f>
        <v>Present?</v>
      </c>
      <c r="L10" s="461" t="str">
        <f>IF(OR($B10=yes,$B10=yes),'5-7 Recycl metals'!AA8, IF(OR($B10=no,$B10=no),"-", IF($B10=que,que, pres)))</f>
        <v>Present?</v>
      </c>
      <c r="M10" s="273" t="s">
        <v>409</v>
      </c>
      <c r="N10" s="463"/>
      <c r="O10" s="339" t="str">
        <f>INDEX('Range-thresholds'!$G$6:$G$73,MATCH(A10,'Range-thresholds'!$A$6:$A$73,0))</f>
        <v/>
      </c>
    </row>
    <row r="11" spans="1:15">
      <c r="A11" s="263"/>
      <c r="B11" s="398"/>
      <c r="C11" s="399"/>
      <c r="D11" s="273"/>
      <c r="E11" s="273"/>
      <c r="F11" s="460"/>
      <c r="G11" s="461"/>
      <c r="H11" s="461"/>
      <c r="I11" s="461"/>
      <c r="J11" s="461"/>
      <c r="K11" s="461"/>
      <c r="L11" s="461"/>
      <c r="M11" s="273"/>
      <c r="N11" s="463"/>
    </row>
    <row r="12" spans="1:15" ht="13.5" thickBot="1">
      <c r="A12" s="265" t="s">
        <v>410</v>
      </c>
      <c r="B12" s="267"/>
      <c r="C12" s="347"/>
      <c r="D12" s="273"/>
      <c r="E12" s="273"/>
      <c r="F12" s="460"/>
      <c r="G12" s="461"/>
      <c r="H12" s="461"/>
      <c r="I12" s="461"/>
      <c r="J12" s="461"/>
      <c r="K12" s="461"/>
      <c r="L12" s="461"/>
      <c r="M12" s="273"/>
      <c r="N12" s="463"/>
    </row>
    <row r="13" spans="1:15" ht="13" thickBot="1">
      <c r="A13" s="270" t="s">
        <v>195</v>
      </c>
      <c r="B13" s="613"/>
      <c r="C13" s="403"/>
      <c r="D13" s="271" t="s">
        <v>947</v>
      </c>
      <c r="E13" s="658"/>
      <c r="F13" s="460" t="str">
        <f>IF(OR($B13=yes,$B13=yes),'5-8 Waste incin'!K7, IF(OR($B13=no,$B13=no),"-", IF($B13=que,que, pres)))</f>
        <v>Present?</v>
      </c>
      <c r="G13" s="461" t="str">
        <f>IF(OR($B13=yes,$B13=yes),SUM('5-8 Waste incin'!V7:V10), IF(OR($B13=no,$B13=no),"-", IF($B13=que,que, pres)))</f>
        <v>Present?</v>
      </c>
      <c r="H13" s="461" t="str">
        <f>IF(OR($B13=yes,$B13=yes),SUM('5-8 Waste incin'!W7:W10), IF(OR($B13=no,$B13=no),"-", IF($B13=que,que, pres)))</f>
        <v>Present?</v>
      </c>
      <c r="I13" s="461" t="str">
        <f>IF(OR($B13=yes,$B13=yes),SUM('5-8 Waste incin'!X7:X10), IF(OR($B13=no,$B13=no),"-", IF($B13=que,que, pres)))</f>
        <v>Present?</v>
      </c>
      <c r="J13" s="461" t="str">
        <f>IF(OR($B13=yes,$B13=yes),SUM('5-8 Waste incin'!Y7:Y10), IF(OR($B13=no,$B13=no),"-", IF($B13=que,que, pres)))</f>
        <v>Present?</v>
      </c>
      <c r="K13" s="461" t="str">
        <f>IF(OR($B13=yes,$B13=yes),SUM('5-8 Waste incin'!Z7:Z10), IF(OR($B13=no,$B13=no),"-", IF($B13=que,que, pres)))</f>
        <v>Present?</v>
      </c>
      <c r="L13" s="461" t="str">
        <f>IF(OR($B13=yes,$B13=yes),SUM('5-8 Waste incin'!AA7:AA10), IF(OR($B13=no,$B13=no),"-", IF($B13=que,que, pres)))</f>
        <v>Present?</v>
      </c>
      <c r="M13" s="273" t="s">
        <v>194</v>
      </c>
      <c r="N13" s="464"/>
      <c r="O13" s="339" t="str">
        <f>INDEX('Range-thresholds'!$G$6:$G$73,MATCH(A13,'Range-thresholds'!$A$6:$A$73,0))</f>
        <v/>
      </c>
    </row>
    <row r="14" spans="1:15" ht="62.5">
      <c r="A14" s="270"/>
      <c r="B14" s="273"/>
      <c r="C14" s="273"/>
      <c r="D14" s="651"/>
      <c r="E14" s="652" t="s">
        <v>1039</v>
      </c>
      <c r="F14" s="652"/>
      <c r="G14" s="652" t="s">
        <v>200</v>
      </c>
      <c r="H14" s="652" t="s">
        <v>1069</v>
      </c>
      <c r="I14" s="652" t="s">
        <v>1061</v>
      </c>
      <c r="J14" s="652" t="s">
        <v>1062</v>
      </c>
      <c r="K14" s="461"/>
      <c r="L14" s="461"/>
      <c r="M14" s="273"/>
      <c r="N14" s="464"/>
    </row>
    <row r="15" spans="1:15" ht="25.5" thickBot="1">
      <c r="A15" s="270"/>
      <c r="B15" s="273"/>
      <c r="C15" s="273"/>
      <c r="D15" s="653" t="s">
        <v>1037</v>
      </c>
      <c r="E15" s="652" t="s">
        <v>1038</v>
      </c>
      <c r="F15" s="652"/>
      <c r="G15" s="654">
        <f>100-H15-I15-J15-K15-L15</f>
        <v>0</v>
      </c>
      <c r="H15" s="659">
        <v>100</v>
      </c>
      <c r="I15" s="659"/>
      <c r="J15" s="659"/>
      <c r="K15" s="461"/>
      <c r="L15" s="461"/>
      <c r="M15" s="697" t="s">
        <v>1133</v>
      </c>
      <c r="N15" s="464"/>
    </row>
    <row r="16" spans="1:15" ht="13" thickBot="1">
      <c r="A16" s="270" t="s">
        <v>202</v>
      </c>
      <c r="B16" s="767"/>
      <c r="C16" s="403"/>
      <c r="D16" s="271" t="s">
        <v>948</v>
      </c>
      <c r="E16" s="658"/>
      <c r="F16" s="460" t="str">
        <f>IF(OR($B16=yes,$B16=yes),'5-8 Waste incin'!K13, IF(OR($B16=no,$B16=no),"-", IF($B16=que,que, pres)))</f>
        <v>Present?</v>
      </c>
      <c r="G16" s="461" t="str">
        <f>IF(OR($B16=yes,$B16=yes),SUM('5-8 Waste incin'!V13:V16), IF(OR($B16=no,$B16=no),"-", IF($B16=que,que, pres)))</f>
        <v>Present?</v>
      </c>
      <c r="H16" s="461" t="str">
        <f>IF(OR($B16=yes,$B16=yes),SUM('5-8 Waste incin'!W13:W16), IF(OR($B16=no,$B16=no),"-", IF($B16=que,que, pres)))</f>
        <v>Present?</v>
      </c>
      <c r="I16" s="461" t="str">
        <f>IF(OR($B16=yes,$B16=yes),SUM('5-8 Waste incin'!X13:X16), IF(OR($B16=no,$B16=no),"-", IF($B16=que,que, pres)))</f>
        <v>Present?</v>
      </c>
      <c r="J16" s="461" t="str">
        <f>IF(OR($B16=yes,$B16=yes),SUM('5-8 Waste incin'!Y13:Y16), IF(OR($B16=no,$B16=no),"-", IF($B16=que,que, pres)))</f>
        <v>Present?</v>
      </c>
      <c r="K16" s="461" t="str">
        <f>IF(OR($B16=yes,$B16=yes),SUM('5-8 Waste incin'!Z13:Z16), IF(OR($B16=no,$B16=no),"-", IF($B16=que,que, pres)))</f>
        <v>Present?</v>
      </c>
      <c r="L16" s="461" t="str">
        <f>IF(OR($B16=yes,$B16=yes),SUM('5-8 Waste incin'!AA13:AA16), IF(OR($B16=no,$B16=no),"-", IF($B16=que,que, pres)))</f>
        <v>Present?</v>
      </c>
      <c r="M16" s="273" t="s">
        <v>199</v>
      </c>
      <c r="N16" s="463"/>
    </row>
    <row r="17" spans="1:14" ht="62.5">
      <c r="A17" s="270"/>
      <c r="B17" s="273"/>
      <c r="C17" s="273"/>
      <c r="D17" s="651"/>
      <c r="E17" s="652" t="s">
        <v>1039</v>
      </c>
      <c r="F17" s="652"/>
      <c r="G17" s="652" t="s">
        <v>200</v>
      </c>
      <c r="H17" s="652" t="s">
        <v>1069</v>
      </c>
      <c r="I17" s="652" t="s">
        <v>1061</v>
      </c>
      <c r="J17" s="652" t="s">
        <v>1062</v>
      </c>
      <c r="K17" s="461"/>
      <c r="L17" s="461"/>
      <c r="M17" s="273"/>
      <c r="N17" s="463"/>
    </row>
    <row r="18" spans="1:14" ht="25.5" thickBot="1">
      <c r="A18" s="270"/>
      <c r="B18" s="273"/>
      <c r="C18" s="273"/>
      <c r="D18" s="653" t="s">
        <v>1037</v>
      </c>
      <c r="E18" s="652" t="s">
        <v>1038</v>
      </c>
      <c r="F18" s="652"/>
      <c r="G18" s="654">
        <f>100-H18-I18-J18-K18-L18</f>
        <v>0</v>
      </c>
      <c r="H18" s="659">
        <v>100</v>
      </c>
      <c r="I18" s="659"/>
      <c r="J18" s="659"/>
      <c r="K18" s="461"/>
      <c r="L18" s="461"/>
      <c r="M18" s="697" t="s">
        <v>1133</v>
      </c>
      <c r="N18" s="464"/>
    </row>
    <row r="19" spans="1:14" ht="14.25" customHeight="1" thickBot="1">
      <c r="A19" s="588" t="s">
        <v>1113</v>
      </c>
      <c r="B19" s="767"/>
      <c r="C19" s="403"/>
      <c r="D19" s="271" t="s">
        <v>947</v>
      </c>
      <c r="E19" s="658"/>
      <c r="F19" s="460" t="str">
        <f>IF(OR($B19=yes,$B19=yes),'5-8 Waste incin'!K19, IF(OR($B19=no,$B19=no),B1, IF($B19=que,que, pres)))</f>
        <v>Present?</v>
      </c>
      <c r="G19" s="461" t="str">
        <f>IF(OR($B19=yes,$B19=yes),SUM('5-8 Waste incin'!V19:V22), IF(OR($B19=no,$B19=no),"-", IF($B19=que,que, pres)))</f>
        <v>Present?</v>
      </c>
      <c r="H19" s="461" t="str">
        <f>IF(OR($B19=yes,$B19=yes),SUM('5-8 Waste incin'!W19:W22), IF(OR($B19=no,$B19=no),"-", IF($B19=que,que, pres)))</f>
        <v>Present?</v>
      </c>
      <c r="I19" s="461" t="str">
        <f>IF(OR($B19=yes,$B19=yes),SUM('5-8 Waste incin'!X19:X22), IF(OR($B19=no,$B19=no),"-", IF($B19=que,que, pres)))</f>
        <v>Present?</v>
      </c>
      <c r="J19" s="461" t="str">
        <f>IF(OR($B19=yes,$B19=yes),SUM('5-8 Waste incin'!Y19:Y22), IF(OR($B19=no,$B19=no),"-", IF($B19=que,que, pres)))</f>
        <v>Present?</v>
      </c>
      <c r="K19" s="461" t="str">
        <f>IF(OR($B19=yes,$B19=yes),'5-8 Waste incin'!Z18, IF(OR($B19=no,$B19=no),"-", IF($B19=que,que, pres)))</f>
        <v>Present?</v>
      </c>
      <c r="L19" s="461" t="str">
        <f>IF(OR($B19=yes,$B19=yes),'5-8 Waste incin'!AA18, IF(OR($B19=no,$B19=no),"-", IF($B19=que,que, pres)))</f>
        <v>Present?</v>
      </c>
      <c r="M19" s="273" t="s">
        <v>204</v>
      </c>
      <c r="N19" s="463"/>
    </row>
    <row r="20" spans="1:14" ht="62.5">
      <c r="A20" s="275"/>
      <c r="B20" s="273"/>
      <c r="C20" s="273"/>
      <c r="D20" s="651"/>
      <c r="E20" s="652" t="s">
        <v>1039</v>
      </c>
      <c r="F20" s="652"/>
      <c r="G20" s="652" t="s">
        <v>200</v>
      </c>
      <c r="H20" s="652" t="s">
        <v>1069</v>
      </c>
      <c r="I20" s="652" t="s">
        <v>1061</v>
      </c>
      <c r="J20" s="652" t="s">
        <v>1062</v>
      </c>
      <c r="K20" s="461"/>
      <c r="L20" s="461"/>
      <c r="M20" s="273"/>
      <c r="N20" s="463"/>
    </row>
    <row r="21" spans="1:14" ht="25.5" thickBot="1">
      <c r="A21" s="275"/>
      <c r="B21" s="273"/>
      <c r="C21" s="273"/>
      <c r="D21" s="653" t="s">
        <v>1037</v>
      </c>
      <c r="E21" s="652" t="s">
        <v>1038</v>
      </c>
      <c r="F21" s="652"/>
      <c r="G21" s="654">
        <f>100-H21-I21-J21-K21-L21</f>
        <v>100</v>
      </c>
      <c r="H21" s="659"/>
      <c r="I21" s="659"/>
      <c r="J21" s="659"/>
      <c r="K21" s="461"/>
      <c r="L21" s="461"/>
      <c r="M21" s="697" t="s">
        <v>1133</v>
      </c>
      <c r="N21" s="464"/>
    </row>
    <row r="22" spans="1:14">
      <c r="A22" s="270" t="s">
        <v>207</v>
      </c>
      <c r="B22" s="610"/>
      <c r="C22" s="377"/>
      <c r="D22" s="271" t="s">
        <v>947</v>
      </c>
      <c r="E22" s="271"/>
      <c r="F22" s="460" t="str">
        <f>IF(OR($B22=yes,$B22=yes),'5-8 Waste incin'!K24, IF(OR($B22=no,$B22=no),"-", IF($B22=que,que, pres)))</f>
        <v>Present?</v>
      </c>
      <c r="G22" s="461" t="str">
        <f>IF(OR($B22=yes,$B22=yes),'5-8 Waste incin'!V24, IF(OR($B22=no,$B22=no),"-", IF($B22=que,que, pres)))</f>
        <v>Present?</v>
      </c>
      <c r="H22" s="461" t="str">
        <f>IF(OR($B22=yes,$B22=yes),'5-8 Waste incin'!W24, IF(OR($B22=no,$B22=no),"-", IF($B22=que,que, pres)))</f>
        <v>Present?</v>
      </c>
      <c r="I22" s="461" t="str">
        <f>IF(OR($B22=yes,$B22=yes),'5-8 Waste incin'!X24, IF(OR($B22=no,$B22=no),"-", IF($B22=que,que, pres)))</f>
        <v>Present?</v>
      </c>
      <c r="J22" s="461" t="str">
        <f>IF(OR($B22=yes,$B22=yes),'5-8 Waste incin'!Y24, IF(OR($B22=no,$B22=no),"-", IF($B22=que,que, pres)))</f>
        <v>Present?</v>
      </c>
      <c r="K22" s="461" t="str">
        <f>IF(OR($B22=yes,$B22=yes),'5-8 Waste incin'!Z24, IF(OR($B22=no,$B22=no),"-", IF($B22=que,que, pres)))</f>
        <v>Present?</v>
      </c>
      <c r="L22" s="461" t="str">
        <f>IF(OR($B22=yes,$B22=yes),'5-8 Waste incin'!AA24, IF(OR($B22=no,$B22=no),"-", IF($B22=que,que, pres)))</f>
        <v>Present?</v>
      </c>
      <c r="M22" s="273" t="s">
        <v>206</v>
      </c>
      <c r="N22" s="463"/>
    </row>
    <row r="23" spans="1:14" ht="25.5" thickBot="1">
      <c r="A23" s="275" t="s">
        <v>412</v>
      </c>
      <c r="B23" s="611"/>
      <c r="C23" s="400"/>
      <c r="D23" s="348" t="s">
        <v>952</v>
      </c>
      <c r="E23" s="348"/>
      <c r="F23" s="460" t="str">
        <f>IF(OR($B23=yes,$B23=yes),'5-8 Waste incin'!K26, IF(OR($B23=no,$B23=no),"-", IF($B23=que,que, pres)))</f>
        <v>Present?</v>
      </c>
      <c r="G23" s="461" t="str">
        <f>IF(OR($B23=yes,$B23=yes),'5-8 Waste incin'!V26, IF(OR($B23=no,$B23=no),"-", IF($B23=que,que, pres)))</f>
        <v>Present?</v>
      </c>
      <c r="H23" s="461" t="str">
        <f>IF(OR($B23=yes,$B23=yes),'5-8 Waste incin'!W26, IF(OR($B23=no,$B23=no),"-", IF($B23=que,que, pres)))</f>
        <v>Present?</v>
      </c>
      <c r="I23" s="461" t="str">
        <f>IF(OR($B23=yes,$B23=yes),'5-8 Waste incin'!X26, IF(OR($B23=no,$B23=no),"-", IF($B23=que,que, pres)))</f>
        <v>Present?</v>
      </c>
      <c r="J23" s="461" t="str">
        <f>IF(OR($B23=yes,$B23=yes),'5-8 Waste incin'!Y26, IF(OR($B23=no,$B23=no),"-", IF($B23=que,que, pres)))</f>
        <v>Present?</v>
      </c>
      <c r="K23" s="461" t="str">
        <f>IF(OR($B23=yes,$B23=yes),'5-8 Waste incin'!Z26, IF(OR($B23=no,$B23=no),"-", IF($B23=que,que, pres)))</f>
        <v>Present?</v>
      </c>
      <c r="L23" s="461" t="str">
        <f>IF(OR($B23=yes,$B23=yes),'5-8 Waste incin'!AA26, IF(OR($B23=no,$B23=no),"-", IF($B23=que,que, pres)))</f>
        <v>Present?</v>
      </c>
      <c r="M23" s="273" t="s">
        <v>208</v>
      </c>
      <c r="N23" s="463"/>
    </row>
    <row r="24" spans="1:14">
      <c r="A24" s="263"/>
      <c r="B24" s="349"/>
      <c r="C24" s="350"/>
      <c r="D24" s="273"/>
      <c r="E24" s="273"/>
      <c r="F24" s="460"/>
      <c r="G24" s="461"/>
      <c r="H24" s="461"/>
      <c r="I24" s="461"/>
      <c r="J24" s="461"/>
      <c r="K24" s="461"/>
      <c r="L24" s="461"/>
      <c r="M24" s="273"/>
      <c r="N24" s="463"/>
    </row>
    <row r="25" spans="1:14" ht="26.5" thickBot="1">
      <c r="A25" s="265" t="s">
        <v>445</v>
      </c>
      <c r="B25" s="346"/>
      <c r="C25" s="347"/>
      <c r="D25" s="273"/>
      <c r="E25" s="273"/>
      <c r="F25" s="460"/>
      <c r="G25" s="461"/>
      <c r="H25" s="461"/>
      <c r="I25" s="461"/>
      <c r="J25" s="461"/>
      <c r="K25" s="461"/>
      <c r="L25" s="461"/>
      <c r="M25" s="273"/>
      <c r="N25" s="463"/>
    </row>
    <row r="26" spans="1:14">
      <c r="A26" s="275" t="s">
        <v>411</v>
      </c>
      <c r="B26" s="610"/>
      <c r="C26" s="377"/>
      <c r="D26" s="348" t="s">
        <v>949</v>
      </c>
      <c r="E26" s="348"/>
      <c r="F26" s="460" t="str">
        <f>IF(OR($B26=yes,$B26=yes),'5-9 Waste depo and water treatm'!K6, IF(OR($B26=no,$B26=no),"-", IF($B26=que,que, pres)))</f>
        <v>Present?</v>
      </c>
      <c r="G26" s="461" t="str">
        <f>IF(OR($B26=yes,$B26=yes),'5-9 Waste depo and water treatm'!V6, IF(OR($B26=no,$B26=no),"-", IF($B26=que,que, pres)))</f>
        <v>Present?</v>
      </c>
      <c r="H26" s="461" t="str">
        <f>IF(OR($B26=yes,$B26=yes),'5-9 Waste depo and water treatm'!W6, IF(OR($B26=no,$B26=no),"-", IF($B26=que,que, pres)))</f>
        <v>Present?</v>
      </c>
      <c r="I26" s="461" t="str">
        <f>IF(OR($B26=yes,$B26=yes),'5-9 Waste depo and water treatm'!X6, IF(OR($B26=no,$B26=no),"-", IF($B26=que,que, pres)))</f>
        <v>Present?</v>
      </c>
      <c r="J26" s="461" t="str">
        <f>IF(OR($B26=yes,$B26=yes),'5-9 Waste depo and water treatm'!Y6, IF(OR($B26=no,$B26=no),"-", IF($B26=que,que, pres)))</f>
        <v>Present?</v>
      </c>
      <c r="K26" s="461" t="str">
        <f>IF(OR($B26=yes,$B26=yes),'5-9 Waste depo and water treatm'!Z6, IF(OR($B26=no,$B26=no),"-", IF($B26=que,que, pres)))</f>
        <v>Present?</v>
      </c>
      <c r="L26" s="461" t="str">
        <f>IF(OR($B26=yes,$B26=yes),'5-9 Waste depo and water treatm'!AA6, IF(OR($B26=no,$B26=no),"-", IF($B26=que,que, pres)))</f>
        <v>Present?</v>
      </c>
      <c r="M26" s="273" t="s">
        <v>290</v>
      </c>
      <c r="N26" s="463"/>
    </row>
    <row r="27" spans="1:14" ht="13" thickBot="1">
      <c r="A27" s="275" t="s">
        <v>487</v>
      </c>
      <c r="B27" s="611"/>
      <c r="C27" s="400"/>
      <c r="D27" s="348" t="s">
        <v>950</v>
      </c>
      <c r="E27" s="348"/>
      <c r="F27" s="460" t="str">
        <f>IF(OR($B27=yes,$B27=yes),'5-9 Waste depo and water treatm'!K13, IF(OR($B27=no,$B27=no),"-", IF($B27=que,que, pres)))</f>
        <v>Present?</v>
      </c>
      <c r="G27" s="461" t="str">
        <f>IF(OR($B27=yes,$B27=yes),'5-9 Waste depo and water treatm'!V13, IF(OR($B27=no,$B27=no),"-", IF($B27=que,que, pres)))</f>
        <v>Present?</v>
      </c>
      <c r="H27" s="461" t="str">
        <f>IF(OR($B27=yes,$B27=yes),'5-9 Waste depo and water treatm'!W13, IF(OR($B27=no,$B27=no),"-", IF($B27=que,que, pres)))</f>
        <v>Present?</v>
      </c>
      <c r="I27" s="461" t="str">
        <f>IF(OR($B27=yes,$B27=yes),'5-9 Waste depo and water treatm'!X13, IF(OR($B27=no,$B27=no),"-", IF($B27=que,que, pres)))</f>
        <v>Present?</v>
      </c>
      <c r="J27" s="461" t="str">
        <f>IF(OR($B27=yes,$B27=yes),'5-9 Waste depo and water treatm'!Y13, IF(OR($B27=no,$B27=no),"-", IF($B27=que,que, pres)))</f>
        <v>Present?</v>
      </c>
      <c r="K27" s="461" t="str">
        <f>IF(OR($B27=yes,$B27=yes),'5-9 Waste depo and water treatm'!Z13, IF(OR($B27=no,$B27=no),"-", IF($B27=que,que, pres)))</f>
        <v>Present?</v>
      </c>
      <c r="L27" s="461" t="str">
        <f>IF(OR($B27=yes,$B27=yes),'5-9 Waste depo and water treatm'!AA13, IF(OR($B27=no,$B27=no),"-", IF($B27=que,que, pres)))</f>
        <v>Present?</v>
      </c>
      <c r="M27" s="273" t="s">
        <v>293</v>
      </c>
      <c r="N27" s="463"/>
    </row>
    <row r="28" spans="1:14" ht="13" thickBot="1">
      <c r="A28" s="367"/>
      <c r="B28" s="401"/>
      <c r="C28" s="402"/>
      <c r="D28" s="273"/>
      <c r="E28" s="273"/>
      <c r="F28" s="460"/>
      <c r="G28" s="461"/>
      <c r="H28" s="461"/>
      <c r="I28" s="461"/>
      <c r="J28" s="461"/>
      <c r="K28" s="461"/>
      <c r="L28" s="461"/>
      <c r="M28" s="273"/>
      <c r="N28" s="463"/>
    </row>
    <row r="29" spans="1:14" ht="15" thickBot="1">
      <c r="A29" s="483" t="s">
        <v>286</v>
      </c>
      <c r="B29" s="613"/>
      <c r="C29" s="403"/>
      <c r="D29" s="656" t="s">
        <v>951</v>
      </c>
      <c r="E29" s="658"/>
      <c r="F29" s="644" t="str">
        <f>IF(OR($B29=yes,$B29=yes),'5-9 Waste depo and water treatm'!K16, IF(OR($B29=no,$B29=no),"-", IF($B29=que,que, pres)))</f>
        <v>Present?</v>
      </c>
      <c r="G29" s="645" t="str">
        <f>IF(OR($B29=yes,$B29=yes),SUM('5-9 Waste depo and water treatm'!V16:V19), IF(OR($B29=no,$B29=no),"-", IF($B29=que,que, pres)))</f>
        <v>Present?</v>
      </c>
      <c r="H29" s="645" t="str">
        <f>IF(OR($B29=yes,$B29=yes),SUM('5-9 Waste depo and water treatm'!W16:W19), IF(OR($B29=no,$B29=no),"-", IF($B29=que,que, pres)))</f>
        <v>Present?</v>
      </c>
      <c r="I29" s="645" t="str">
        <f>IF(OR($B29=yes,$B29=yes),SUM('5-9 Waste depo and water treatm'!X16:X19), IF(OR($B29=no,$B29=no),"-", IF($B29=que,que, pres)))</f>
        <v>Present?</v>
      </c>
      <c r="J29" s="645" t="str">
        <f>IF(OR($B29=yes,$B29=yes),SUM('5-9 Waste depo and water treatm'!Y16:Y19), IF(OR($B29=no,$B29=no),"-", IF($B29=que,que, pres)))</f>
        <v>Present?</v>
      </c>
      <c r="K29" s="645" t="str">
        <f>IF(OR($B29=yes,$B29=yes),SUM('5-9 Waste depo and water treatm'!Z16:Z19), IF(OR($B29=no,$B29=no),"-", IF($B29=que,que, pres)))</f>
        <v>Present?</v>
      </c>
      <c r="L29" s="645" t="str">
        <f>IF(OR($B29=yes,$B29=yes),SUM('5-9 Waste depo and water treatm'!AA16:AA19), IF(OR($B29=no,$B29=no),"-", IF($B29=que,que, pres)))</f>
        <v>Present?</v>
      </c>
      <c r="M29" s="657" t="s">
        <v>294</v>
      </c>
      <c r="N29" s="463"/>
    </row>
    <row r="30" spans="1:14" ht="87.5">
      <c r="A30" s="367"/>
      <c r="B30" s="273"/>
      <c r="C30" s="273"/>
      <c r="D30" s="651"/>
      <c r="E30" s="652" t="s">
        <v>1039</v>
      </c>
      <c r="F30" s="652"/>
      <c r="G30" s="652" t="s">
        <v>1053</v>
      </c>
      <c r="H30" s="652" t="s">
        <v>296</v>
      </c>
      <c r="I30" s="652" t="s">
        <v>1054</v>
      </c>
      <c r="J30" s="652" t="s">
        <v>1082</v>
      </c>
      <c r="K30" s="461"/>
      <c r="L30" s="461"/>
      <c r="M30" s="273"/>
      <c r="N30" s="463"/>
    </row>
    <row r="31" spans="1:14" ht="25">
      <c r="A31" s="367"/>
      <c r="B31" s="273"/>
      <c r="C31" s="273"/>
      <c r="D31" s="653" t="s">
        <v>1037</v>
      </c>
      <c r="E31" s="652" t="s">
        <v>1038</v>
      </c>
      <c r="F31" s="652"/>
      <c r="G31" s="654">
        <f>100-H31-I31-J31-K31-L31</f>
        <v>100</v>
      </c>
      <c r="H31" s="659"/>
      <c r="I31" s="659"/>
      <c r="J31" s="659"/>
      <c r="K31" s="461"/>
      <c r="L31" s="461"/>
      <c r="M31" s="697" t="s">
        <v>1133</v>
      </c>
      <c r="N31" s="464"/>
    </row>
    <row r="34" spans="1:9">
      <c r="A34" s="585" t="s">
        <v>979</v>
      </c>
    </row>
    <row r="35" spans="1:9">
      <c r="A35" s="585"/>
    </row>
    <row r="36" spans="1:9" ht="13">
      <c r="A36" s="683" t="s">
        <v>1249</v>
      </c>
      <c r="B36" s="675"/>
      <c r="C36" s="676"/>
      <c r="D36" s="677"/>
      <c r="E36" s="677"/>
      <c r="F36" s="677"/>
      <c r="G36" s="677"/>
      <c r="H36" s="677"/>
      <c r="I36" s="678"/>
    </row>
    <row r="37" spans="1:9">
      <c r="A37" s="679" t="s">
        <v>1074</v>
      </c>
      <c r="B37" s="673"/>
      <c r="C37" s="395">
        <f>SUM('Level 1- total summary'!E61:'Level 1- total summary'!E61)+SUM('Level 1- total summary'!E65:'Level 1- total summary'!E65)+SUM('Level 1- total summary'!E67:'Level 1- total summary'!E67)+SUM('Level 1- total summary'!E68:'Level 1- total summary'!E68)</f>
        <v>0</v>
      </c>
      <c r="D37" s="395"/>
      <c r="E37" s="395"/>
      <c r="F37" s="395"/>
      <c r="G37" s="395"/>
      <c r="H37" s="395"/>
      <c r="I37" s="431"/>
    </row>
    <row r="38" spans="1:9" ht="25">
      <c r="A38" s="679" t="s">
        <v>1075</v>
      </c>
      <c r="B38" s="673"/>
      <c r="C38" s="674">
        <f>SUM('Level 1- total summary'!J26:'Level 1- total summary'!J26)+SUM('Level 1- total summary'!J27:'Level 1- total summary'!J27)+SUM('Level 1- total summary'!J32:J56)</f>
        <v>0</v>
      </c>
      <c r="D38" s="395"/>
      <c r="E38" s="395"/>
      <c r="F38" s="395"/>
      <c r="G38" s="395"/>
      <c r="H38" s="395"/>
      <c r="I38" s="431"/>
    </row>
    <row r="39" spans="1:9" ht="25">
      <c r="A39" s="680" t="s">
        <v>1078</v>
      </c>
      <c r="B39" s="681"/>
      <c r="C39" s="682" t="str">
        <f>IF(C37&gt;2*C38,"The calculations made indicate that the default input factors for general waste may over-estimate the mercury releases from these sources.","The calculations made indicate that the default input factors for general waste do not necessarily over-estimate the mercury releases from these sources.")</f>
        <v>The calculations made indicate that the default input factors for general waste do not necessarily over-estimate the mercury releases from these sources.</v>
      </c>
      <c r="D39" s="682"/>
      <c r="E39" s="682"/>
      <c r="F39" s="682"/>
      <c r="G39" s="682"/>
      <c r="H39" s="682"/>
      <c r="I39" s="497"/>
    </row>
    <row r="40" spans="1:9" ht="13">
      <c r="A40" s="683" t="s">
        <v>1250</v>
      </c>
      <c r="B40" s="675"/>
      <c r="C40" s="676"/>
      <c r="D40" s="677"/>
      <c r="E40" s="677"/>
      <c r="F40" s="677"/>
      <c r="G40" s="677"/>
      <c r="H40" s="677"/>
      <c r="I40" s="678"/>
    </row>
    <row r="41" spans="1:9" ht="25">
      <c r="A41" s="679" t="s">
        <v>1076</v>
      </c>
      <c r="B41" s="673"/>
      <c r="C41" s="674">
        <f>SUM('Level 1-ExecSummary'!B19:'Level 1-ExecSummary'!B19)</f>
        <v>0</v>
      </c>
      <c r="D41" s="395"/>
      <c r="E41" s="395"/>
      <c r="F41" s="395"/>
      <c r="G41" s="395"/>
      <c r="H41" s="395"/>
      <c r="I41" s="431"/>
    </row>
    <row r="42" spans="1:9" ht="25">
      <c r="A42" s="679" t="s">
        <v>1077</v>
      </c>
      <c r="B42" s="673"/>
      <c r="C42" s="674">
        <f>SUM('Level 1-ExecSummary'!D8:'Level 1-ExecSummary'!D8)+SUM('Level 1-ExecSummary'!D10:D14)</f>
        <v>0</v>
      </c>
      <c r="D42" s="395"/>
      <c r="E42" s="395"/>
      <c r="F42" s="395"/>
      <c r="G42" s="395"/>
      <c r="H42" s="395"/>
      <c r="I42" s="431"/>
    </row>
    <row r="43" spans="1:9" ht="25">
      <c r="A43" s="680" t="s">
        <v>1078</v>
      </c>
      <c r="B43" s="681"/>
      <c r="C43" s="682" t="str">
        <f>IF(C41&gt;2*C42,"The calculations made indicate that the default input factors for wastewater may over-estimate the mercury releases from these sources.","The calculations made indicate that the default input factors for wastewater do not necessarily over-estimate the mercury releases from these sources.")</f>
        <v>The calculations made indicate that the default input factors for wastewater do not necessarily over-estimate the mercury releases from these sources.</v>
      </c>
      <c r="D43" s="682"/>
      <c r="E43" s="682"/>
      <c r="F43" s="682"/>
      <c r="G43" s="682"/>
      <c r="H43" s="682"/>
      <c r="I43" s="497"/>
    </row>
  </sheetData>
  <sheetProtection algorithmName="SHA-512" hashValue="NLF6FaD4b9XDg+vR221UiExvXmeo84pBoqAkCflQJ2Pt0wcCunxxZBTzrryYtP6YktUgPnTy9C8QD8IF00pzBg==" saltValue="mMS1stFw2hW+Zf5QFIffpA==" spinCount="100000" sheet="1"/>
  <customSheetViews>
    <customSheetView guid="{EB7FE26D-7077-48F2-8515-D783BE87A220}" fitToPage="1" hiddenColumns="1">
      <selection activeCell="A2" sqref="A2:M2"/>
      <pageMargins left="0.39370078740157483" right="0.39370078740157483" top="0.74803149606299213" bottom="0.74803149606299213" header="0.31496062992125984" footer="0.31496062992125984"/>
      <pageSetup paperSize="9" scale="64" orientation="landscape" r:id="rId1"/>
      <headerFooter>
        <oddFooter>&amp;L&amp;A
Printed &amp;D</oddFooter>
      </headerFooter>
    </customSheetView>
  </customSheetViews>
  <mergeCells count="3">
    <mergeCell ref="G7:L7"/>
    <mergeCell ref="A2:M2"/>
    <mergeCell ref="F4:G4"/>
  </mergeCells>
  <conditionalFormatting sqref="A2">
    <cfRule type="expression" dxfId="46" priority="38" stopIfTrue="1">
      <formula>$A$2&lt;&gt;""</formula>
    </cfRule>
  </conditionalFormatting>
  <conditionalFormatting sqref="F9:F10 F13 F26:F27 F29 F16 F19 F22:F23">
    <cfRule type="expression" dxfId="45" priority="40" stopIfTrue="1">
      <formula>AND(B9="y",O9="n")</formula>
    </cfRule>
  </conditionalFormatting>
  <conditionalFormatting sqref="E14:J14 E15:G15">
    <cfRule type="expression" dxfId="44" priority="28">
      <formula>OR($E$13=yes)</formula>
    </cfRule>
  </conditionalFormatting>
  <conditionalFormatting sqref="H15:J15">
    <cfRule type="expression" dxfId="43" priority="27">
      <formula>OR($E$13=yes)</formula>
    </cfRule>
  </conditionalFormatting>
  <conditionalFormatting sqref="G15">
    <cfRule type="expression" dxfId="42" priority="26">
      <formula>$G$15&lt;0</formula>
    </cfRule>
  </conditionalFormatting>
  <conditionalFormatting sqref="D15">
    <cfRule type="expression" dxfId="41" priority="25">
      <formula>$G$15&lt;0</formula>
    </cfRule>
  </conditionalFormatting>
  <conditionalFormatting sqref="E17:H17 E18:G18">
    <cfRule type="expression" dxfId="40" priority="24">
      <formula>OR($E$16=yes)</formula>
    </cfRule>
  </conditionalFormatting>
  <conditionalFormatting sqref="H18:J18">
    <cfRule type="expression" dxfId="39" priority="23">
      <formula>OR($E$16=yes)</formula>
    </cfRule>
  </conditionalFormatting>
  <conditionalFormatting sqref="G18">
    <cfRule type="expression" dxfId="38" priority="22">
      <formula>$G$18&lt;0</formula>
    </cfRule>
  </conditionalFormatting>
  <conditionalFormatting sqref="D18">
    <cfRule type="expression" dxfId="37" priority="21">
      <formula>$G$18&lt;0</formula>
    </cfRule>
  </conditionalFormatting>
  <conditionalFormatting sqref="E20:J20 E21:G21">
    <cfRule type="expression" dxfId="36" priority="20">
      <formula>OR($E$19=yes)</formula>
    </cfRule>
  </conditionalFormatting>
  <conditionalFormatting sqref="H21:J21">
    <cfRule type="expression" dxfId="35" priority="19">
      <formula>OR($E$19=yes)</formula>
    </cfRule>
  </conditionalFormatting>
  <conditionalFormatting sqref="G21">
    <cfRule type="expression" dxfId="34" priority="18">
      <formula>$G$21&lt;0</formula>
    </cfRule>
  </conditionalFormatting>
  <conditionalFormatting sqref="D21">
    <cfRule type="expression" dxfId="33" priority="17">
      <formula>$G$21&lt;0</formula>
    </cfRule>
  </conditionalFormatting>
  <conditionalFormatting sqref="E30:J30 E31:G31">
    <cfRule type="expression" dxfId="32" priority="16">
      <formula>OR($E$29=yes)</formula>
    </cfRule>
  </conditionalFormatting>
  <conditionalFormatting sqref="H31:J31">
    <cfRule type="expression" dxfId="31" priority="15">
      <formula>OR($E$29=yes)</formula>
    </cfRule>
  </conditionalFormatting>
  <conditionalFormatting sqref="G31">
    <cfRule type="expression" dxfId="30" priority="14">
      <formula>$G$31&lt;0</formula>
    </cfRule>
  </conditionalFormatting>
  <conditionalFormatting sqref="D31">
    <cfRule type="expression" dxfId="29" priority="13">
      <formula>$G$31&lt;0</formula>
    </cfRule>
  </conditionalFormatting>
  <conditionalFormatting sqref="I17:J17">
    <cfRule type="expression" dxfId="28" priority="12">
      <formula>OR($E$16=yes)</formula>
    </cfRule>
  </conditionalFormatting>
  <conditionalFormatting sqref="B5:G5">
    <cfRule type="expression" dxfId="27" priority="11">
      <formula>OR(AND($B$4=no,$E$4=yes),$B$4="",$E$4="")</formula>
    </cfRule>
  </conditionalFormatting>
  <conditionalFormatting sqref="H5">
    <cfRule type="expression" dxfId="26" priority="10">
      <formula>OR(AND($B$4=no,$E$4=yes),$B$4="",$E$4="")</formula>
    </cfRule>
  </conditionalFormatting>
  <conditionalFormatting sqref="M15">
    <cfRule type="expression" dxfId="25" priority="4">
      <formula>OR(NOT($E$13=yes))</formula>
    </cfRule>
  </conditionalFormatting>
  <conditionalFormatting sqref="M18">
    <cfRule type="expression" dxfId="24" priority="3">
      <formula>OR(NOT($E$16=yes))</formula>
    </cfRule>
  </conditionalFormatting>
  <conditionalFormatting sqref="M21">
    <cfRule type="expression" dxfId="23" priority="2">
      <formula>OR(NOT($E$19=yes))</formula>
    </cfRule>
  </conditionalFormatting>
  <conditionalFormatting sqref="M31">
    <cfRule type="expression" dxfId="22" priority="1">
      <formula>OR(NOT($E$29=yes))</formula>
    </cfRule>
  </conditionalFormatting>
  <dataValidations count="15">
    <dataValidation type="decimal" allowBlank="1" showInputMessage="1" showErrorMessage="1" errorTitle="Input error" error="Use digits and decimal mark only." promptTitle="Input cell" prompt="Use digits and decimal mark only." sqref="C9:C10 C29 C26:C27 C22:C23 C19 C13 C16" xr:uid="{00000000-0002-0000-0800-000000000000}">
      <formula1>-9.99999999999999E+22</formula1>
      <formula2>9.99999999999999E+22</formula2>
    </dataValidation>
    <dataValidation type="list" allowBlank="1" showDropDown="1" showInputMessage="1" showErrorMessage="1" errorTitle="Input error" error="Enter only y, n or ? (or translation of these)" sqref="B28" xr:uid="{00000000-0002-0000-0800-000001000000}">
      <formula1>yn?</formula1>
    </dataValidation>
    <dataValidation type="list" allowBlank="1" showInputMessage="1" showErrorMessage="1" errorTitle="Input error" error="Enter only y, n or ? (or translation of these)" sqref="B26:B27 B9:B10 B29 B22:B23 B19 B13 B16" xr:uid="{00000000-0002-0000-0800-000002000000}">
      <formula1>yn?</formula1>
    </dataValidation>
    <dataValidation type="list" allowBlank="1" showInputMessage="1" showErrorMessage="1" sqref="E29 E13 E16 E19" xr:uid="{00000000-0002-0000-0800-000003000000}">
      <formula1>yn</formula1>
    </dataValidation>
    <dataValidation allowBlank="1" showInputMessage="1" showErrorMessage="1" promptTitle="Controls" prompt="Enter per cent of total activity rate that is used in facilities with acid gas control with limestone (or similar acid gas absorbent) and downstream high efficiency fabric filter (FF) or electrostatic precipitator (ESP) particulate matter (PM) retention" sqref="I21 I15 I18" xr:uid="{00000000-0002-0000-0800-000004000000}"/>
    <dataValidation allowBlank="1" showInputMessage="1" showErrorMessage="1" promptTitle="Controls" prompt="Enter per cent of total activity rate that is used in facilities with mercury specific absorbents and downstream fabric filters (FF)" sqref="J15 J18 J21" xr:uid="{00000000-0002-0000-0800-000005000000}"/>
    <dataValidation allowBlank="1" showInputMessage="1" showErrorMessage="1" promptTitle="Controls" prompt="Enter per cent of total activity rate that is used in facilities with  particular matter (PM) reduction, simple electrostatic precipitators (ESP), or similar" sqref="H21 H18" xr:uid="{00000000-0002-0000-0800-000006000000}"/>
    <dataValidation allowBlank="1" showInputMessage="1" showErrorMessage="1" promptTitle="Controls" prompt="No filters in place (automatically calculated)" sqref="G15 G18 G21 G31" xr:uid="{00000000-0002-0000-0800-000007000000}"/>
    <dataValidation allowBlank="1" showInputMessage="1" showErrorMessage="1" promptTitle="Controls" prompt="No treatment; direct release from sewage pipe" sqref="G30" xr:uid="{00000000-0002-0000-0800-000008000000}"/>
    <dataValidation allowBlank="1" showInputMessage="1" showErrorMessage="1" promptTitle="Controls" prompt="Enter per cent of total activity rate that is used in facilities with mechanical treatment only" sqref="H31" xr:uid="{00000000-0002-0000-0800-000009000000}"/>
    <dataValidation allowBlank="1" showInputMessage="1" showErrorMessage="1" promptTitle="Controls" prompt="Enter per cent of total activity rate that is used in facilities with mechanical and biological (activated sludge) treatment; no land application of sludge" sqref="I31" xr:uid="{00000000-0002-0000-0800-00000A000000}"/>
    <dataValidation allowBlank="1" showInputMessage="1" showErrorMessage="1" promptTitle="Controls" prompt="Enter per cent of total activity rate that is used in facilities with mechanical and biological (activated sludge) treatment; 40% of sludge used for land application" sqref="J31" xr:uid="{00000000-0002-0000-0800-00000B000000}"/>
    <dataValidation allowBlank="1" showInputMessage="1" showErrorMessage="1" promptTitle="Controls" prompt="Enter per cent of total activity rate that is used in facilities with  particular matter (PM) reduction such as simple electrostatic precipitators (ESP), or similar" sqref="H15" xr:uid="{00000000-0002-0000-0800-00000D000000}"/>
    <dataValidation type="list" allowBlank="1" showInputMessage="1" showErrorMessage="1" prompt="Enter your best estimate, you may revise later; document your choice in your report. Your choice influences calculations of releases from mercury-added products." sqref="B4 E4" xr:uid="{00000000-0002-0000-0800-00000E000000}">
      <formula1>yn</formula1>
    </dataValidation>
    <dataValidation allowBlank="1" showInputMessage="1" showErrorMessage="1" promptTitle="Default controls" prompt="Cell is blue and reads &quot;Non-default controls entered here&quot;, if you have entered numbers for controls selection. If you want to include controls, enter &quot;y&quot; in column E for the sub-category in question. Otherwise ignore this message." sqref="M31 M21 M15 M18" xr:uid="{00000000-0002-0000-0800-000010000000}"/>
  </dataValidations>
  <pageMargins left="0.39370078740157483" right="0.39370078740157483" top="0.74803149606299213" bottom="0.74803149606299213" header="0.31496062992125984" footer="0.31496062992125984"/>
  <pageSetup paperSize="9" scale="64" orientation="landscape" r:id="rId2"/>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8" id="{00000000-000E-0000-0800-000004000000}">
            <xm:f>OR($H$15&lt;&gt;'Default Controls'!$D$44)</xm:f>
            <x14:dxf>
              <font>
                <color theme="1"/>
              </font>
              <fill>
                <patternFill>
                  <bgColor rgb="FFFFFFCC"/>
                </patternFill>
              </fill>
            </x14:dxf>
          </x14:cfRule>
          <xm:sqref>M15</xm:sqref>
        </x14:conditionalFormatting>
        <x14:conditionalFormatting xmlns:xm="http://schemas.microsoft.com/office/excel/2006/main">
          <x14:cfRule type="expression" priority="7" id="{00000000-000E-0000-0800-000003000000}">
            <xm:f>OR($H$18&lt;&gt;'Default Controls'!$D$47)</xm:f>
            <x14:dxf>
              <font>
                <color theme="1"/>
              </font>
              <fill>
                <patternFill>
                  <bgColor rgb="FFFFFFCC"/>
                </patternFill>
              </fill>
            </x14:dxf>
          </x14:cfRule>
          <xm:sqref>M18</xm:sqref>
        </x14:conditionalFormatting>
        <x14:conditionalFormatting xmlns:xm="http://schemas.microsoft.com/office/excel/2006/main">
          <x14:cfRule type="expression" priority="6" id="{00000000-000E-0000-0800-000002000000}">
            <xm:f>OR($G$21&lt;&gt;'Default Controls'!$C$50)</xm:f>
            <x14:dxf>
              <font>
                <color theme="1"/>
              </font>
              <fill>
                <patternFill>
                  <bgColor rgb="FFFFFFCC"/>
                </patternFill>
              </fill>
            </x14:dxf>
          </x14:cfRule>
          <xm:sqref>M21</xm:sqref>
        </x14:conditionalFormatting>
        <x14:conditionalFormatting xmlns:xm="http://schemas.microsoft.com/office/excel/2006/main">
          <x14:cfRule type="expression" priority="5" id="{00000000-000E-0000-0800-000001000000}">
            <xm:f>OR($H$31&lt;&gt;'Default Controls'!$D$53)</xm:f>
            <x14:dxf>
              <font>
                <color theme="1"/>
              </font>
              <fill>
                <patternFill>
                  <bgColor rgb="FFFFFFCC"/>
                </patternFill>
              </fill>
            </x14:dxf>
          </x14:cfRule>
          <xm:sqref>M31</xm:sqref>
        </x14:conditionalFormatting>
        <x14:conditionalFormatting xmlns:xm="http://schemas.microsoft.com/office/excel/2006/main">
          <x14:cfRule type="expression" priority="33" id="{C53B2ABA-6D60-4483-9AF2-0415F414F5A4}">
            <xm:f>'Insert IL2 results'!$K$64&lt;&gt;""</xm:f>
            <x14:dxf>
              <font>
                <color rgb="FFFF0000"/>
              </font>
            </x14:dxf>
          </x14:cfRule>
          <xm:sqref>A34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B5EC5F424DF0438C02C794499518FB" ma:contentTypeVersion="0" ma:contentTypeDescription="Create a new document." ma:contentTypeScope="" ma:versionID="5ab65c60870f55e49362d4efb7fd413f">
  <xsd:schema xmlns:xsd="http://www.w3.org/2001/XMLSchema" xmlns:xs="http://www.w3.org/2001/XMLSchema" xmlns:p="http://schemas.microsoft.com/office/2006/metadata/properties" targetNamespace="http://schemas.microsoft.com/office/2006/metadata/properties" ma:root="true" ma:fieldsID="62ea347ee6c5493b9e14b1c149bab3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48986E-99A0-4F90-865A-B2513F560665}">
  <ds:schemaRefs>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www.w3.org/XML/1998/namespace"/>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33267E3B-D061-4D8F-9CB4-985A0A9D1A73}">
  <ds:schemaRefs>
    <ds:schemaRef ds:uri="http://schemas.microsoft.com/sharepoint/v3/contenttype/forms"/>
  </ds:schemaRefs>
</ds:datastoreItem>
</file>

<file path=customXml/itemProps3.xml><?xml version="1.0" encoding="utf-8"?>
<ds:datastoreItem xmlns:ds="http://schemas.openxmlformats.org/officeDocument/2006/customXml" ds:itemID="{73072A52-623B-42B3-804C-D8F39A917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38</vt:i4>
      </vt:variant>
    </vt:vector>
  </HeadingPairs>
  <TitlesOfParts>
    <vt:vector size="70" baseType="lpstr">
      <vt:lpstr>Step1-Country data</vt:lpstr>
      <vt:lpstr>Step2-Energy</vt:lpstr>
      <vt:lpstr>5-1 Fuels</vt:lpstr>
      <vt:lpstr>Step3-Metals-RawMat</vt:lpstr>
      <vt:lpstr>5-2 Prim metal</vt:lpstr>
      <vt:lpstr>5-3 Other min + mat</vt:lpstr>
      <vt:lpstr>Step4-Industrial Hg use</vt:lpstr>
      <vt:lpstr>5-4 Int Hg in Industry</vt:lpstr>
      <vt:lpstr>Step5-Waste treatment+recycling</vt:lpstr>
      <vt:lpstr>5-8 Waste incin</vt:lpstr>
      <vt:lpstr>5-9 Waste depo and water treatm</vt:lpstr>
      <vt:lpstr>5-7 Recycl metals</vt:lpstr>
      <vt:lpstr>Step6-Hg products-substances</vt:lpstr>
      <vt:lpstr>5-6 Other int use</vt:lpstr>
      <vt:lpstr>Step7-Crematoria-cemetaries</vt:lpstr>
      <vt:lpstr>5-5 Cons prod</vt:lpstr>
      <vt:lpstr>New5-10 Crem n cem</vt:lpstr>
      <vt:lpstr>Step8-Miscellannous Hg sources</vt:lpstr>
      <vt:lpstr>Insert IL2 results</vt:lpstr>
      <vt:lpstr>Range-thresholds</vt:lpstr>
      <vt:lpstr>Unit conversion</vt:lpstr>
      <vt:lpstr>Level 1-ExecSummary</vt:lpstr>
      <vt:lpstr>Level 1-Charts</vt:lpstr>
      <vt:lpstr>Level 1- Hg sources identified</vt:lpstr>
      <vt:lpstr>Level 1-summary of Hg inputs</vt:lpstr>
      <vt:lpstr>Level 1-summary of releases</vt:lpstr>
      <vt:lpstr>Level 1- total summary</vt:lpstr>
      <vt:lpstr>Level 2-introduction</vt:lpstr>
      <vt:lpstr>Level 2-summary</vt:lpstr>
      <vt:lpstr>Default Controls</vt:lpstr>
      <vt:lpstr>Countrydata</vt:lpstr>
      <vt:lpstr>Translation note</vt:lpstr>
      <vt:lpstr>'5-7 Recycl metals'!_Ref49683512</vt:lpstr>
      <vt:lpstr>'5-7 Recycl metals'!_Ref49683522</vt:lpstr>
      <vt:lpstr>'5-7 Recycl metals'!_Ref49683534</vt:lpstr>
      <vt:lpstr>'5-9 Waste depo and water treatm'!_Ref50871338</vt:lpstr>
      <vt:lpstr>'5-9 Waste depo and water treatm'!_Ref50871349</vt:lpstr>
      <vt:lpstr>'5-6 Other int use'!_Ref52957575</vt:lpstr>
      <vt:lpstr>_SeF4</vt:lpstr>
      <vt:lpstr>Country</vt:lpstr>
      <vt:lpstr>no</vt:lpstr>
      <vt:lpstr>pres</vt:lpstr>
      <vt:lpstr>'Insert IL2 results'!Print_Area</vt:lpstr>
      <vt:lpstr>'Level 1- Hg sources identified'!Print_Area</vt:lpstr>
      <vt:lpstr>'Level 1- total summary'!Print_Area</vt:lpstr>
      <vt:lpstr>'Level 1-Charts'!Print_Area</vt:lpstr>
      <vt:lpstr>'Level 1-ExecSummary'!Print_Area</vt:lpstr>
      <vt:lpstr>'Level 1-summary of Hg inputs'!Print_Area</vt:lpstr>
      <vt:lpstr>'Level 1-summary of releases'!Print_Area</vt:lpstr>
      <vt:lpstr>'Level 2-summary'!Print_Area</vt:lpstr>
      <vt:lpstr>'Step1-Country data'!Print_Area</vt:lpstr>
      <vt:lpstr>'Step2-Energy'!Print_Area</vt:lpstr>
      <vt:lpstr>'Step3-Metals-RawMat'!Print_Area</vt:lpstr>
      <vt:lpstr>'Step4-Industrial Hg use'!Print_Area</vt:lpstr>
      <vt:lpstr>'Step5-Waste treatment+recycling'!Print_Area</vt:lpstr>
      <vt:lpstr>'Step6-Hg products-substances'!Print_Area</vt:lpstr>
      <vt:lpstr>'Step7-Crematoria-cemetaries'!Print_Area</vt:lpstr>
      <vt:lpstr>'Step8-Miscellannous Hg sources'!Print_Area</vt:lpstr>
      <vt:lpstr>que</vt:lpstr>
      <vt:lpstr>quest</vt:lpstr>
      <vt:lpstr>quest2</vt:lpstr>
      <vt:lpstr>trans_warning</vt:lpstr>
      <vt:lpstr>trans1</vt:lpstr>
      <vt:lpstr>trans2</vt:lpstr>
      <vt:lpstr>trans3</vt:lpstr>
      <vt:lpstr>trans4</vt:lpstr>
      <vt:lpstr>trans5</vt:lpstr>
      <vt:lpstr>yes</vt:lpstr>
      <vt:lpstr>yn</vt:lpstr>
      <vt:lpstr>yn?</vt:lpstr>
    </vt:vector>
  </TitlesOfParts>
  <Company>COWI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dc:creator>
  <cp:lastModifiedBy>Angeline Djampou</cp:lastModifiedBy>
  <cp:lastPrinted>2012-09-10T09:31:09Z</cp:lastPrinted>
  <dcterms:created xsi:type="dcterms:W3CDTF">2005-10-18T14:46:44Z</dcterms:created>
  <dcterms:modified xsi:type="dcterms:W3CDTF">2019-11-08T19:17:19Z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0x010100C4B5EC5F424DF0438C02C794499518FB</vt:lpwstr>
  </property>
</Properties>
</file>