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24226"/>
  <mc:AlternateContent xmlns:mc="http://schemas.openxmlformats.org/markup-compatibility/2006">
    <mc:Choice Requires="x15">
      <x15ac:absPath xmlns:x15ac="http://schemas.microsoft.com/office/spreadsheetml/2010/11/ac" url="C:\Users\djampoua\Dropbox\tagging 2019\"/>
    </mc:Choice>
  </mc:AlternateContent>
  <xr:revisionPtr revIDLastSave="0" documentId="8_{C562282A-C8B2-4FA1-98F9-561CE47644FE}" xr6:coauthVersionLast="41" xr6:coauthVersionMax="41" xr10:uidLastSave="{00000000-0000-0000-0000-000000000000}"/>
  <bookViews>
    <workbookView xWindow="-110" yWindow="-110" windowWidth="19420" windowHeight="10420" tabRatio="870" xr2:uid="{00000000-000D-0000-FFFF-FFFF00000000}"/>
  </bookViews>
  <sheets>
    <sheet name="Etape 1-Données pays" sheetId="18" r:id="rId1"/>
    <sheet name="Etape 2-Energie" sheetId="14" r:id="rId2"/>
    <sheet name="5-1 Fuels" sheetId="2" state="hidden" r:id="rId3"/>
    <sheet name="Etape 3-Métaux-MatPre" sheetId="15" r:id="rId4"/>
    <sheet name="5-2 Prim metal" sheetId="5" state="hidden" r:id="rId5"/>
    <sheet name="5-3 Other min + mat" sheetId="7" state="hidden" r:id="rId6"/>
    <sheet name="Etape 4-Utilis. Industrielle Hg" sheetId="16" r:id="rId7"/>
    <sheet name="5-4 Int Hg in Industry" sheetId="4" state="hidden" r:id="rId8"/>
    <sheet name="Etape5-Trait.+recyclage déchets" sheetId="19" r:id="rId9"/>
    <sheet name="5-8 Waste incin" sheetId="8" state="hidden" r:id="rId10"/>
    <sheet name="5-9 Waste depo and water treatm" sheetId="11" state="hidden" r:id="rId11"/>
    <sheet name="5-7 Recycl metals" sheetId="10" state="hidden" r:id="rId12"/>
    <sheet name="Etape6-Produits-substances Hg" sheetId="17" r:id="rId13"/>
    <sheet name="Countrydata" sheetId="40" state="hidden" r:id="rId14"/>
    <sheet name="5-5 Cons prod" sheetId="3" state="hidden" r:id="rId15"/>
    <sheet name="5-6 Other int use" sheetId="9" state="hidden" r:id="rId16"/>
    <sheet name="Etape7-Crématoriums-cimetières" sheetId="25" r:id="rId17"/>
    <sheet name="Etape8-Autres sources Hg" sheetId="26" r:id="rId18"/>
    <sheet name="Insérer résultats IN2" sheetId="41" r:id="rId19"/>
    <sheet name="Range-thresholds" sheetId="37" state="hidden" r:id="rId20"/>
    <sheet name="Unités de conversion" sheetId="42" r:id="rId21"/>
    <sheet name="Niveau 1-SommExec" sheetId="30" r:id="rId22"/>
    <sheet name="Niveau 1-Graphiques" sheetId="39" r:id="rId23"/>
    <sheet name="Niveau1- sources Hg identifiées" sheetId="32" r:id="rId24"/>
    <sheet name="Niveau 1-Sommaire des entréesHg" sheetId="22" r:id="rId25"/>
    <sheet name="Niveau 1-Sommaire des rejets" sheetId="31" r:id="rId26"/>
    <sheet name="Niveau 1- Sommaire général" sheetId="29" r:id="rId27"/>
    <sheet name="Level 2-introduction" sheetId="6" state="hidden" r:id="rId28"/>
    <sheet name="Level 2-summary" sheetId="12" state="hidden" r:id="rId29"/>
    <sheet name="Contrôles par défaut" sheetId="43" r:id="rId30"/>
    <sheet name="Translation note" sheetId="36" state="hidden" r:id="rId31"/>
    <sheet name="5-10 Cremat and cem" sheetId="13" state="hidden" r:id="rId32"/>
  </sheets>
  <externalReferences>
    <externalReference r:id="rId33"/>
  </externalReferences>
  <definedNames>
    <definedName name="_Ref49683512" localSheetId="11">'5-7 Recycl metals'!$C$6</definedName>
    <definedName name="_Ref49683522" localSheetId="11">'5-7 Recycl metals'!$C$8</definedName>
    <definedName name="_Ref49683534" localSheetId="11">'5-7 Recycl metals'!$C$10</definedName>
    <definedName name="_Ref50871338" localSheetId="10">'5-9 Waste depo and water treatm'!$C$11</definedName>
    <definedName name="_Ref50871349" localSheetId="10">'5-9 Waste depo and water treatm'!$C$13</definedName>
    <definedName name="_Ref52957575" localSheetId="15">'5-6 Other int use'!$C$53</definedName>
    <definedName name="_SeF4">'Translation note'!$B$16</definedName>
    <definedName name="Country">Countrydata!$A$8:$A$206</definedName>
    <definedName name="joo">'[1]Translation note'!$B$4</definedName>
    <definedName name="no">'Translation note'!$B$5</definedName>
    <definedName name="noo">'[1]Translation note'!$B$5</definedName>
    <definedName name="pres">'Translation note'!$B$3</definedName>
    <definedName name="_xlnm.Print_Area" localSheetId="0">'Etape 1-Données pays'!$A$3:$B$20</definedName>
    <definedName name="_xlnm.Print_Area" localSheetId="1">'Etape 2-Energie'!$A$1:$M$26</definedName>
    <definedName name="_xlnm.Print_Area" localSheetId="3">'Etape 3-Métaux-MatPre'!$A$1:$M$31</definedName>
    <definedName name="_xlnm.Print_Area" localSheetId="6">'Etape 4-Utilis. Industrielle Hg'!$A$1:$L$18</definedName>
    <definedName name="_xlnm.Print_Area" localSheetId="8">'Etape5-Trait.+recyclage déchets'!$A$1:$M$29</definedName>
    <definedName name="_xlnm.Print_Area" localSheetId="12">'Etape6-Produits-substances Hg'!$A$1:$M$49</definedName>
    <definedName name="_xlnm.Print_Area" localSheetId="16">'Etape7-Crématoriums-cimetières'!$A$1:$L$6</definedName>
    <definedName name="_xlnm.Print_Area" localSheetId="17">'Etape8-Autres sources Hg'!$A$1:$B$30</definedName>
    <definedName name="_xlnm.Print_Area" localSheetId="18">'Insérer résultats IN2'!$A$9:$B$79</definedName>
    <definedName name="_xlnm.Print_Area" localSheetId="28">'Level 2-summary'!$A$11:$E$71</definedName>
    <definedName name="_xlnm.Print_Area" localSheetId="26">'Niveau 1- Sommaire général'!$A$2:$D$73</definedName>
    <definedName name="_xlnm.Print_Area" localSheetId="22">'Niveau 1-Graphiques'!$A$6:$A$25</definedName>
    <definedName name="_xlnm.Print_Area" localSheetId="24">'Niveau 1-Sommaire des entréesHg'!$A$2:$D$73</definedName>
    <definedName name="_xlnm.Print_Area" localSheetId="25">'Niveau 1-Sommaire des rejets'!$A$1:$G$75</definedName>
    <definedName name="_xlnm.Print_Area" localSheetId="21">'Niveau 1-SommExec'!$A$1:$J$33</definedName>
    <definedName name="_xlnm.Print_Area" localSheetId="23">'Niveau1- sources Hg identifiées'!$A$2:$B$72</definedName>
    <definedName name="que">'Translation note'!$B$6</definedName>
    <definedName name="quest">'Translation note'!$B$7</definedName>
    <definedName name="quest2">'Translation note'!$B$8</definedName>
    <definedName name="sdf">'[1]Translation note'!$B$6</definedName>
    <definedName name="trans_warning">'Translation note'!$B$15</definedName>
    <definedName name="trans1">'Translation note'!$B$10</definedName>
    <definedName name="trans2">'Translation note'!$B$11</definedName>
    <definedName name="trans3">'Translation note'!$B$12</definedName>
    <definedName name="trans4">'Translation note'!$B$13</definedName>
    <definedName name="trans5">'Translation note'!$B$14</definedName>
    <definedName name="yes">'Translation note'!$B$4</definedName>
    <definedName name="yn">'Translation note'!$B$4:$B$5</definedName>
    <definedName name="yn?">'Translation note'!$B$4:$B$6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42" l="1"/>
  <c r="D8" i="25" l="1"/>
  <c r="D53" i="43" l="1"/>
  <c r="C53" i="43"/>
  <c r="D50" i="43"/>
  <c r="E50" i="43"/>
  <c r="F50" i="43"/>
  <c r="C50" i="43"/>
  <c r="D47" i="43"/>
  <c r="E47" i="43"/>
  <c r="F47" i="43"/>
  <c r="C47" i="43"/>
  <c r="D44" i="43"/>
  <c r="E44" i="43"/>
  <c r="F44" i="43"/>
  <c r="C44" i="43"/>
  <c r="D41" i="43"/>
  <c r="E41" i="43"/>
  <c r="F41" i="43"/>
  <c r="C41" i="43"/>
  <c r="A53" i="43"/>
  <c r="A50" i="43"/>
  <c r="A47" i="43"/>
  <c r="A44" i="43"/>
  <c r="A41" i="43"/>
  <c r="D38" i="43"/>
  <c r="C38" i="43"/>
  <c r="B35" i="43"/>
  <c r="B33" i="43"/>
  <c r="D35" i="43"/>
  <c r="E35" i="43"/>
  <c r="F35" i="43"/>
  <c r="G35" i="43"/>
  <c r="C35" i="43"/>
  <c r="D33" i="43"/>
  <c r="E33" i="43"/>
  <c r="F33" i="43"/>
  <c r="G33" i="43"/>
  <c r="C33" i="43"/>
  <c r="D30" i="43"/>
  <c r="C30" i="43"/>
  <c r="D27" i="43"/>
  <c r="C27" i="43"/>
  <c r="D24" i="43"/>
  <c r="E24" i="43"/>
  <c r="F24" i="43"/>
  <c r="C24" i="43"/>
  <c r="D21" i="43"/>
  <c r="E21" i="43"/>
  <c r="F21" i="43"/>
  <c r="C21" i="43"/>
  <c r="F18" i="43"/>
  <c r="E18" i="43"/>
  <c r="D18" i="43"/>
  <c r="C18" i="43"/>
  <c r="A38" i="43"/>
  <c r="A33" i="43"/>
  <c r="A30" i="43"/>
  <c r="A27" i="43"/>
  <c r="A24" i="43"/>
  <c r="A21" i="43"/>
  <c r="A18" i="43"/>
  <c r="D15" i="43"/>
  <c r="C15" i="43"/>
  <c r="A15" i="43"/>
  <c r="A3" i="43"/>
  <c r="D12" i="43" l="1"/>
  <c r="E12" i="43"/>
  <c r="C12" i="43"/>
  <c r="A12" i="43"/>
  <c r="D9" i="43"/>
  <c r="E9" i="43"/>
  <c r="C9" i="43"/>
  <c r="A9" i="43"/>
  <c r="D6" i="43"/>
  <c r="E6" i="43"/>
  <c r="F6" i="43"/>
  <c r="G6" i="43"/>
  <c r="H6" i="43"/>
  <c r="C6" i="43"/>
  <c r="A6" i="43"/>
  <c r="D3" i="43"/>
  <c r="E3" i="43"/>
  <c r="F3" i="43"/>
  <c r="G3" i="43"/>
  <c r="H3" i="43"/>
  <c r="C3" i="43"/>
  <c r="A2" i="15" l="1"/>
  <c r="K16" i="16" l="1"/>
  <c r="J16" i="16"/>
  <c r="I16" i="16"/>
  <c r="H16" i="16"/>
  <c r="G16" i="16"/>
  <c r="F16" i="16"/>
  <c r="E16" i="16"/>
  <c r="K12" i="16"/>
  <c r="J12" i="16"/>
  <c r="I12" i="16"/>
  <c r="H12" i="16"/>
  <c r="G12" i="16"/>
  <c r="F12" i="16"/>
  <c r="E12" i="16"/>
  <c r="A4" i="32" l="1"/>
  <c r="A5" i="32"/>
  <c r="B5" i="32"/>
  <c r="A6" i="32"/>
  <c r="B6" i="32"/>
  <c r="A7" i="32"/>
  <c r="B7" i="32"/>
  <c r="A8" i="32"/>
  <c r="B8" i="32"/>
  <c r="A9" i="32"/>
  <c r="B9" i="32"/>
  <c r="A10" i="32"/>
  <c r="B10" i="32"/>
  <c r="A11" i="32"/>
  <c r="B11" i="32"/>
  <c r="A12" i="32"/>
  <c r="B12" i="32"/>
  <c r="A13" i="32"/>
  <c r="B13" i="32"/>
  <c r="A14" i="32"/>
  <c r="A15" i="32"/>
  <c r="B15" i="32"/>
  <c r="A16" i="32"/>
  <c r="B16" i="32"/>
  <c r="A17" i="32"/>
  <c r="B17" i="32"/>
  <c r="A18" i="32"/>
  <c r="A19" i="32"/>
  <c r="B19" i="32"/>
  <c r="A20" i="32"/>
  <c r="B20" i="32"/>
  <c r="A21" i="32"/>
  <c r="B21" i="32"/>
  <c r="A22" i="32"/>
  <c r="B22" i="32"/>
  <c r="A23" i="32"/>
  <c r="B23" i="32"/>
  <c r="A24" i="32"/>
  <c r="B24" i="32"/>
  <c r="A25" i="32"/>
  <c r="B25" i="32"/>
  <c r="A26" i="32"/>
  <c r="B26" i="32"/>
  <c r="A27" i="32"/>
  <c r="B27" i="32"/>
  <c r="A28" i="32"/>
  <c r="A29" i="32"/>
  <c r="B29" i="32"/>
  <c r="A30" i="32"/>
  <c r="B30" i="32"/>
  <c r="A31" i="32"/>
  <c r="A32" i="32"/>
  <c r="B32" i="32"/>
  <c r="A33" i="32"/>
  <c r="B33" i="32"/>
  <c r="A34" i="32"/>
  <c r="B34" i="32"/>
  <c r="A35" i="32"/>
  <c r="A36" i="32"/>
  <c r="B36" i="32"/>
  <c r="A37" i="32"/>
  <c r="B37" i="32"/>
  <c r="A38" i="32"/>
  <c r="B38" i="32"/>
  <c r="A39" i="32"/>
  <c r="B39" i="32"/>
  <c r="A40" i="32"/>
  <c r="B40" i="32"/>
  <c r="A41" i="32"/>
  <c r="B41" i="32"/>
  <c r="A42" i="32"/>
  <c r="B42" i="32"/>
  <c r="A43" i="32"/>
  <c r="B43" i="32"/>
  <c r="A44" i="32"/>
  <c r="A45" i="32"/>
  <c r="B45" i="32"/>
  <c r="A46" i="32"/>
  <c r="A47" i="32"/>
  <c r="B47" i="32"/>
  <c r="A48" i="32"/>
  <c r="A49" i="32"/>
  <c r="A50" i="32"/>
  <c r="B50" i="32"/>
  <c r="A51" i="32"/>
  <c r="B51" i="32"/>
  <c r="A52" i="32"/>
  <c r="B52" i="32"/>
  <c r="A53" i="32"/>
  <c r="B53" i="32"/>
  <c r="A54" i="32"/>
  <c r="B54" i="32"/>
  <c r="A55" i="32"/>
  <c r="B55" i="32"/>
  <c r="A56" i="32"/>
  <c r="B56" i="32"/>
  <c r="A57" i="32"/>
  <c r="A58" i="32"/>
  <c r="B58" i="32"/>
  <c r="A59" i="32"/>
  <c r="B59" i="32"/>
  <c r="A60" i="32"/>
  <c r="A61" i="32"/>
  <c r="B61" i="32"/>
  <c r="A62" i="32"/>
  <c r="B62" i="32"/>
  <c r="A63" i="32"/>
  <c r="B63" i="32"/>
  <c r="A64" i="32"/>
  <c r="B64" i="32"/>
  <c r="A65" i="32"/>
  <c r="B65" i="32"/>
  <c r="A66" i="32"/>
  <c r="A67" i="32"/>
  <c r="B67" i="32"/>
  <c r="A68" i="32"/>
  <c r="B68" i="32"/>
  <c r="A69" i="32"/>
  <c r="B69" i="32"/>
  <c r="A70" i="32"/>
  <c r="A71" i="32"/>
  <c r="B71" i="32"/>
  <c r="A72" i="32"/>
  <c r="B72" i="32"/>
  <c r="G10" i="14" l="1"/>
  <c r="G13" i="17" l="1"/>
  <c r="I10" i="5" l="1"/>
  <c r="G21" i="15"/>
  <c r="I9" i="5" l="1"/>
  <c r="G6" i="17" l="1"/>
  <c r="G5" i="17"/>
  <c r="G33" i="15" l="1"/>
  <c r="D18" i="42" l="1"/>
  <c r="N25" i="9" l="1"/>
  <c r="N18" i="9"/>
  <c r="N16" i="9"/>
  <c r="N43" i="3"/>
  <c r="N28" i="3"/>
  <c r="N21" i="3"/>
  <c r="N13" i="3"/>
  <c r="G24" i="15" l="1"/>
  <c r="I12" i="5"/>
  <c r="I11" i="5" l="1"/>
  <c r="G30" i="15"/>
  <c r="R30" i="15" l="1"/>
  <c r="I19" i="7"/>
  <c r="I7" i="7"/>
  <c r="G31" i="19" l="1"/>
  <c r="G21" i="19"/>
  <c r="G18" i="19"/>
  <c r="G15" i="19" l="1"/>
  <c r="K10" i="5"/>
  <c r="K11" i="5"/>
  <c r="K9" i="5"/>
  <c r="N11" i="5" l="1"/>
  <c r="N10" i="5"/>
  <c r="Z10" i="5" s="1"/>
  <c r="F19" i="15"/>
  <c r="N9" i="5"/>
  <c r="G15" i="15"/>
  <c r="V22" i="5"/>
  <c r="G12" i="15"/>
  <c r="W10" i="5" l="1"/>
  <c r="AA10" i="5"/>
  <c r="V10" i="5"/>
  <c r="Y10" i="5"/>
  <c r="X10" i="5"/>
  <c r="V9" i="5"/>
  <c r="Z9" i="5"/>
  <c r="V15" i="5"/>
  <c r="G9" i="15"/>
  <c r="G19" i="15" l="1"/>
  <c r="G28" i="14"/>
  <c r="G17" i="14" l="1"/>
  <c r="I39" i="2" l="1"/>
  <c r="G14" i="14"/>
  <c r="G7" i="14" l="1"/>
  <c r="B6" i="22" l="1"/>
  <c r="D6" i="22"/>
  <c r="B6" i="29"/>
  <c r="C6" i="29"/>
  <c r="C6" i="22" s="1"/>
  <c r="D6" i="29"/>
  <c r="I18" i="2"/>
  <c r="I28" i="2"/>
  <c r="G28" i="2"/>
  <c r="G18" i="2"/>
  <c r="M11" i="14" l="1"/>
  <c r="M8" i="14"/>
  <c r="L6" i="29" s="1"/>
  <c r="A6" i="29" l="1"/>
  <c r="A13" i="41"/>
  <c r="A7" i="37"/>
  <c r="A6" i="22" s="1"/>
  <c r="A6" i="31"/>
  <c r="AA25" i="7" l="1"/>
  <c r="Z25" i="7"/>
  <c r="Y25" i="7"/>
  <c r="X25" i="7"/>
  <c r="W25" i="7"/>
  <c r="V25" i="7"/>
  <c r="AA24" i="7"/>
  <c r="Z24" i="7"/>
  <c r="Y24" i="7"/>
  <c r="X24" i="7"/>
  <c r="W24" i="7"/>
  <c r="V24" i="7"/>
  <c r="AA23" i="7"/>
  <c r="Z23" i="7"/>
  <c r="Y23" i="7"/>
  <c r="X23" i="7"/>
  <c r="W23" i="7"/>
  <c r="V23" i="7"/>
  <c r="AA22" i="7"/>
  <c r="Z22" i="7"/>
  <c r="Y22" i="7"/>
  <c r="X22" i="7"/>
  <c r="W22" i="7"/>
  <c r="V22" i="7"/>
  <c r="AA21" i="7"/>
  <c r="Z21" i="7"/>
  <c r="Y21" i="7"/>
  <c r="X21" i="7"/>
  <c r="W21" i="7"/>
  <c r="V21" i="7"/>
  <c r="AA20" i="7"/>
  <c r="Z20" i="7"/>
  <c r="Y20" i="7"/>
  <c r="X20" i="7"/>
  <c r="W20" i="7"/>
  <c r="V20" i="7"/>
  <c r="AA13" i="7"/>
  <c r="Z13" i="7"/>
  <c r="Y13" i="7"/>
  <c r="X13" i="7"/>
  <c r="W13" i="7"/>
  <c r="V13" i="7"/>
  <c r="AA12" i="7"/>
  <c r="Z12" i="7"/>
  <c r="Y12" i="7"/>
  <c r="X12" i="7"/>
  <c r="W12" i="7"/>
  <c r="V12" i="7"/>
  <c r="AA11" i="7"/>
  <c r="Z11" i="7"/>
  <c r="Y11" i="7"/>
  <c r="X11" i="7"/>
  <c r="W11" i="7"/>
  <c r="V11" i="7"/>
  <c r="AA10" i="7"/>
  <c r="Z10" i="7"/>
  <c r="Y10" i="7"/>
  <c r="X10" i="7"/>
  <c r="W10" i="7"/>
  <c r="V10" i="7"/>
  <c r="AA9" i="7"/>
  <c r="Z9" i="7"/>
  <c r="Y9" i="7"/>
  <c r="X9" i="7"/>
  <c r="W9" i="7"/>
  <c r="V9" i="7"/>
  <c r="P23" i="2" l="1"/>
  <c r="U23" i="2" s="1"/>
  <c r="P22" i="2"/>
  <c r="U22" i="2" s="1"/>
  <c r="P21" i="2"/>
  <c r="P20" i="2"/>
  <c r="U20" i="2" s="1"/>
  <c r="P24" i="2"/>
  <c r="U24" i="2" s="1"/>
  <c r="U21" i="2"/>
  <c r="AA32" i="2"/>
  <c r="Z32" i="2"/>
  <c r="Y32" i="2"/>
  <c r="X32" i="2"/>
  <c r="W32" i="2"/>
  <c r="V32" i="2"/>
  <c r="AA31" i="2"/>
  <c r="Z31" i="2"/>
  <c r="Y31" i="2"/>
  <c r="X31" i="2"/>
  <c r="W31" i="2"/>
  <c r="V31" i="2"/>
  <c r="AA30" i="2"/>
  <c r="Z30" i="2"/>
  <c r="Y30" i="2"/>
  <c r="X30" i="2"/>
  <c r="W30" i="2"/>
  <c r="V30" i="2"/>
  <c r="AA28" i="2"/>
  <c r="Z28" i="2"/>
  <c r="Y28" i="2"/>
  <c r="X28" i="2"/>
  <c r="W28" i="2"/>
  <c r="V28" i="2"/>
  <c r="K28" i="2"/>
  <c r="AA27" i="2"/>
  <c r="Z27" i="2"/>
  <c r="Y27" i="2"/>
  <c r="X27" i="2"/>
  <c r="W27" i="2"/>
  <c r="V27" i="2"/>
  <c r="K27" i="2"/>
  <c r="P14" i="2"/>
  <c r="U14" i="2" s="1"/>
  <c r="P13" i="2"/>
  <c r="U13" i="2" s="1"/>
  <c r="P12" i="2"/>
  <c r="U12" i="2" s="1"/>
  <c r="P11" i="2"/>
  <c r="U11" i="2" s="1"/>
  <c r="P10" i="2"/>
  <c r="U10" i="2" s="1"/>
  <c r="N29" i="2" l="1"/>
  <c r="Z29" i="2" s="1"/>
  <c r="Z26" i="2" s="1"/>
  <c r="K11" i="14" s="1"/>
  <c r="K26" i="2"/>
  <c r="F11" i="14" s="1"/>
  <c r="K11" i="41"/>
  <c r="K25" i="41"/>
  <c r="K38" i="41"/>
  <c r="K51" i="41"/>
  <c r="K64" i="41"/>
  <c r="A77" i="41"/>
  <c r="K77" i="41"/>
  <c r="Y29" i="2" l="1"/>
  <c r="Y26" i="2" s="1"/>
  <c r="J11" i="14" s="1"/>
  <c r="V29" i="2"/>
  <c r="V26" i="2" s="1"/>
  <c r="G11" i="14" s="1"/>
  <c r="W29" i="2"/>
  <c r="W26" i="2" s="1"/>
  <c r="H11" i="14" s="1"/>
  <c r="X29" i="2"/>
  <c r="X26" i="2" s="1"/>
  <c r="I11" i="14" s="1"/>
  <c r="AA29" i="2"/>
  <c r="AA26" i="2" s="1"/>
  <c r="L11" i="14" s="1"/>
  <c r="R6" i="5"/>
  <c r="Q6" i="5"/>
  <c r="P6" i="5"/>
  <c r="I50" i="2"/>
  <c r="K50" i="2" s="1"/>
  <c r="F71" i="37"/>
  <c r="G71" i="37" s="1"/>
  <c r="F67" i="37"/>
  <c r="G67" i="37" s="1"/>
  <c r="F61" i="37"/>
  <c r="G61" i="37" s="1"/>
  <c r="F58" i="37"/>
  <c r="G58" i="37" s="1"/>
  <c r="F45" i="37"/>
  <c r="G45" i="37" s="1"/>
  <c r="F36" i="37"/>
  <c r="G36" i="37" s="1"/>
  <c r="F32" i="37"/>
  <c r="G32" i="37" s="1"/>
  <c r="F29" i="37"/>
  <c r="G29" i="37" s="1"/>
  <c r="F19" i="37"/>
  <c r="G19" i="37" s="1"/>
  <c r="F15" i="37"/>
  <c r="G15" i="37" s="1"/>
  <c r="A73" i="37"/>
  <c r="A72" i="22" s="1"/>
  <c r="A72" i="37"/>
  <c r="A71" i="22" s="1"/>
  <c r="A71" i="37"/>
  <c r="A70" i="22" s="1"/>
  <c r="A70" i="37"/>
  <c r="A69" i="22" s="1"/>
  <c r="A69" i="37"/>
  <c r="A68" i="22" s="1"/>
  <c r="A68" i="37"/>
  <c r="A67" i="22" s="1"/>
  <c r="A67" i="37"/>
  <c r="A66" i="22" s="1"/>
  <c r="A66" i="37"/>
  <c r="A65" i="22" s="1"/>
  <c r="A65" i="37"/>
  <c r="A64" i="22" s="1"/>
  <c r="A64" i="37"/>
  <c r="A63" i="22" s="1"/>
  <c r="A63" i="37"/>
  <c r="A62" i="22" s="1"/>
  <c r="A62" i="37"/>
  <c r="A61" i="22" s="1"/>
  <c r="A61" i="37"/>
  <c r="A60" i="22" s="1"/>
  <c r="A60" i="37"/>
  <c r="A59" i="22" s="1"/>
  <c r="A59" i="37"/>
  <c r="A58" i="22" s="1"/>
  <c r="A58" i="37"/>
  <c r="A57" i="22" s="1"/>
  <c r="A57" i="37"/>
  <c r="A56" i="22" s="1"/>
  <c r="A56" i="37"/>
  <c r="A55" i="22" s="1"/>
  <c r="A55" i="37"/>
  <c r="A54" i="22" s="1"/>
  <c r="A54" i="37"/>
  <c r="A53" i="22" s="1"/>
  <c r="A53" i="37"/>
  <c r="A52" i="22" s="1"/>
  <c r="A52" i="37"/>
  <c r="A51" i="22" s="1"/>
  <c r="A51" i="37"/>
  <c r="A50" i="22" s="1"/>
  <c r="A50" i="37"/>
  <c r="A49" i="22" s="1"/>
  <c r="A49" i="37"/>
  <c r="A48" i="22" s="1"/>
  <c r="A48" i="37"/>
  <c r="A47" i="22" s="1"/>
  <c r="A47" i="37"/>
  <c r="A46" i="22" s="1"/>
  <c r="A46" i="37"/>
  <c r="A45" i="22" s="1"/>
  <c r="A45" i="37"/>
  <c r="A44" i="22" s="1"/>
  <c r="A44" i="37"/>
  <c r="A43" i="22" s="1"/>
  <c r="A43" i="37"/>
  <c r="A42" i="22" s="1"/>
  <c r="A42" i="37"/>
  <c r="A41" i="22" s="1"/>
  <c r="A41" i="37"/>
  <c r="A40" i="22" s="1"/>
  <c r="A40" i="37"/>
  <c r="A39" i="22" s="1"/>
  <c r="A39" i="37"/>
  <c r="A38" i="22" s="1"/>
  <c r="A38" i="37"/>
  <c r="A37" i="22" s="1"/>
  <c r="A37" i="37"/>
  <c r="A36" i="22" s="1"/>
  <c r="A36" i="37"/>
  <c r="A35" i="22" s="1"/>
  <c r="A35" i="37"/>
  <c r="A34" i="22" s="1"/>
  <c r="A34" i="37"/>
  <c r="A33" i="22" s="1"/>
  <c r="A33" i="37"/>
  <c r="A32" i="22" s="1"/>
  <c r="A32" i="37"/>
  <c r="A31" i="22" s="1"/>
  <c r="A31" i="37"/>
  <c r="A30" i="22" s="1"/>
  <c r="A30" i="37"/>
  <c r="A29" i="37"/>
  <c r="A28" i="22" s="1"/>
  <c r="A28" i="37"/>
  <c r="A27" i="22" s="1"/>
  <c r="A27" i="37"/>
  <c r="A26" i="22" s="1"/>
  <c r="A26" i="37"/>
  <c r="A25" i="22" s="1"/>
  <c r="A25" i="37"/>
  <c r="A24" i="22" s="1"/>
  <c r="A24" i="37"/>
  <c r="A23" i="22" s="1"/>
  <c r="A23" i="37"/>
  <c r="A22" i="22" s="1"/>
  <c r="A22" i="37"/>
  <c r="A21" i="22" s="1"/>
  <c r="A21" i="37"/>
  <c r="A20" i="22" s="1"/>
  <c r="A20" i="37"/>
  <c r="A19" i="22" s="1"/>
  <c r="A19" i="37"/>
  <c r="A18" i="22" s="1"/>
  <c r="A5" i="37"/>
  <c r="A4" i="22" s="1"/>
  <c r="A18" i="37"/>
  <c r="A17" i="22" s="1"/>
  <c r="A17" i="37"/>
  <c r="A16" i="22" s="1"/>
  <c r="A16" i="37"/>
  <c r="A15" i="22" s="1"/>
  <c r="A15" i="37"/>
  <c r="A14" i="22" s="1"/>
  <c r="A14" i="37"/>
  <c r="A13" i="22" s="1"/>
  <c r="A12" i="37"/>
  <c r="A11" i="22" s="1"/>
  <c r="A11" i="37"/>
  <c r="A10" i="22" s="1"/>
  <c r="A10" i="37"/>
  <c r="A9" i="22" s="1"/>
  <c r="A9" i="37"/>
  <c r="A8" i="22" s="1"/>
  <c r="A8" i="37"/>
  <c r="A7" i="22" s="1"/>
  <c r="D57" i="37"/>
  <c r="E57" i="37" s="1"/>
  <c r="D56" i="37"/>
  <c r="E56" i="37" s="1"/>
  <c r="D55" i="37"/>
  <c r="E55" i="37" s="1"/>
  <c r="D51" i="37"/>
  <c r="E51" i="37" s="1"/>
  <c r="D48" i="37"/>
  <c r="E48" i="37" s="1"/>
  <c r="D46" i="37"/>
  <c r="E46" i="37" s="1"/>
  <c r="D39" i="37"/>
  <c r="D36" i="37"/>
  <c r="E36" i="37" s="1"/>
  <c r="D34" i="37"/>
  <c r="D28" i="37"/>
  <c r="D23" i="37"/>
  <c r="D21" i="37"/>
  <c r="D17" i="37"/>
  <c r="D12" i="37"/>
  <c r="D8" i="37"/>
  <c r="D35" i="37"/>
  <c r="E35" i="37" s="1"/>
  <c r="B42" i="37"/>
  <c r="B41" i="37"/>
  <c r="B38" i="37"/>
  <c r="B37" i="37"/>
  <c r="C24" i="37"/>
  <c r="D24" i="37" s="1"/>
  <c r="C9" i="37"/>
  <c r="D9" i="37" s="1"/>
  <c r="C10" i="37"/>
  <c r="D10" i="37" s="1"/>
  <c r="C11" i="37"/>
  <c r="D11" i="37" s="1"/>
  <c r="C13" i="37"/>
  <c r="D13" i="37" s="1"/>
  <c r="C14" i="37"/>
  <c r="D14" i="37" s="1"/>
  <c r="C15" i="37"/>
  <c r="D15" i="37" s="1"/>
  <c r="C16" i="37"/>
  <c r="D16" i="37" s="1"/>
  <c r="C18" i="37"/>
  <c r="D18" i="37" s="1"/>
  <c r="C19" i="37"/>
  <c r="D19" i="37" s="1"/>
  <c r="C20" i="37"/>
  <c r="D20" i="37" s="1"/>
  <c r="C22" i="37"/>
  <c r="D22" i="37" s="1"/>
  <c r="C25" i="37"/>
  <c r="D25" i="37" s="1"/>
  <c r="C26" i="37"/>
  <c r="D26" i="37" s="1"/>
  <c r="C27" i="37"/>
  <c r="D27" i="37" s="1"/>
  <c r="C29" i="37"/>
  <c r="D29" i="37" s="1"/>
  <c r="C30" i="37"/>
  <c r="D30" i="37" s="1"/>
  <c r="C31" i="37"/>
  <c r="D31" i="37" s="1"/>
  <c r="C32" i="37"/>
  <c r="D32" i="37" s="1"/>
  <c r="C33" i="37"/>
  <c r="D33" i="37" s="1"/>
  <c r="C35" i="37"/>
  <c r="C36" i="37"/>
  <c r="C37" i="37"/>
  <c r="C38" i="37"/>
  <c r="C40" i="37"/>
  <c r="D40" i="37" s="1"/>
  <c r="C41" i="37"/>
  <c r="C42" i="37"/>
  <c r="C43" i="37"/>
  <c r="D43" i="37" s="1"/>
  <c r="D44" i="37"/>
  <c r="C45" i="37"/>
  <c r="D45" i="37" s="1"/>
  <c r="C46" i="37"/>
  <c r="C47" i="37"/>
  <c r="D47" i="37" s="1"/>
  <c r="C48" i="37"/>
  <c r="C49" i="37"/>
  <c r="D49" i="37"/>
  <c r="C50" i="37"/>
  <c r="D50" i="37" s="1"/>
  <c r="C51" i="37"/>
  <c r="D52" i="37"/>
  <c r="D53" i="37"/>
  <c r="C54" i="37"/>
  <c r="D54" i="37" s="1"/>
  <c r="C55" i="37"/>
  <c r="C56" i="37"/>
  <c r="C57" i="37"/>
  <c r="C58" i="37"/>
  <c r="D58" i="37" s="1"/>
  <c r="C59" i="37"/>
  <c r="D59" i="37" s="1"/>
  <c r="C60" i="37"/>
  <c r="D60" i="37"/>
  <c r="C61" i="37"/>
  <c r="D61" i="37" s="1"/>
  <c r="C62" i="37"/>
  <c r="D62" i="37" s="1"/>
  <c r="C63" i="37"/>
  <c r="D63" i="37"/>
  <c r="C64" i="37"/>
  <c r="D64" i="37"/>
  <c r="D65" i="37"/>
  <c r="C66" i="37"/>
  <c r="D66" i="37" s="1"/>
  <c r="C67" i="37"/>
  <c r="D67" i="37" s="1"/>
  <c r="C68" i="37"/>
  <c r="D68" i="37" s="1"/>
  <c r="C69" i="37"/>
  <c r="D69" i="37" s="1"/>
  <c r="C70" i="37"/>
  <c r="D70" i="37" s="1"/>
  <c r="C71" i="37"/>
  <c r="D71" i="37" s="1"/>
  <c r="D72" i="37"/>
  <c r="C73" i="37"/>
  <c r="D73" i="37"/>
  <c r="C6" i="37"/>
  <c r="D6" i="37"/>
  <c r="J88" i="2"/>
  <c r="K18" i="2"/>
  <c r="I8" i="2"/>
  <c r="K8" i="2" s="1"/>
  <c r="D21" i="42"/>
  <c r="D22" i="42"/>
  <c r="D20" i="42"/>
  <c r="F16" i="42"/>
  <c r="D16" i="42"/>
  <c r="D14" i="42"/>
  <c r="D13" i="42"/>
  <c r="D12" i="42"/>
  <c r="B39" i="29"/>
  <c r="D9" i="42"/>
  <c r="D10" i="42"/>
  <c r="D8" i="42"/>
  <c r="B79" i="41"/>
  <c r="A79" i="41"/>
  <c r="B78" i="41"/>
  <c r="A78" i="41"/>
  <c r="B76" i="41"/>
  <c r="B75" i="41"/>
  <c r="B74" i="41"/>
  <c r="A73" i="41"/>
  <c r="B72" i="41"/>
  <c r="B71" i="41"/>
  <c r="B70" i="41"/>
  <c r="B69" i="41"/>
  <c r="B68" i="41"/>
  <c r="A67" i="41"/>
  <c r="B66" i="41"/>
  <c r="A66" i="41"/>
  <c r="B65" i="41"/>
  <c r="A65" i="41"/>
  <c r="A64" i="41"/>
  <c r="B63" i="41"/>
  <c r="A63" i="41"/>
  <c r="B62" i="41"/>
  <c r="A62" i="41"/>
  <c r="B61" i="41"/>
  <c r="A61" i="41"/>
  <c r="B60" i="41"/>
  <c r="A60" i="41"/>
  <c r="B59" i="41"/>
  <c r="A59" i="41"/>
  <c r="B58" i="41"/>
  <c r="A58" i="41"/>
  <c r="B57" i="41"/>
  <c r="A57" i="41"/>
  <c r="B56" i="41"/>
  <c r="A56" i="41"/>
  <c r="B55" i="41"/>
  <c r="A55" i="41"/>
  <c r="B54" i="41"/>
  <c r="A54" i="41"/>
  <c r="B53" i="41"/>
  <c r="A53" i="41"/>
  <c r="B52" i="41"/>
  <c r="A52" i="41"/>
  <c r="A51" i="41"/>
  <c r="B50" i="41"/>
  <c r="A50" i="41"/>
  <c r="B49" i="41"/>
  <c r="A49" i="41"/>
  <c r="B48" i="41"/>
  <c r="A48" i="41"/>
  <c r="B47" i="41"/>
  <c r="A47" i="41"/>
  <c r="B46" i="41"/>
  <c r="A46" i="41"/>
  <c r="B45" i="41"/>
  <c r="A45" i="41"/>
  <c r="B44" i="41"/>
  <c r="A44" i="41"/>
  <c r="B43" i="41"/>
  <c r="A43" i="41"/>
  <c r="A42" i="41"/>
  <c r="B41" i="41"/>
  <c r="A41" i="41"/>
  <c r="B40" i="41"/>
  <c r="A40" i="41"/>
  <c r="B39" i="41"/>
  <c r="A39" i="41"/>
  <c r="A38" i="41"/>
  <c r="B37" i="41"/>
  <c r="A37" i="41"/>
  <c r="B36" i="41"/>
  <c r="A36" i="41"/>
  <c r="A35" i="41"/>
  <c r="B34" i="41"/>
  <c r="A34" i="41"/>
  <c r="B33" i="41"/>
  <c r="A33" i="41"/>
  <c r="B32" i="41"/>
  <c r="A32" i="41"/>
  <c r="B31" i="41"/>
  <c r="A31" i="41"/>
  <c r="B30" i="41"/>
  <c r="A30" i="41"/>
  <c r="B29" i="41"/>
  <c r="A29" i="41"/>
  <c r="B28" i="41"/>
  <c r="A28" i="41"/>
  <c r="B27" i="41"/>
  <c r="A27" i="41"/>
  <c r="B26" i="41"/>
  <c r="A26" i="41"/>
  <c r="A25" i="41"/>
  <c r="A24" i="41"/>
  <c r="A23" i="41"/>
  <c r="A22" i="41"/>
  <c r="A21" i="41"/>
  <c r="A20" i="41"/>
  <c r="A18" i="41"/>
  <c r="A17" i="41"/>
  <c r="A16" i="41"/>
  <c r="A15" i="41"/>
  <c r="A14" i="41"/>
  <c r="A11" i="41"/>
  <c r="D23" i="18"/>
  <c r="C46" i="17" s="1"/>
  <c r="B23" i="18"/>
  <c r="B6" i="18" s="1"/>
  <c r="C206" i="40"/>
  <c r="E111" i="40"/>
  <c r="D111" i="40" s="1"/>
  <c r="E179" i="40"/>
  <c r="D179" i="40" s="1"/>
  <c r="E128" i="40"/>
  <c r="D128" i="40" s="1"/>
  <c r="E199" i="40"/>
  <c r="D199" i="40" s="1"/>
  <c r="E68" i="40"/>
  <c r="D68" i="40" s="1"/>
  <c r="E45" i="40"/>
  <c r="D45" i="40" s="1"/>
  <c r="D9" i="40"/>
  <c r="E201" i="40"/>
  <c r="D201" i="40" s="1"/>
  <c r="D66" i="40"/>
  <c r="C99" i="40"/>
  <c r="C64" i="40"/>
  <c r="D205" i="40"/>
  <c r="D206" i="40"/>
  <c r="D10" i="40"/>
  <c r="D11" i="40"/>
  <c r="D12" i="40"/>
  <c r="D13" i="40"/>
  <c r="D14" i="40"/>
  <c r="D15" i="40"/>
  <c r="D16" i="40"/>
  <c r="D19" i="40"/>
  <c r="D20" i="40"/>
  <c r="D21" i="40"/>
  <c r="D22" i="40"/>
  <c r="D23" i="40"/>
  <c r="D24" i="40"/>
  <c r="D26" i="40"/>
  <c r="D27" i="40"/>
  <c r="D28" i="40"/>
  <c r="D29" i="40"/>
  <c r="D30" i="40"/>
  <c r="D31" i="40"/>
  <c r="D32" i="40"/>
  <c r="C23" i="18"/>
  <c r="C11" i="17" s="1"/>
  <c r="C8" i="25" s="1"/>
  <c r="D33" i="40"/>
  <c r="D34" i="40"/>
  <c r="D35" i="40"/>
  <c r="D36" i="40"/>
  <c r="D37" i="40"/>
  <c r="D38" i="40"/>
  <c r="D40" i="40"/>
  <c r="D41" i="40"/>
  <c r="D42" i="40"/>
  <c r="D44" i="40"/>
  <c r="D46" i="40"/>
  <c r="D47" i="40"/>
  <c r="D150" i="40"/>
  <c r="D48" i="40"/>
  <c r="D49" i="40"/>
  <c r="D50" i="40"/>
  <c r="D51" i="40"/>
  <c r="D52" i="40"/>
  <c r="D53" i="40"/>
  <c r="D55" i="40"/>
  <c r="D56" i="40"/>
  <c r="D58" i="40"/>
  <c r="D59" i="40"/>
  <c r="D60" i="40"/>
  <c r="D61" i="40"/>
  <c r="D62" i="40"/>
  <c r="D63" i="40"/>
  <c r="D64" i="40"/>
  <c r="D65" i="40"/>
  <c r="D182" i="40"/>
  <c r="D69" i="40"/>
  <c r="D72" i="40"/>
  <c r="D73" i="40"/>
  <c r="D74" i="40"/>
  <c r="D76" i="40"/>
  <c r="D78" i="40"/>
  <c r="D79" i="40"/>
  <c r="D80" i="40"/>
  <c r="D81" i="40"/>
  <c r="D82" i="40"/>
  <c r="D83" i="40"/>
  <c r="D84" i="40"/>
  <c r="D87" i="40"/>
  <c r="D88" i="40"/>
  <c r="D89" i="40"/>
  <c r="D90" i="40"/>
  <c r="D94" i="40"/>
  <c r="D96" i="40"/>
  <c r="D97" i="40"/>
  <c r="D98" i="40"/>
  <c r="D99" i="40"/>
  <c r="D100" i="40"/>
  <c r="D101" i="40"/>
  <c r="D102" i="40"/>
  <c r="D103" i="40"/>
  <c r="D104" i="40"/>
  <c r="D105" i="40"/>
  <c r="D106" i="40"/>
  <c r="D107" i="40"/>
  <c r="D108" i="40"/>
  <c r="D110" i="40"/>
  <c r="D112" i="40"/>
  <c r="D113" i="40"/>
  <c r="D114" i="40"/>
  <c r="D115" i="40"/>
  <c r="D116" i="40"/>
  <c r="D117" i="40"/>
  <c r="D118" i="40"/>
  <c r="D120" i="40"/>
  <c r="D121" i="40"/>
  <c r="D122" i="40"/>
  <c r="D123" i="40"/>
  <c r="D124" i="40"/>
  <c r="D125" i="40"/>
  <c r="D126" i="40"/>
  <c r="D127" i="40"/>
  <c r="D129" i="40"/>
  <c r="D132" i="40"/>
  <c r="D133" i="40"/>
  <c r="D134" i="40"/>
  <c r="D135" i="40"/>
  <c r="D137" i="40"/>
  <c r="D138" i="40"/>
  <c r="D139" i="40"/>
  <c r="D140" i="40"/>
  <c r="D141" i="40"/>
  <c r="D142" i="40"/>
  <c r="D143" i="40"/>
  <c r="D144" i="40"/>
  <c r="D147" i="40"/>
  <c r="D149" i="40"/>
  <c r="D151" i="40"/>
  <c r="D152" i="40"/>
  <c r="D153" i="40"/>
  <c r="D154" i="40"/>
  <c r="D155" i="40"/>
  <c r="D156" i="40"/>
  <c r="D157" i="40"/>
  <c r="D158" i="40"/>
  <c r="D159" i="40"/>
  <c r="D160" i="40"/>
  <c r="D161" i="40"/>
  <c r="D162" i="40"/>
  <c r="D163" i="40"/>
  <c r="D164" i="40"/>
  <c r="D165" i="40"/>
  <c r="D168" i="40"/>
  <c r="D169" i="40"/>
  <c r="D170" i="40"/>
  <c r="D172" i="40"/>
  <c r="D173" i="40"/>
  <c r="D174" i="40"/>
  <c r="D67" i="40"/>
  <c r="D177" i="40"/>
  <c r="D178" i="40"/>
  <c r="D180" i="40"/>
  <c r="D181" i="40"/>
  <c r="D183" i="40"/>
  <c r="D184" i="40"/>
  <c r="D185" i="40"/>
  <c r="D186" i="40"/>
  <c r="D187" i="40"/>
  <c r="D189" i="40"/>
  <c r="D190" i="40"/>
  <c r="D191" i="40"/>
  <c r="D192" i="40"/>
  <c r="D193" i="40"/>
  <c r="D195" i="40"/>
  <c r="D197" i="40"/>
  <c r="D198" i="40"/>
  <c r="D200" i="40"/>
  <c r="D202" i="40"/>
  <c r="D203" i="40"/>
  <c r="D204" i="40"/>
  <c r="D17" i="40"/>
  <c r="B7" i="36"/>
  <c r="B3" i="32" s="1"/>
  <c r="I47" i="3"/>
  <c r="K47" i="3" s="1"/>
  <c r="F31" i="17" s="1"/>
  <c r="I43" i="3"/>
  <c r="K43" i="3" s="1"/>
  <c r="F29" i="17" s="1"/>
  <c r="I33" i="3"/>
  <c r="K33" i="3" s="1"/>
  <c r="I32" i="3"/>
  <c r="K32" i="3" s="1"/>
  <c r="I31" i="3"/>
  <c r="K31" i="3" s="1"/>
  <c r="I30" i="3"/>
  <c r="K30" i="3" s="1"/>
  <c r="I29" i="3"/>
  <c r="K29" i="3" s="1"/>
  <c r="F25" i="17" s="1"/>
  <c r="I16" i="3"/>
  <c r="K16" i="3" s="1"/>
  <c r="I15" i="3"/>
  <c r="K15" i="3" s="1"/>
  <c r="I14" i="3"/>
  <c r="K14" i="3" s="1"/>
  <c r="I13" i="3"/>
  <c r="K13" i="3" s="1"/>
  <c r="B15" i="17"/>
  <c r="B46" i="32" s="1"/>
  <c r="B32" i="29"/>
  <c r="B72" i="29"/>
  <c r="B71" i="29"/>
  <c r="B69" i="29"/>
  <c r="B68" i="29"/>
  <c r="B67" i="29"/>
  <c r="B65" i="29"/>
  <c r="B64" i="29"/>
  <c r="B63" i="29"/>
  <c r="B62" i="29"/>
  <c r="B61" i="29"/>
  <c r="B59" i="29"/>
  <c r="B58" i="29"/>
  <c r="B56" i="29"/>
  <c r="B55" i="29"/>
  <c r="B54" i="29"/>
  <c r="B53" i="29"/>
  <c r="B52" i="29"/>
  <c r="B51" i="29"/>
  <c r="B50" i="29"/>
  <c r="B47" i="29"/>
  <c r="B45" i="29"/>
  <c r="B43" i="29"/>
  <c r="B42" i="29"/>
  <c r="B41" i="29"/>
  <c r="B40" i="29"/>
  <c r="B38" i="29"/>
  <c r="B37" i="29"/>
  <c r="B36" i="29"/>
  <c r="B34" i="29"/>
  <c r="B33" i="29"/>
  <c r="B30" i="29"/>
  <c r="B29" i="29"/>
  <c r="B27" i="29"/>
  <c r="B26" i="29"/>
  <c r="B25" i="29"/>
  <c r="B24" i="29"/>
  <c r="B23" i="29"/>
  <c r="B22" i="29"/>
  <c r="B21" i="29"/>
  <c r="B20" i="29"/>
  <c r="B19" i="29"/>
  <c r="B17" i="29"/>
  <c r="B16" i="29"/>
  <c r="B15" i="29"/>
  <c r="B13" i="29"/>
  <c r="B12" i="29"/>
  <c r="B11" i="29"/>
  <c r="B10" i="29"/>
  <c r="B9" i="29"/>
  <c r="B8" i="29"/>
  <c r="B7" i="29"/>
  <c r="B5" i="29"/>
  <c r="B8" i="36"/>
  <c r="E3" i="19" s="1"/>
  <c r="I6" i="25"/>
  <c r="I72" i="29" s="1"/>
  <c r="E72" i="31" s="1"/>
  <c r="I5" i="25"/>
  <c r="I71" i="29" s="1"/>
  <c r="L27" i="19"/>
  <c r="K68" i="29" s="1"/>
  <c r="H18" i="30" s="1"/>
  <c r="K27" i="19"/>
  <c r="J68" i="29" s="1"/>
  <c r="G18" i="30" s="1"/>
  <c r="J27" i="19"/>
  <c r="I68" i="29" s="1"/>
  <c r="J9" i="19"/>
  <c r="I58" i="29" s="1"/>
  <c r="E58" i="31" s="1"/>
  <c r="B72" i="22"/>
  <c r="B71" i="22"/>
  <c r="B69" i="22"/>
  <c r="B68" i="22"/>
  <c r="B67" i="22"/>
  <c r="B65" i="22"/>
  <c r="B64" i="22"/>
  <c r="B63" i="22"/>
  <c r="B62" i="22"/>
  <c r="B61" i="22"/>
  <c r="B59" i="22"/>
  <c r="B58" i="22"/>
  <c r="B56" i="22"/>
  <c r="B55" i="22"/>
  <c r="B54" i="22"/>
  <c r="B53" i="22"/>
  <c r="B52" i="22"/>
  <c r="B51" i="22"/>
  <c r="B50" i="22"/>
  <c r="B47" i="22"/>
  <c r="B45" i="22"/>
  <c r="B43" i="22"/>
  <c r="B42" i="22"/>
  <c r="B41" i="22"/>
  <c r="B40" i="22"/>
  <c r="B39" i="22"/>
  <c r="B38" i="22"/>
  <c r="B37" i="22"/>
  <c r="B36" i="22"/>
  <c r="B34" i="22"/>
  <c r="B33" i="22"/>
  <c r="B32" i="22"/>
  <c r="B30" i="22"/>
  <c r="B29" i="22"/>
  <c r="B27" i="22"/>
  <c r="B26" i="22"/>
  <c r="B25" i="22"/>
  <c r="B24" i="22"/>
  <c r="B23" i="22"/>
  <c r="B22" i="22"/>
  <c r="B21" i="22"/>
  <c r="B20" i="22"/>
  <c r="B19" i="22"/>
  <c r="B17" i="22"/>
  <c r="B16" i="22"/>
  <c r="B15" i="22"/>
  <c r="B13" i="22"/>
  <c r="B12" i="22"/>
  <c r="B11" i="22"/>
  <c r="B10" i="22"/>
  <c r="B9" i="22"/>
  <c r="B8" i="22"/>
  <c r="B7" i="22"/>
  <c r="B5" i="22"/>
  <c r="B28" i="17"/>
  <c r="B23" i="17"/>
  <c r="I45" i="3"/>
  <c r="K45" i="3" s="1"/>
  <c r="I28" i="3"/>
  <c r="K28" i="3" s="1"/>
  <c r="F24" i="17" s="1"/>
  <c r="M18" i="14"/>
  <c r="M19" i="14" s="1"/>
  <c r="A11" i="31"/>
  <c r="A10" i="31"/>
  <c r="C11" i="29"/>
  <c r="C11" i="22" s="1"/>
  <c r="A11" i="29"/>
  <c r="C10" i="29"/>
  <c r="C10" i="22" s="1"/>
  <c r="A10" i="29"/>
  <c r="I53" i="2"/>
  <c r="K53" i="2" s="1"/>
  <c r="I52" i="2"/>
  <c r="K52" i="2" s="1"/>
  <c r="D11" i="29"/>
  <c r="D10" i="22"/>
  <c r="I6" i="5"/>
  <c r="K6" i="5" s="1"/>
  <c r="N6" i="5" s="1"/>
  <c r="AA18" i="9"/>
  <c r="Z18" i="9"/>
  <c r="Y18" i="9"/>
  <c r="X18" i="9"/>
  <c r="W18" i="9"/>
  <c r="V18" i="9"/>
  <c r="A72" i="31"/>
  <c r="A71" i="31"/>
  <c r="A70" i="31"/>
  <c r="A67" i="31"/>
  <c r="A66" i="31"/>
  <c r="A65" i="31"/>
  <c r="A64" i="31"/>
  <c r="A63" i="31"/>
  <c r="A62" i="31"/>
  <c r="A61" i="31"/>
  <c r="A60" i="31"/>
  <c r="A59" i="31"/>
  <c r="A58" i="31"/>
  <c r="A57" i="31"/>
  <c r="A56" i="31"/>
  <c r="A55" i="31"/>
  <c r="A54" i="31"/>
  <c r="A53" i="31"/>
  <c r="A52" i="31"/>
  <c r="A51" i="31"/>
  <c r="A50" i="31"/>
  <c r="A49" i="31"/>
  <c r="A48" i="31"/>
  <c r="A47" i="31"/>
  <c r="A46" i="31"/>
  <c r="A45" i="31"/>
  <c r="A44" i="31"/>
  <c r="A43" i="31"/>
  <c r="A42" i="31"/>
  <c r="A41" i="31"/>
  <c r="A40" i="31"/>
  <c r="A39" i="31"/>
  <c r="A38" i="31"/>
  <c r="A37" i="31"/>
  <c r="A36" i="31"/>
  <c r="A35" i="31"/>
  <c r="A34" i="31"/>
  <c r="A33" i="31"/>
  <c r="A32" i="31"/>
  <c r="A31" i="31"/>
  <c r="A30" i="31"/>
  <c r="A28" i="31"/>
  <c r="A27" i="31"/>
  <c r="A26" i="31"/>
  <c r="A25" i="31"/>
  <c r="A24" i="31"/>
  <c r="A23" i="31"/>
  <c r="A22" i="31"/>
  <c r="A21" i="31"/>
  <c r="A20" i="31"/>
  <c r="A19" i="31"/>
  <c r="A18" i="31"/>
  <c r="A17" i="31"/>
  <c r="A16" i="31"/>
  <c r="A15" i="31"/>
  <c r="A14" i="31"/>
  <c r="A13" i="31"/>
  <c r="A9" i="31"/>
  <c r="A8" i="31"/>
  <c r="A7" i="31"/>
  <c r="A4" i="31"/>
  <c r="L72" i="29"/>
  <c r="D72" i="29"/>
  <c r="C72" i="29"/>
  <c r="C72" i="22" s="1"/>
  <c r="A72" i="29"/>
  <c r="L71" i="29"/>
  <c r="D71" i="29"/>
  <c r="C71" i="29"/>
  <c r="C71" i="22" s="1"/>
  <c r="A71" i="29"/>
  <c r="A70" i="29"/>
  <c r="L69" i="29"/>
  <c r="D69" i="29"/>
  <c r="C69" i="29"/>
  <c r="C69" i="22" s="1"/>
  <c r="L68" i="29"/>
  <c r="D68" i="29"/>
  <c r="C68" i="29"/>
  <c r="C68" i="22" s="1"/>
  <c r="L67" i="29"/>
  <c r="D67" i="29"/>
  <c r="C67" i="29"/>
  <c r="C67" i="22" s="1"/>
  <c r="A66" i="29"/>
  <c r="L65" i="29"/>
  <c r="D65" i="29"/>
  <c r="C65" i="29"/>
  <c r="C65" i="22" s="1"/>
  <c r="L64" i="29"/>
  <c r="D64" i="29"/>
  <c r="C64" i="29"/>
  <c r="C64" i="22" s="1"/>
  <c r="L63" i="29"/>
  <c r="D63" i="29"/>
  <c r="C63" i="29"/>
  <c r="C63" i="22" s="1"/>
  <c r="L62" i="29"/>
  <c r="D62" i="29"/>
  <c r="C62" i="29"/>
  <c r="C62" i="22" s="1"/>
  <c r="L61" i="29"/>
  <c r="D61" i="29"/>
  <c r="C61" i="29"/>
  <c r="C61" i="22" s="1"/>
  <c r="A60" i="29"/>
  <c r="L59" i="29"/>
  <c r="D59" i="29"/>
  <c r="C59" i="29"/>
  <c r="C59" i="22" s="1"/>
  <c r="A59" i="29"/>
  <c r="L58" i="29"/>
  <c r="D58" i="29"/>
  <c r="C58" i="29"/>
  <c r="C58" i="22" s="1"/>
  <c r="A58" i="29"/>
  <c r="A57" i="29"/>
  <c r="L56" i="29"/>
  <c r="D56" i="29"/>
  <c r="A56" i="29"/>
  <c r="L55" i="29"/>
  <c r="D55" i="29"/>
  <c r="A55" i="29"/>
  <c r="L54" i="29"/>
  <c r="D54" i="29"/>
  <c r="A54" i="29"/>
  <c r="L53" i="29"/>
  <c r="D53" i="29"/>
  <c r="C53" i="29"/>
  <c r="C53" i="22" s="1"/>
  <c r="A53" i="29"/>
  <c r="L52" i="29"/>
  <c r="D52" i="29"/>
  <c r="C52" i="29"/>
  <c r="C52" i="22" s="1"/>
  <c r="A52" i="29"/>
  <c r="L51" i="29"/>
  <c r="D51" i="29"/>
  <c r="C51" i="29"/>
  <c r="C51" i="22" s="1"/>
  <c r="A51" i="29"/>
  <c r="L50" i="29"/>
  <c r="D50" i="29"/>
  <c r="A50" i="29"/>
  <c r="L49" i="29"/>
  <c r="D49" i="29"/>
  <c r="A49" i="29"/>
  <c r="L48" i="29"/>
  <c r="D48" i="29"/>
  <c r="A48" i="29"/>
  <c r="L47" i="29"/>
  <c r="D47" i="29"/>
  <c r="A47" i="29"/>
  <c r="L46" i="29"/>
  <c r="D46" i="29"/>
  <c r="A46" i="29"/>
  <c r="L45" i="29"/>
  <c r="D45" i="29"/>
  <c r="A45" i="29"/>
  <c r="A44" i="29"/>
  <c r="L43" i="29"/>
  <c r="D43" i="29"/>
  <c r="C43" i="29"/>
  <c r="C43" i="22" s="1"/>
  <c r="A43" i="29"/>
  <c r="L42" i="29"/>
  <c r="D42" i="29"/>
  <c r="C42" i="29"/>
  <c r="C42" i="22" s="1"/>
  <c r="A42" i="29"/>
  <c r="L41" i="29"/>
  <c r="D41" i="29"/>
  <c r="C41" i="29"/>
  <c r="C41" i="22" s="1"/>
  <c r="A41" i="29"/>
  <c r="L40" i="29"/>
  <c r="D40" i="29"/>
  <c r="C40" i="29"/>
  <c r="C40" i="22" s="1"/>
  <c r="A40" i="29"/>
  <c r="L39" i="29"/>
  <c r="D39" i="29"/>
  <c r="C39" i="29"/>
  <c r="C39" i="22" s="1"/>
  <c r="A39" i="29"/>
  <c r="L38" i="29"/>
  <c r="D38" i="29"/>
  <c r="C38" i="29"/>
  <c r="C38" i="22" s="1"/>
  <c r="A38" i="29"/>
  <c r="L37" i="29"/>
  <c r="D37" i="29"/>
  <c r="C37" i="29"/>
  <c r="C37" i="22" s="1"/>
  <c r="A37" i="29"/>
  <c r="L36" i="29"/>
  <c r="D36" i="29"/>
  <c r="C36" i="29"/>
  <c r="C36" i="22" s="1"/>
  <c r="A36" i="29"/>
  <c r="L34" i="29"/>
  <c r="D34" i="29"/>
  <c r="C34" i="29"/>
  <c r="C34" i="22" s="1"/>
  <c r="A34" i="29"/>
  <c r="L33" i="29"/>
  <c r="D33" i="29"/>
  <c r="C33" i="29"/>
  <c r="C33" i="22" s="1"/>
  <c r="A33" i="29"/>
  <c r="L32" i="29"/>
  <c r="D32" i="29"/>
  <c r="C32" i="29"/>
  <c r="C32" i="22" s="1"/>
  <c r="A32" i="29"/>
  <c r="A31" i="29"/>
  <c r="L30" i="29"/>
  <c r="D30" i="29"/>
  <c r="C30" i="29"/>
  <c r="C30" i="22" s="1"/>
  <c r="A30" i="29"/>
  <c r="L29" i="29"/>
  <c r="D29" i="29"/>
  <c r="C29" i="29"/>
  <c r="C29" i="22" s="1"/>
  <c r="A28" i="29"/>
  <c r="L27" i="29"/>
  <c r="D27" i="29"/>
  <c r="C27" i="29"/>
  <c r="C27" i="22" s="1"/>
  <c r="A27" i="29"/>
  <c r="L26" i="29"/>
  <c r="D26" i="29"/>
  <c r="C26" i="29"/>
  <c r="C26" i="22" s="1"/>
  <c r="A26" i="29"/>
  <c r="L25" i="29"/>
  <c r="D25" i="29"/>
  <c r="C25" i="29"/>
  <c r="C25" i="22" s="1"/>
  <c r="A25" i="29"/>
  <c r="L24" i="29"/>
  <c r="D24" i="29"/>
  <c r="C24" i="29"/>
  <c r="C24" i="22" s="1"/>
  <c r="A24" i="29"/>
  <c r="L23" i="29"/>
  <c r="D23" i="29"/>
  <c r="C23" i="29"/>
  <c r="C23" i="22" s="1"/>
  <c r="A23" i="29"/>
  <c r="L22" i="29"/>
  <c r="D22" i="29"/>
  <c r="C22" i="29"/>
  <c r="C22" i="22" s="1"/>
  <c r="A22" i="29"/>
  <c r="L21" i="29"/>
  <c r="D21" i="29"/>
  <c r="C21" i="29"/>
  <c r="C21" i="22" s="1"/>
  <c r="A21" i="29"/>
  <c r="L20" i="29"/>
  <c r="D20" i="29"/>
  <c r="C20" i="29"/>
  <c r="C20" i="22" s="1"/>
  <c r="A20" i="29"/>
  <c r="L19" i="29"/>
  <c r="D19" i="29"/>
  <c r="C19" i="29"/>
  <c r="C19" i="22" s="1"/>
  <c r="A19" i="29"/>
  <c r="A18" i="29"/>
  <c r="A17" i="29"/>
  <c r="D16" i="29"/>
  <c r="C16" i="29"/>
  <c r="C16" i="22" s="1"/>
  <c r="A16" i="29"/>
  <c r="D15" i="29"/>
  <c r="C15" i="29"/>
  <c r="C15" i="22" s="1"/>
  <c r="A15" i="29"/>
  <c r="A14" i="29"/>
  <c r="D13" i="29"/>
  <c r="C13" i="29"/>
  <c r="C13" i="22" s="1"/>
  <c r="A13" i="29"/>
  <c r="D12" i="29"/>
  <c r="C12" i="29"/>
  <c r="C12" i="22" s="1"/>
  <c r="D9" i="29"/>
  <c r="C9" i="29"/>
  <c r="C9" i="22" s="1"/>
  <c r="A9" i="29"/>
  <c r="D8" i="29"/>
  <c r="C8" i="29"/>
  <c r="C8" i="22" s="1"/>
  <c r="A8" i="29"/>
  <c r="D7" i="29"/>
  <c r="C7" i="29"/>
  <c r="C7" i="22" s="1"/>
  <c r="A7" i="29"/>
  <c r="D5" i="29"/>
  <c r="C5" i="29"/>
  <c r="C5" i="22" s="1"/>
  <c r="A4" i="29"/>
  <c r="M21" i="14"/>
  <c r="B20" i="41" s="1"/>
  <c r="M20" i="14"/>
  <c r="L12" i="29" s="1"/>
  <c r="I43" i="2"/>
  <c r="K43" i="2" s="1"/>
  <c r="K38" i="2"/>
  <c r="C28" i="17"/>
  <c r="C49" i="29" s="1"/>
  <c r="C49" i="22" s="1"/>
  <c r="C23" i="17"/>
  <c r="C48" i="29" s="1"/>
  <c r="C48" i="22" s="1"/>
  <c r="D46" i="22"/>
  <c r="D45" i="22"/>
  <c r="C15" i="17"/>
  <c r="C46" i="29" s="1"/>
  <c r="C46" i="22" s="1"/>
  <c r="I7" i="3"/>
  <c r="K7" i="3" s="1"/>
  <c r="E10" i="16" s="1"/>
  <c r="D55" i="22"/>
  <c r="D53" i="22"/>
  <c r="H91" i="9"/>
  <c r="Y70" i="9"/>
  <c r="Y69" i="9"/>
  <c r="Y68" i="9"/>
  <c r="Y67" i="9"/>
  <c r="Y66" i="9"/>
  <c r="Y65" i="9"/>
  <c r="Y64" i="9"/>
  <c r="Y63" i="9"/>
  <c r="Y62" i="9"/>
  <c r="Y61" i="9"/>
  <c r="Y60" i="9"/>
  <c r="Y59" i="9"/>
  <c r="Y58" i="9"/>
  <c r="Y57" i="9"/>
  <c r="Y56" i="9"/>
  <c r="Y55" i="9"/>
  <c r="Y54" i="9"/>
  <c r="Y49" i="9"/>
  <c r="Y48" i="9"/>
  <c r="Y47" i="9"/>
  <c r="Y46" i="9"/>
  <c r="Y45" i="9"/>
  <c r="Y44" i="9"/>
  <c r="Y43" i="9"/>
  <c r="Y42" i="9"/>
  <c r="Y41" i="9"/>
  <c r="Y40" i="9"/>
  <c r="Y39" i="9"/>
  <c r="Y32" i="9"/>
  <c r="Y31" i="9"/>
  <c r="Y30" i="9"/>
  <c r="Y29" i="9"/>
  <c r="Y28" i="9"/>
  <c r="I15" i="9"/>
  <c r="K15" i="9" s="1"/>
  <c r="V16" i="9"/>
  <c r="I65" i="3"/>
  <c r="K65" i="3" s="1"/>
  <c r="N65" i="3" s="1"/>
  <c r="I61" i="3"/>
  <c r="K61" i="3" s="1"/>
  <c r="F36" i="17" s="1"/>
  <c r="E51" i="29" s="1"/>
  <c r="E51" i="22" s="1"/>
  <c r="F52" i="37" s="1"/>
  <c r="Y57" i="3"/>
  <c r="I16" i="11"/>
  <c r="K16" i="11" s="1"/>
  <c r="I13" i="11"/>
  <c r="K13" i="11" s="1"/>
  <c r="N13" i="11" s="1"/>
  <c r="V13" i="11" s="1"/>
  <c r="E66" i="12" s="1"/>
  <c r="I6" i="11"/>
  <c r="K6" i="11" s="1"/>
  <c r="N6" i="11" s="1"/>
  <c r="V6" i="11" s="1"/>
  <c r="E63" i="12" s="1"/>
  <c r="I26" i="8"/>
  <c r="K26" i="8" s="1"/>
  <c r="N26" i="8" s="1"/>
  <c r="AA26" i="8" s="1"/>
  <c r="I24" i="8"/>
  <c r="K24" i="8" s="1"/>
  <c r="N24" i="8" s="1"/>
  <c r="I19" i="8"/>
  <c r="K19" i="8" s="1"/>
  <c r="I13" i="8"/>
  <c r="K13" i="8" s="1"/>
  <c r="I7" i="8"/>
  <c r="K7" i="8" s="1"/>
  <c r="K10" i="10"/>
  <c r="N10" i="10" s="1"/>
  <c r="Y10" i="10" s="1"/>
  <c r="H55" i="12" s="1"/>
  <c r="I8" i="10"/>
  <c r="K8" i="10" s="1"/>
  <c r="N8" i="10" s="1"/>
  <c r="I6" i="10"/>
  <c r="K6" i="10" s="1"/>
  <c r="I8" i="13"/>
  <c r="I6" i="13"/>
  <c r="I64" i="3"/>
  <c r="K64" i="3" s="1"/>
  <c r="E17" i="16" s="1"/>
  <c r="I60" i="3"/>
  <c r="K60" i="3" s="1"/>
  <c r="I56" i="3"/>
  <c r="K56" i="3" s="1"/>
  <c r="I14" i="9"/>
  <c r="K14" i="9" s="1"/>
  <c r="N14" i="9" s="1"/>
  <c r="E14" i="16" s="1"/>
  <c r="I36" i="3"/>
  <c r="K36" i="3" s="1"/>
  <c r="E13" i="16" s="1"/>
  <c r="I26" i="3"/>
  <c r="K26" i="3" s="1"/>
  <c r="I19" i="3"/>
  <c r="K19" i="3" s="1"/>
  <c r="E11" i="16" s="1"/>
  <c r="I12" i="4"/>
  <c r="K12" i="4" s="1"/>
  <c r="I10" i="4"/>
  <c r="K10" i="4" s="1"/>
  <c r="E6" i="16" s="1"/>
  <c r="I7" i="4"/>
  <c r="K7" i="4" s="1"/>
  <c r="I35" i="2"/>
  <c r="K35" i="2" s="1"/>
  <c r="I36" i="2"/>
  <c r="K36" i="2" s="1"/>
  <c r="N36" i="2" s="1"/>
  <c r="I31" i="7"/>
  <c r="K31" i="7" s="1"/>
  <c r="D72" i="22"/>
  <c r="D71" i="22"/>
  <c r="D69" i="22"/>
  <c r="D68" i="22"/>
  <c r="D67" i="22"/>
  <c r="D65" i="22"/>
  <c r="D64" i="22"/>
  <c r="D63" i="22"/>
  <c r="D62" i="22"/>
  <c r="D61" i="22"/>
  <c r="D59" i="22"/>
  <c r="D58" i="22"/>
  <c r="D56" i="22"/>
  <c r="D54" i="22"/>
  <c r="D52" i="22"/>
  <c r="D51" i="22"/>
  <c r="D49" i="22"/>
  <c r="D48" i="22"/>
  <c r="D47" i="22"/>
  <c r="D50" i="22"/>
  <c r="D43" i="22"/>
  <c r="D42" i="22"/>
  <c r="D41" i="22"/>
  <c r="D40" i="22"/>
  <c r="D39" i="22"/>
  <c r="D38" i="22"/>
  <c r="D37" i="22"/>
  <c r="D36" i="22"/>
  <c r="D34" i="22"/>
  <c r="D33" i="22"/>
  <c r="D32" i="22"/>
  <c r="I35" i="5"/>
  <c r="K35" i="5" s="1"/>
  <c r="N35" i="5" s="1"/>
  <c r="Y35" i="5" s="1"/>
  <c r="H25" i="12" s="1"/>
  <c r="I43" i="5"/>
  <c r="K43" i="5" s="1"/>
  <c r="I38" i="5"/>
  <c r="K38" i="5" s="1"/>
  <c r="N38" i="5" s="1"/>
  <c r="I30" i="5"/>
  <c r="K30" i="5" s="1"/>
  <c r="I23" i="5"/>
  <c r="K23" i="5" s="1"/>
  <c r="I16" i="5"/>
  <c r="K16" i="5" s="1"/>
  <c r="K12" i="5"/>
  <c r="D5" i="22"/>
  <c r="D13" i="22"/>
  <c r="I63" i="2"/>
  <c r="K63" i="2" s="1"/>
  <c r="I62" i="2"/>
  <c r="K62" i="2" s="1"/>
  <c r="D30" i="22"/>
  <c r="D29" i="22"/>
  <c r="D25" i="22"/>
  <c r="D24" i="22"/>
  <c r="D23" i="22"/>
  <c r="D22" i="22"/>
  <c r="D21" i="22"/>
  <c r="D20" i="22"/>
  <c r="D27" i="22"/>
  <c r="D26" i="22"/>
  <c r="D19" i="22"/>
  <c r="D16" i="22"/>
  <c r="D15" i="22"/>
  <c r="D12" i="22"/>
  <c r="D9" i="22"/>
  <c r="D8" i="22"/>
  <c r="D7" i="22"/>
  <c r="A6" i="37"/>
  <c r="A12" i="29"/>
  <c r="D17" i="22"/>
  <c r="M26" i="14"/>
  <c r="L17" i="29" s="1"/>
  <c r="M12" i="14"/>
  <c r="B15" i="41" s="1"/>
  <c r="L7" i="29"/>
  <c r="M5" i="14"/>
  <c r="B12" i="41" s="1"/>
  <c r="AA38" i="7"/>
  <c r="Z38" i="7"/>
  <c r="Y38" i="7"/>
  <c r="X38" i="7"/>
  <c r="W38" i="7"/>
  <c r="V38" i="7"/>
  <c r="W17" i="2"/>
  <c r="W18" i="2"/>
  <c r="X17" i="2"/>
  <c r="X18" i="2"/>
  <c r="Y17" i="2"/>
  <c r="Y18" i="2"/>
  <c r="Z17" i="2"/>
  <c r="Z18" i="2"/>
  <c r="AA17" i="2"/>
  <c r="AA18" i="2"/>
  <c r="V17" i="2"/>
  <c r="V18" i="2"/>
  <c r="C47" i="12"/>
  <c r="D57" i="12"/>
  <c r="K64" i="12"/>
  <c r="X7" i="2"/>
  <c r="W39" i="9"/>
  <c r="X39" i="9"/>
  <c r="Z39" i="9"/>
  <c r="AA39" i="9"/>
  <c r="V39" i="9"/>
  <c r="K57" i="2"/>
  <c r="K17" i="2"/>
  <c r="K7" i="2"/>
  <c r="D12" i="12"/>
  <c r="C63" i="12"/>
  <c r="B69" i="12"/>
  <c r="C69" i="12"/>
  <c r="D69" i="12"/>
  <c r="H69" i="12"/>
  <c r="B70" i="12"/>
  <c r="C70" i="12"/>
  <c r="D70" i="12"/>
  <c r="H70" i="12"/>
  <c r="C68" i="12"/>
  <c r="A68" i="12"/>
  <c r="B63" i="12"/>
  <c r="D63" i="12"/>
  <c r="B64" i="12"/>
  <c r="C64" i="12"/>
  <c r="D64" i="12"/>
  <c r="E64" i="12"/>
  <c r="F64" i="12"/>
  <c r="G64" i="12"/>
  <c r="H64" i="12"/>
  <c r="I64" i="12"/>
  <c r="J64" i="12"/>
  <c r="B65" i="12"/>
  <c r="C65" i="12"/>
  <c r="D65" i="12"/>
  <c r="V11" i="11"/>
  <c r="E65" i="12" s="1"/>
  <c r="W11" i="11"/>
  <c r="F65" i="12" s="1"/>
  <c r="X11" i="11"/>
  <c r="G65" i="12" s="1"/>
  <c r="H65" i="12"/>
  <c r="I65" i="12"/>
  <c r="J65" i="12"/>
  <c r="B66" i="12"/>
  <c r="C66" i="12"/>
  <c r="D66" i="12"/>
  <c r="H66" i="12"/>
  <c r="I66" i="12"/>
  <c r="J66" i="12"/>
  <c r="B67" i="12"/>
  <c r="C67" i="12"/>
  <c r="D67" i="12"/>
  <c r="C62" i="12"/>
  <c r="A62" i="12"/>
  <c r="B57" i="12"/>
  <c r="C57" i="12"/>
  <c r="B58" i="12"/>
  <c r="C58" i="12"/>
  <c r="D58" i="12"/>
  <c r="B59" i="12"/>
  <c r="C59" i="12"/>
  <c r="D59" i="12"/>
  <c r="B60" i="12"/>
  <c r="C60" i="12"/>
  <c r="D60" i="12"/>
  <c r="B61" i="12"/>
  <c r="C61" i="12"/>
  <c r="D61" i="12"/>
  <c r="C56" i="12"/>
  <c r="A56" i="12"/>
  <c r="B53" i="12"/>
  <c r="C53" i="12"/>
  <c r="D53" i="12"/>
  <c r="H53" i="12"/>
  <c r="B54" i="12"/>
  <c r="C54" i="12"/>
  <c r="D54" i="12"/>
  <c r="B55" i="12"/>
  <c r="C55" i="12"/>
  <c r="D55" i="12"/>
  <c r="C52" i="12"/>
  <c r="A52" i="12"/>
  <c r="B47" i="12"/>
  <c r="D47" i="12"/>
  <c r="B48" i="12"/>
  <c r="C48" i="12"/>
  <c r="D48" i="12"/>
  <c r="B49" i="12"/>
  <c r="C49" i="12"/>
  <c r="D49" i="12"/>
  <c r="K39" i="9"/>
  <c r="B50" i="12"/>
  <c r="C50" i="12"/>
  <c r="D50" i="12"/>
  <c r="V51" i="9"/>
  <c r="E50" i="12" s="1"/>
  <c r="W51" i="9"/>
  <c r="F50" i="12" s="1"/>
  <c r="X51" i="9"/>
  <c r="G50" i="12" s="1"/>
  <c r="Y51" i="9"/>
  <c r="H50" i="12"/>
  <c r="Z51" i="9"/>
  <c r="I50" i="12" s="1"/>
  <c r="AA51" i="9"/>
  <c r="J50" i="12" s="1"/>
  <c r="B51" i="12"/>
  <c r="C51" i="12"/>
  <c r="D51" i="12"/>
  <c r="V54" i="9"/>
  <c r="W54" i="9"/>
  <c r="X54" i="9"/>
  <c r="Z54" i="9"/>
  <c r="AA54" i="9"/>
  <c r="C46" i="12"/>
  <c r="A46" i="12"/>
  <c r="K37" i="3"/>
  <c r="K38" i="3"/>
  <c r="K39" i="3"/>
  <c r="K40" i="3"/>
  <c r="K41" i="3"/>
  <c r="K8" i="3"/>
  <c r="K9" i="3"/>
  <c r="K10" i="3"/>
  <c r="K11" i="3"/>
  <c r="B44" i="12"/>
  <c r="C44" i="12"/>
  <c r="D44" i="12"/>
  <c r="B45" i="12"/>
  <c r="C45" i="12"/>
  <c r="D45" i="12"/>
  <c r="B39" i="12"/>
  <c r="C39" i="12"/>
  <c r="D39" i="12"/>
  <c r="B40" i="12"/>
  <c r="C40" i="12"/>
  <c r="D40" i="12"/>
  <c r="B41" i="12"/>
  <c r="C41" i="12"/>
  <c r="D41" i="12"/>
  <c r="B42" i="12"/>
  <c r="C42" i="12"/>
  <c r="D42" i="12"/>
  <c r="B43" i="12"/>
  <c r="C43" i="12"/>
  <c r="D43" i="12"/>
  <c r="C38" i="12"/>
  <c r="A38" i="12"/>
  <c r="B34" i="12"/>
  <c r="C34" i="12"/>
  <c r="D34" i="12"/>
  <c r="B35" i="12"/>
  <c r="C35" i="12"/>
  <c r="D35" i="12"/>
  <c r="B36" i="12"/>
  <c r="C36" i="12"/>
  <c r="D36" i="12"/>
  <c r="B37" i="12"/>
  <c r="C37" i="12"/>
  <c r="D37" i="12"/>
  <c r="V14" i="4"/>
  <c r="E37" i="12" s="1"/>
  <c r="W14" i="4"/>
  <c r="F37" i="12" s="1"/>
  <c r="X14" i="4"/>
  <c r="G37" i="12" s="1"/>
  <c r="Y14" i="4"/>
  <c r="H37" i="12" s="1"/>
  <c r="Z14" i="4"/>
  <c r="I37" i="12" s="1"/>
  <c r="AA14" i="4"/>
  <c r="J37" i="12"/>
  <c r="C33" i="12"/>
  <c r="A33" i="12"/>
  <c r="B31" i="12"/>
  <c r="C31" i="12"/>
  <c r="D31" i="12"/>
  <c r="B32" i="12"/>
  <c r="C32" i="12"/>
  <c r="D32" i="12"/>
  <c r="V35" i="7"/>
  <c r="W35" i="7"/>
  <c r="X35" i="7"/>
  <c r="Y35" i="7"/>
  <c r="Z35" i="7"/>
  <c r="AA35" i="7"/>
  <c r="B30" i="12"/>
  <c r="C30" i="12"/>
  <c r="D30" i="12"/>
  <c r="C29" i="12"/>
  <c r="A29" i="12"/>
  <c r="W65" i="2"/>
  <c r="F18" i="12" s="1"/>
  <c r="X65" i="2"/>
  <c r="G18" i="12" s="1"/>
  <c r="Y65" i="2"/>
  <c r="H18" i="12" s="1"/>
  <c r="Z65" i="2"/>
  <c r="I18" i="12" s="1"/>
  <c r="AA65" i="2"/>
  <c r="J18" i="12" s="1"/>
  <c r="V65" i="2"/>
  <c r="E18" i="12" s="1"/>
  <c r="B21" i="12"/>
  <c r="C21" i="12"/>
  <c r="D21" i="12"/>
  <c r="B22" i="12"/>
  <c r="C22" i="12"/>
  <c r="D22" i="12"/>
  <c r="W15" i="5"/>
  <c r="X15" i="5"/>
  <c r="Y15" i="5"/>
  <c r="Z15" i="5"/>
  <c r="AA15" i="5"/>
  <c r="B23" i="12"/>
  <c r="C23" i="12"/>
  <c r="D23" i="12"/>
  <c r="W22" i="5"/>
  <c r="X22" i="5"/>
  <c r="Y22" i="5"/>
  <c r="Z22" i="5"/>
  <c r="AA22" i="5"/>
  <c r="B24" i="12"/>
  <c r="C24" i="12"/>
  <c r="D24" i="12"/>
  <c r="V29" i="5"/>
  <c r="W29" i="5"/>
  <c r="X29" i="5"/>
  <c r="Y29" i="5"/>
  <c r="Z29" i="5"/>
  <c r="AA29" i="5"/>
  <c r="B25" i="12"/>
  <c r="C25" i="12"/>
  <c r="D25" i="12"/>
  <c r="B26" i="12"/>
  <c r="C26" i="12"/>
  <c r="D26" i="12"/>
  <c r="V39" i="5"/>
  <c r="W39" i="5"/>
  <c r="X39" i="5"/>
  <c r="Y39" i="5"/>
  <c r="Z39" i="5"/>
  <c r="AA39" i="5"/>
  <c r="B27" i="12"/>
  <c r="C27" i="12"/>
  <c r="D27" i="12"/>
  <c r="V41" i="5"/>
  <c r="E27" i="12" s="1"/>
  <c r="W41" i="5"/>
  <c r="F27" i="12" s="1"/>
  <c r="X41" i="5"/>
  <c r="G27" i="12" s="1"/>
  <c r="Y41" i="5"/>
  <c r="H27" i="12" s="1"/>
  <c r="Z41" i="5"/>
  <c r="I27" i="12" s="1"/>
  <c r="AA41" i="5"/>
  <c r="J27" i="12" s="1"/>
  <c r="B28" i="12"/>
  <c r="C28" i="12"/>
  <c r="D28" i="12"/>
  <c r="K39" i="2"/>
  <c r="K44" i="2"/>
  <c r="K45" i="2"/>
  <c r="B20" i="12"/>
  <c r="C20" i="12"/>
  <c r="D20" i="12"/>
  <c r="C19" i="12"/>
  <c r="A19" i="12"/>
  <c r="B17" i="12"/>
  <c r="C17" i="12"/>
  <c r="D17" i="12"/>
  <c r="B18" i="12"/>
  <c r="C18" i="12"/>
  <c r="D18" i="12"/>
  <c r="B15" i="12"/>
  <c r="C15" i="12"/>
  <c r="D15" i="12"/>
  <c r="B16" i="12"/>
  <c r="C16" i="12"/>
  <c r="D16" i="12"/>
  <c r="V57" i="2"/>
  <c r="V58" i="2"/>
  <c r="W57" i="2"/>
  <c r="W58" i="2"/>
  <c r="X57" i="2"/>
  <c r="X58" i="2"/>
  <c r="Y57" i="2"/>
  <c r="Y58" i="2"/>
  <c r="Z57" i="2"/>
  <c r="Z58" i="2"/>
  <c r="AA57" i="2"/>
  <c r="AA58" i="2"/>
  <c r="B14" i="12"/>
  <c r="C14" i="12"/>
  <c r="D14" i="12"/>
  <c r="B13" i="12"/>
  <c r="C13" i="12"/>
  <c r="D13" i="12"/>
  <c r="V7" i="2"/>
  <c r="W7" i="2"/>
  <c r="Y7" i="2"/>
  <c r="Z7" i="2"/>
  <c r="AA7" i="2"/>
  <c r="B12" i="12"/>
  <c r="C12" i="12"/>
  <c r="C11" i="12"/>
  <c r="A11" i="12"/>
  <c r="K48" i="9"/>
  <c r="K49" i="9"/>
  <c r="K47" i="9"/>
  <c r="K46" i="9"/>
  <c r="K45" i="9"/>
  <c r="K44" i="9"/>
  <c r="K43" i="9"/>
  <c r="K42" i="9"/>
  <c r="K41" i="9"/>
  <c r="K40" i="9"/>
  <c r="K25" i="9"/>
  <c r="K26" i="9"/>
  <c r="K27" i="9"/>
  <c r="K28" i="9"/>
  <c r="K29" i="9"/>
  <c r="K30" i="9"/>
  <c r="K31" i="9"/>
  <c r="K32" i="9"/>
  <c r="AA49" i="9"/>
  <c r="Z49" i="9"/>
  <c r="X49" i="9"/>
  <c r="W49" i="9"/>
  <c r="V49" i="9"/>
  <c r="AA48" i="9"/>
  <c r="Z48" i="9"/>
  <c r="X48" i="9"/>
  <c r="W48" i="9"/>
  <c r="V48" i="9"/>
  <c r="AA47" i="9"/>
  <c r="Z47" i="9"/>
  <c r="X47" i="9"/>
  <c r="W47" i="9"/>
  <c r="V47" i="9"/>
  <c r="AA46" i="9"/>
  <c r="Z46" i="9"/>
  <c r="X46" i="9"/>
  <c r="W46" i="9"/>
  <c r="V46" i="9"/>
  <c r="AA45" i="9"/>
  <c r="Z45" i="9"/>
  <c r="X45" i="9"/>
  <c r="W45" i="9"/>
  <c r="V45" i="9"/>
  <c r="AA44" i="9"/>
  <c r="Z44" i="9"/>
  <c r="X44" i="9"/>
  <c r="W44" i="9"/>
  <c r="V44" i="9"/>
  <c r="AA43" i="9"/>
  <c r="Z43" i="9"/>
  <c r="X43" i="9"/>
  <c r="W43" i="9"/>
  <c r="V43" i="9"/>
  <c r="AA42" i="9"/>
  <c r="Z42" i="9"/>
  <c r="X42" i="9"/>
  <c r="W42" i="9"/>
  <c r="V42" i="9"/>
  <c r="AA41" i="9"/>
  <c r="Z41" i="9"/>
  <c r="X41" i="9"/>
  <c r="W41" i="9"/>
  <c r="V41" i="9"/>
  <c r="AA40" i="9"/>
  <c r="Z40" i="9"/>
  <c r="X40" i="9"/>
  <c r="W40" i="9"/>
  <c r="V40" i="9"/>
  <c r="AA32" i="9"/>
  <c r="Z32" i="9"/>
  <c r="X32" i="9"/>
  <c r="W32" i="9"/>
  <c r="V32" i="9"/>
  <c r="AA31" i="9"/>
  <c r="Z31" i="9"/>
  <c r="X31" i="9"/>
  <c r="W31" i="9"/>
  <c r="V31" i="9"/>
  <c r="AA30" i="9"/>
  <c r="Z30" i="9"/>
  <c r="X30" i="9"/>
  <c r="W30" i="9"/>
  <c r="V30" i="9"/>
  <c r="AA29" i="9"/>
  <c r="Z29" i="9"/>
  <c r="X29" i="9"/>
  <c r="W29" i="9"/>
  <c r="V29" i="9"/>
  <c r="AA28" i="9"/>
  <c r="Z28" i="9"/>
  <c r="X28" i="9"/>
  <c r="W28" i="9"/>
  <c r="V28" i="9"/>
  <c r="AA70" i="9"/>
  <c r="Z70" i="9"/>
  <c r="X70" i="9"/>
  <c r="W70" i="9"/>
  <c r="V70" i="9"/>
  <c r="V55" i="9"/>
  <c r="W55" i="9"/>
  <c r="X55" i="9"/>
  <c r="Z55" i="9"/>
  <c r="AA55" i="9"/>
  <c r="V56" i="9"/>
  <c r="W56" i="9"/>
  <c r="X56" i="9"/>
  <c r="Z56" i="9"/>
  <c r="AA56" i="9"/>
  <c r="V57" i="9"/>
  <c r="W57" i="9"/>
  <c r="X57" i="9"/>
  <c r="Z57" i="9"/>
  <c r="AA57" i="9"/>
  <c r="V58" i="9"/>
  <c r="W58" i="9"/>
  <c r="X58" i="9"/>
  <c r="Z58" i="9"/>
  <c r="AA58" i="9"/>
  <c r="V59" i="9"/>
  <c r="W59" i="9"/>
  <c r="X59" i="9"/>
  <c r="Z59" i="9"/>
  <c r="AA59" i="9"/>
  <c r="V60" i="9"/>
  <c r="W60" i="9"/>
  <c r="X60" i="9"/>
  <c r="Z60" i="9"/>
  <c r="AA60" i="9"/>
  <c r="V61" i="9"/>
  <c r="W61" i="9"/>
  <c r="X61" i="9"/>
  <c r="Z61" i="9"/>
  <c r="AA61" i="9"/>
  <c r="V62" i="9"/>
  <c r="W62" i="9"/>
  <c r="X62" i="9"/>
  <c r="Z62" i="9"/>
  <c r="AA62" i="9"/>
  <c r="V63" i="9"/>
  <c r="W63" i="9"/>
  <c r="X63" i="9"/>
  <c r="Z63" i="9"/>
  <c r="AA63" i="9"/>
  <c r="V64" i="9"/>
  <c r="W64" i="9"/>
  <c r="X64" i="9"/>
  <c r="Z64" i="9"/>
  <c r="AA64" i="9"/>
  <c r="V65" i="9"/>
  <c r="W65" i="9"/>
  <c r="X65" i="9"/>
  <c r="Z65" i="9"/>
  <c r="AA65" i="9"/>
  <c r="V66" i="9"/>
  <c r="W66" i="9"/>
  <c r="X66" i="9"/>
  <c r="Z66" i="9"/>
  <c r="AA66" i="9"/>
  <c r="V67" i="9"/>
  <c r="W67" i="9"/>
  <c r="X67" i="9"/>
  <c r="Z67" i="9"/>
  <c r="AA67" i="9"/>
  <c r="V68" i="9"/>
  <c r="W68" i="9"/>
  <c r="X68" i="9"/>
  <c r="Z68" i="9"/>
  <c r="AA68" i="9"/>
  <c r="V69" i="9"/>
  <c r="W69" i="9"/>
  <c r="X69" i="9"/>
  <c r="Z69" i="9"/>
  <c r="AA69" i="9"/>
  <c r="AA36" i="7"/>
  <c r="Z36" i="7"/>
  <c r="Y36" i="7"/>
  <c r="X36" i="7"/>
  <c r="W36" i="7"/>
  <c r="V36" i="7"/>
  <c r="V44" i="2"/>
  <c r="W44" i="2"/>
  <c r="X44" i="2"/>
  <c r="Y44" i="2"/>
  <c r="Z44" i="2"/>
  <c r="AA44" i="2"/>
  <c r="AA57" i="3"/>
  <c r="Z57" i="3"/>
  <c r="X57" i="3"/>
  <c r="W57" i="3"/>
  <c r="V57" i="3"/>
  <c r="W8" i="2"/>
  <c r="X8" i="2"/>
  <c r="Y8" i="2"/>
  <c r="Z8" i="2"/>
  <c r="AA8" i="2"/>
  <c r="V8" i="2"/>
  <c r="J26" i="19"/>
  <c r="I67" i="29" s="1"/>
  <c r="E67" i="31" s="1"/>
  <c r="L26" i="19"/>
  <c r="K67" i="29" s="1"/>
  <c r="G67" i="31" s="1"/>
  <c r="D10" i="29"/>
  <c r="D11" i="22"/>
  <c r="H63" i="12"/>
  <c r="J63" i="12"/>
  <c r="I44" i="3"/>
  <c r="K44" i="3" s="1"/>
  <c r="I46" i="3"/>
  <c r="K46" i="3" s="1"/>
  <c r="K26" i="19"/>
  <c r="J67" i="29" s="1"/>
  <c r="G17" i="30" s="1"/>
  <c r="I63" i="12"/>
  <c r="D42" i="37"/>
  <c r="D41" i="37"/>
  <c r="D17" i="29"/>
  <c r="F16" i="15"/>
  <c r="E23" i="29" s="1"/>
  <c r="E23" i="22" s="1"/>
  <c r="F24" i="37" s="1"/>
  <c r="F17" i="15"/>
  <c r="E24" i="29" s="1"/>
  <c r="E24" i="22" s="1"/>
  <c r="F25" i="37" s="1"/>
  <c r="G25" i="37" s="1"/>
  <c r="F18" i="17"/>
  <c r="J16" i="15"/>
  <c r="I23" i="29" s="1"/>
  <c r="E23" i="31" s="1"/>
  <c r="F20" i="17"/>
  <c r="E47" i="29" s="1"/>
  <c r="E47" i="22" s="1"/>
  <c r="F48" i="37" s="1"/>
  <c r="G48" i="37" s="1"/>
  <c r="L17" i="15"/>
  <c r="K24" i="29" s="1"/>
  <c r="G24" i="31" s="1"/>
  <c r="H17" i="15"/>
  <c r="G24" i="29" s="1"/>
  <c r="C24" i="31" s="1"/>
  <c r="G17" i="15"/>
  <c r="F24" i="29" s="1"/>
  <c r="B24" i="31" s="1"/>
  <c r="J17" i="15"/>
  <c r="I24" i="29" s="1"/>
  <c r="E24" i="31" s="1"/>
  <c r="K17" i="15"/>
  <c r="J24" i="29" s="1"/>
  <c r="F24" i="31" s="1"/>
  <c r="I17" i="15"/>
  <c r="H24" i="29" s="1"/>
  <c r="D24" i="31" s="1"/>
  <c r="L20" i="17"/>
  <c r="K47" i="29" s="1"/>
  <c r="H20" i="17"/>
  <c r="G47" i="29" s="1"/>
  <c r="C47" i="31" s="1"/>
  <c r="K20" i="17"/>
  <c r="J47" i="29" s="1"/>
  <c r="F47" i="31" s="1"/>
  <c r="G20" i="17"/>
  <c r="F47" i="29" s="1"/>
  <c r="B47" i="31" s="1"/>
  <c r="J20" i="17"/>
  <c r="I47" i="29" s="1"/>
  <c r="E47" i="31" s="1"/>
  <c r="I20" i="17"/>
  <c r="H47" i="29" s="1"/>
  <c r="D47" i="31" s="1"/>
  <c r="Z25" i="9"/>
  <c r="K8" i="13" l="1"/>
  <c r="K6" i="13"/>
  <c r="N6" i="13" s="1"/>
  <c r="D38" i="37"/>
  <c r="E38" i="37" s="1"/>
  <c r="D37" i="37"/>
  <c r="Z56" i="2"/>
  <c r="I16" i="12" s="1"/>
  <c r="X56" i="2"/>
  <c r="G16" i="12" s="1"/>
  <c r="V56" i="2"/>
  <c r="E16" i="12" s="1"/>
  <c r="N8" i="13"/>
  <c r="X8" i="13" s="1"/>
  <c r="E6" i="25"/>
  <c r="E72" i="29" s="1"/>
  <c r="E72" i="22" s="1"/>
  <c r="F73" i="37" s="1"/>
  <c r="G73" i="37" s="1"/>
  <c r="E5" i="25"/>
  <c r="E71" i="29" s="1"/>
  <c r="E71" i="22" s="1"/>
  <c r="F72" i="37" s="1"/>
  <c r="G72" i="37" s="1"/>
  <c r="AA35" i="9"/>
  <c r="J49" i="12" s="1"/>
  <c r="X35" i="9"/>
  <c r="G49" i="12" s="1"/>
  <c r="AA53" i="9"/>
  <c r="J51" i="12" s="1"/>
  <c r="Z34" i="7"/>
  <c r="I32" i="12" s="1"/>
  <c r="V34" i="7"/>
  <c r="E32" i="12" s="1"/>
  <c r="Y35" i="9"/>
  <c r="H49" i="12" s="1"/>
  <c r="Z53" i="9"/>
  <c r="I51" i="12" s="1"/>
  <c r="W35" i="9"/>
  <c r="F49" i="12" s="1"/>
  <c r="Z35" i="9"/>
  <c r="I49" i="12" s="1"/>
  <c r="Y53" i="9"/>
  <c r="H51" i="12" s="1"/>
  <c r="V35" i="9"/>
  <c r="E49" i="12" s="1"/>
  <c r="Y34" i="7"/>
  <c r="H32" i="12" s="1"/>
  <c r="V53" i="9"/>
  <c r="E51" i="12" s="1"/>
  <c r="X53" i="9"/>
  <c r="G51" i="12" s="1"/>
  <c r="W53" i="9"/>
  <c r="F51" i="12" s="1"/>
  <c r="B48" i="22"/>
  <c r="B48" i="32"/>
  <c r="B49" i="22"/>
  <c r="B49" i="32"/>
  <c r="E42" i="37"/>
  <c r="N8" i="4"/>
  <c r="X8" i="4" s="1"/>
  <c r="H5" i="16" s="1"/>
  <c r="E5" i="16"/>
  <c r="E32" i="29" s="1"/>
  <c r="B10" i="30" s="1"/>
  <c r="B14" i="39" s="1"/>
  <c r="N56" i="3"/>
  <c r="W56" i="3" s="1"/>
  <c r="G15" i="16" s="1"/>
  <c r="E15" i="16"/>
  <c r="E41" i="29" s="1"/>
  <c r="E41" i="22" s="1"/>
  <c r="F42" i="37" s="1"/>
  <c r="G42" i="37" s="1"/>
  <c r="E7" i="16"/>
  <c r="E34" i="29" s="1"/>
  <c r="E34" i="22" s="1"/>
  <c r="F35" i="37" s="1"/>
  <c r="G35" i="37" s="1"/>
  <c r="Z8" i="13"/>
  <c r="AA8" i="13"/>
  <c r="X10" i="10"/>
  <c r="G55" i="12" s="1"/>
  <c r="Z10" i="10"/>
  <c r="I55" i="12" s="1"/>
  <c r="V10" i="10"/>
  <c r="E55" i="12" s="1"/>
  <c r="B3" i="22"/>
  <c r="E62" i="37"/>
  <c r="AA10" i="10"/>
  <c r="J55" i="12" s="1"/>
  <c r="W10" i="10"/>
  <c r="F55" i="12" s="1"/>
  <c r="F17" i="17"/>
  <c r="N19" i="11"/>
  <c r="N18" i="11"/>
  <c r="N17" i="11"/>
  <c r="Y17" i="11" s="1"/>
  <c r="N16" i="11"/>
  <c r="C17" i="29"/>
  <c r="C17" i="22" s="1"/>
  <c r="F38" i="17"/>
  <c r="E52" i="29" s="1"/>
  <c r="E52" i="22" s="1"/>
  <c r="F53" i="37" s="1"/>
  <c r="B46" i="22"/>
  <c r="N61" i="3"/>
  <c r="B46" i="29"/>
  <c r="B48" i="29"/>
  <c r="E28" i="37"/>
  <c r="E72" i="37"/>
  <c r="E68" i="37"/>
  <c r="E27" i="37"/>
  <c r="E64" i="37"/>
  <c r="E54" i="37"/>
  <c r="E26" i="37"/>
  <c r="E53" i="37"/>
  <c r="E22" i="37"/>
  <c r="E23" i="37"/>
  <c r="E11" i="37"/>
  <c r="E14" i="37"/>
  <c r="E15" i="37"/>
  <c r="C10" i="17"/>
  <c r="E37" i="37"/>
  <c r="E20" i="37"/>
  <c r="E41" i="37"/>
  <c r="E25" i="37"/>
  <c r="E16" i="37"/>
  <c r="E9" i="37"/>
  <c r="E49" i="37"/>
  <c r="E33" i="37"/>
  <c r="E13" i="37"/>
  <c r="E24" i="37"/>
  <c r="G24" i="37" s="1"/>
  <c r="C33" i="17"/>
  <c r="E66" i="37"/>
  <c r="E8" i="37"/>
  <c r="I20" i="3"/>
  <c r="E58" i="37"/>
  <c r="C45" i="17"/>
  <c r="C55" i="29" s="1"/>
  <c r="C55" i="22" s="1"/>
  <c r="E31" i="37"/>
  <c r="E67" i="37"/>
  <c r="C34" i="17"/>
  <c r="E32" i="37"/>
  <c r="C48" i="17"/>
  <c r="C56" i="29" s="1"/>
  <c r="C56" i="22" s="1"/>
  <c r="E17" i="37"/>
  <c r="E43" i="37"/>
  <c r="E44" i="37"/>
  <c r="E30" i="37"/>
  <c r="E52" i="37"/>
  <c r="G52" i="37" s="1"/>
  <c r="E10" i="37"/>
  <c r="E69" i="37"/>
  <c r="E47" i="37"/>
  <c r="E45" i="37"/>
  <c r="E34" i="37"/>
  <c r="E40" i="37"/>
  <c r="E70" i="37"/>
  <c r="C42" i="17"/>
  <c r="I37" i="9" s="1"/>
  <c r="K37" i="9" s="1"/>
  <c r="N37" i="9" s="1"/>
  <c r="C21" i="17"/>
  <c r="C9" i="17"/>
  <c r="E65" i="37"/>
  <c r="C20" i="17"/>
  <c r="C47" i="29" s="1"/>
  <c r="C47" i="22" s="1"/>
  <c r="E61" i="37"/>
  <c r="E59" i="37"/>
  <c r="E39" i="37"/>
  <c r="E6" i="37"/>
  <c r="E29" i="37"/>
  <c r="E50" i="37"/>
  <c r="E73" i="37"/>
  <c r="E12" i="37"/>
  <c r="E71" i="37"/>
  <c r="E63" i="37"/>
  <c r="C8" i="17"/>
  <c r="C45" i="29" s="1"/>
  <c r="C45" i="22" s="1"/>
  <c r="E19" i="37"/>
  <c r="E18" i="37"/>
  <c r="E60" i="37"/>
  <c r="I7" i="9"/>
  <c r="K7" i="9" s="1"/>
  <c r="C43" i="17"/>
  <c r="C49" i="17"/>
  <c r="E21" i="37"/>
  <c r="F12" i="14"/>
  <c r="E8" i="29" s="1"/>
  <c r="E8" i="22" s="1"/>
  <c r="F9" i="37" s="1"/>
  <c r="N41" i="2"/>
  <c r="N40" i="2"/>
  <c r="N39" i="2"/>
  <c r="N47" i="2"/>
  <c r="N46" i="2"/>
  <c r="N45" i="2"/>
  <c r="A5" i="22"/>
  <c r="K6" i="2"/>
  <c r="F5" i="14" s="1"/>
  <c r="E5" i="29" s="1"/>
  <c r="N13" i="2"/>
  <c r="N12" i="2"/>
  <c r="N11" i="2"/>
  <c r="N14" i="2"/>
  <c r="N10" i="2"/>
  <c r="N9" i="2"/>
  <c r="N51" i="2"/>
  <c r="N50" i="2"/>
  <c r="V50" i="2" s="1"/>
  <c r="N21" i="2"/>
  <c r="N24" i="2"/>
  <c r="N20" i="2"/>
  <c r="N23" i="2"/>
  <c r="N22" i="2"/>
  <c r="N19" i="2"/>
  <c r="AA19" i="2" s="1"/>
  <c r="B4" i="25"/>
  <c r="B8" i="19"/>
  <c r="B3" i="19"/>
  <c r="F30" i="17"/>
  <c r="F26" i="17"/>
  <c r="Z21" i="3"/>
  <c r="F31" i="15"/>
  <c r="E30" i="29" s="1"/>
  <c r="N33" i="7"/>
  <c r="W33" i="7" s="1"/>
  <c r="N32" i="7"/>
  <c r="X34" i="7"/>
  <c r="G32" i="12" s="1"/>
  <c r="AA34" i="7"/>
  <c r="J32" i="12" s="1"/>
  <c r="W34" i="7"/>
  <c r="F32" i="12" s="1"/>
  <c r="N17" i="9"/>
  <c r="Z17" i="9" s="1"/>
  <c r="F40" i="17"/>
  <c r="E53" i="29" s="1"/>
  <c r="E53" i="22" s="1"/>
  <c r="F54" i="37" s="1"/>
  <c r="B49" i="29"/>
  <c r="K27" i="3"/>
  <c r="N30" i="3" s="1"/>
  <c r="E39" i="29"/>
  <c r="E39" i="22" s="1"/>
  <c r="F40" i="37" s="1"/>
  <c r="N36" i="3"/>
  <c r="AA36" i="3" s="1"/>
  <c r="N12" i="5"/>
  <c r="Y12" i="5" s="1"/>
  <c r="F22" i="15"/>
  <c r="E27" i="29" s="1"/>
  <c r="E27" i="22" s="1"/>
  <c r="F28" i="37" s="1"/>
  <c r="N31" i="5"/>
  <c r="N30" i="5"/>
  <c r="N33" i="5"/>
  <c r="N32" i="5"/>
  <c r="N17" i="5"/>
  <c r="N16" i="5"/>
  <c r="N8" i="8"/>
  <c r="V8" i="8" s="1"/>
  <c r="N10" i="8"/>
  <c r="N9" i="8"/>
  <c r="N7" i="8"/>
  <c r="N16" i="8"/>
  <c r="N15" i="8"/>
  <c r="N14" i="8"/>
  <c r="W14" i="8" s="1"/>
  <c r="N13" i="8"/>
  <c r="N22" i="8"/>
  <c r="N21" i="8"/>
  <c r="N20" i="8"/>
  <c r="V20" i="8" s="1"/>
  <c r="N19" i="8"/>
  <c r="F16" i="19"/>
  <c r="E62" i="29" s="1"/>
  <c r="E62" i="22" s="1"/>
  <c r="F63" i="37" s="1"/>
  <c r="Z16" i="9"/>
  <c r="F27" i="19"/>
  <c r="Y14" i="9"/>
  <c r="AA14" i="9"/>
  <c r="N12" i="4"/>
  <c r="X12" i="4" s="1"/>
  <c r="E33" i="29"/>
  <c r="N10" i="4"/>
  <c r="V10" i="4" s="1"/>
  <c r="F6" i="16" s="1"/>
  <c r="X14" i="9"/>
  <c r="W14" i="9"/>
  <c r="V14" i="9"/>
  <c r="E37" i="29"/>
  <c r="E37" i="22" s="1"/>
  <c r="F38" i="37" s="1"/>
  <c r="N19" i="3"/>
  <c r="AA19" i="3" s="1"/>
  <c r="AA8" i="4"/>
  <c r="K5" i="16" s="1"/>
  <c r="E40" i="29"/>
  <c r="E40" i="22" s="1"/>
  <c r="F41" i="37" s="1"/>
  <c r="Z14" i="9"/>
  <c r="X9" i="5"/>
  <c r="I19" i="15" s="1"/>
  <c r="N26" i="5"/>
  <c r="N24" i="5"/>
  <c r="N25" i="5"/>
  <c r="F10" i="15"/>
  <c r="E21" i="29" s="1"/>
  <c r="E21" i="22" s="1"/>
  <c r="F22" i="37" s="1"/>
  <c r="N23" i="5"/>
  <c r="N19" i="5"/>
  <c r="N18" i="5"/>
  <c r="I10" i="7"/>
  <c r="I9" i="7"/>
  <c r="AE9" i="7" s="1"/>
  <c r="I12" i="7"/>
  <c r="I13" i="7"/>
  <c r="I11" i="7"/>
  <c r="I25" i="7"/>
  <c r="I22" i="7"/>
  <c r="I24" i="7"/>
  <c r="I21" i="7"/>
  <c r="AE21" i="7" s="1"/>
  <c r="I23" i="7"/>
  <c r="E7" i="29"/>
  <c r="E7" i="22" s="1"/>
  <c r="F8" i="37" s="1"/>
  <c r="K16" i="2"/>
  <c r="F8" i="14" s="1"/>
  <c r="E6" i="29" s="1"/>
  <c r="E42" i="29"/>
  <c r="E42" i="22" s="1"/>
  <c r="F43" i="37" s="1"/>
  <c r="N60" i="3"/>
  <c r="K12" i="3"/>
  <c r="F16" i="17"/>
  <c r="E43" i="29"/>
  <c r="E43" i="22" s="1"/>
  <c r="F44" i="37" s="1"/>
  <c r="N64" i="3"/>
  <c r="AA56" i="3"/>
  <c r="K15" i="16" s="1"/>
  <c r="V56" i="3"/>
  <c r="F15" i="16" s="1"/>
  <c r="Z56" i="3"/>
  <c r="J15" i="16" s="1"/>
  <c r="X56" i="3"/>
  <c r="H15" i="16" s="1"/>
  <c r="Y56" i="3"/>
  <c r="I15" i="16" s="1"/>
  <c r="E36" i="29"/>
  <c r="E36" i="22" s="1"/>
  <c r="F37" i="37" s="1"/>
  <c r="N7" i="3"/>
  <c r="Z7" i="3" s="1"/>
  <c r="J10" i="16" s="1"/>
  <c r="K42" i="3"/>
  <c r="N26" i="3"/>
  <c r="E38" i="29"/>
  <c r="E38" i="22" s="1"/>
  <c r="F39" i="37" s="1"/>
  <c r="W65" i="3"/>
  <c r="H38" i="17" s="1"/>
  <c r="G52" i="29" s="1"/>
  <c r="C52" i="31" s="1"/>
  <c r="V65" i="3"/>
  <c r="G38" i="17" s="1"/>
  <c r="F52" i="29" s="1"/>
  <c r="B52" i="31" s="1"/>
  <c r="AA65" i="3"/>
  <c r="L38" i="17" s="1"/>
  <c r="K52" i="29" s="1"/>
  <c r="G52" i="31" s="1"/>
  <c r="Z65" i="3"/>
  <c r="K38" i="17" s="1"/>
  <c r="J52" i="29" s="1"/>
  <c r="F52" i="31" s="1"/>
  <c r="X65" i="3"/>
  <c r="I38" i="17" s="1"/>
  <c r="H52" i="29" s="1"/>
  <c r="D52" i="31" s="1"/>
  <c r="Y65" i="3"/>
  <c r="J38" i="17" s="1"/>
  <c r="I52" i="29" s="1"/>
  <c r="E52" i="31" s="1"/>
  <c r="Y28" i="3"/>
  <c r="W28" i="3"/>
  <c r="K6" i="4"/>
  <c r="W35" i="5"/>
  <c r="F13" i="15"/>
  <c r="E22" i="29" s="1"/>
  <c r="E22" i="22" s="1"/>
  <c r="F23" i="37" s="1"/>
  <c r="F7" i="15"/>
  <c r="E20" i="29" s="1"/>
  <c r="E20" i="22" s="1"/>
  <c r="F21" i="37" s="1"/>
  <c r="E26" i="29"/>
  <c r="E26" i="22" s="1"/>
  <c r="F27" i="37" s="1"/>
  <c r="W9" i="5"/>
  <c r="H19" i="15" s="1"/>
  <c r="Y38" i="5"/>
  <c r="Y37" i="5" s="1"/>
  <c r="H26" i="12" s="1"/>
  <c r="AA38" i="5"/>
  <c r="AA37" i="5" s="1"/>
  <c r="J26" i="12" s="1"/>
  <c r="W38" i="5"/>
  <c r="W37" i="5" s="1"/>
  <c r="F26" i="12" s="1"/>
  <c r="Z38" i="5"/>
  <c r="Z37" i="5" s="1"/>
  <c r="I26" i="12" s="1"/>
  <c r="V38" i="5"/>
  <c r="V37" i="5" s="1"/>
  <c r="E26" i="12" s="1"/>
  <c r="X38" i="5"/>
  <c r="X37" i="5" s="1"/>
  <c r="G26" i="12" s="1"/>
  <c r="V35" i="5"/>
  <c r="Z35" i="5"/>
  <c r="AA35" i="5"/>
  <c r="X35" i="5"/>
  <c r="L5" i="29"/>
  <c r="AA56" i="2"/>
  <c r="J16" i="12" s="1"/>
  <c r="Y56" i="2"/>
  <c r="H16" i="12" s="1"/>
  <c r="W56" i="2"/>
  <c r="F16" i="12" s="1"/>
  <c r="N63" i="2"/>
  <c r="V63" i="2" s="1"/>
  <c r="G21" i="14" s="1"/>
  <c r="F13" i="29" s="1"/>
  <c r="B13" i="31" s="1"/>
  <c r="F21" i="14"/>
  <c r="E13" i="29" s="1"/>
  <c r="E13" i="22" s="1"/>
  <c r="F14" i="37" s="1"/>
  <c r="L13" i="29"/>
  <c r="B14" i="41"/>
  <c r="B18" i="41"/>
  <c r="L11" i="29"/>
  <c r="A5" i="29"/>
  <c r="B17" i="41"/>
  <c r="B24" i="41"/>
  <c r="A5" i="31"/>
  <c r="L10" i="29"/>
  <c r="F19" i="14"/>
  <c r="E11" i="29" s="1"/>
  <c r="E11" i="22" s="1"/>
  <c r="F12" i="37" s="1"/>
  <c r="N53" i="2"/>
  <c r="Z53" i="2" s="1"/>
  <c r="K19" i="14" s="1"/>
  <c r="J11" i="29" s="1"/>
  <c r="F11" i="31" s="1"/>
  <c r="A12" i="41"/>
  <c r="L8" i="29"/>
  <c r="M24" i="14"/>
  <c r="A13" i="37"/>
  <c r="A12" i="22" s="1"/>
  <c r="A12" i="31"/>
  <c r="A19" i="41"/>
  <c r="F15" i="14"/>
  <c r="E9" i="29" s="1"/>
  <c r="E9" i="22" s="1"/>
  <c r="F10" i="37" s="1"/>
  <c r="B19" i="41"/>
  <c r="N62" i="2"/>
  <c r="F20" i="14"/>
  <c r="E12" i="29" s="1"/>
  <c r="E12" i="22" s="1"/>
  <c r="F13" i="37" s="1"/>
  <c r="N35" i="2"/>
  <c r="F24" i="14"/>
  <c r="E15" i="29" s="1"/>
  <c r="E15" i="22" s="1"/>
  <c r="F16" i="37" s="1"/>
  <c r="Z38" i="2"/>
  <c r="N52" i="2"/>
  <c r="F18" i="14"/>
  <c r="E10" i="29" s="1"/>
  <c r="E10" i="22" s="1"/>
  <c r="F11" i="37" s="1"/>
  <c r="W36" i="2"/>
  <c r="H25" i="14" s="1"/>
  <c r="G16" i="29" s="1"/>
  <c r="C16" i="31" s="1"/>
  <c r="V36" i="2"/>
  <c r="G25" i="14" s="1"/>
  <c r="F16" i="29" s="1"/>
  <c r="B16" i="31" s="1"/>
  <c r="Z36" i="2"/>
  <c r="K25" i="14" s="1"/>
  <c r="J16" i="29" s="1"/>
  <c r="F16" i="31" s="1"/>
  <c r="X36" i="2"/>
  <c r="I25" i="14" s="1"/>
  <c r="H16" i="29" s="1"/>
  <c r="D16" i="31" s="1"/>
  <c r="Y36" i="2"/>
  <c r="J25" i="14" s="1"/>
  <c r="I16" i="29" s="1"/>
  <c r="E16" i="31" s="1"/>
  <c r="AA36" i="2"/>
  <c r="L25" i="14" s="1"/>
  <c r="K16" i="29" s="1"/>
  <c r="G16" i="31" s="1"/>
  <c r="F26" i="14"/>
  <c r="E17" i="29" s="1"/>
  <c r="E17" i="22" s="1"/>
  <c r="F18" i="37" s="1"/>
  <c r="F25" i="14"/>
  <c r="E16" i="29" s="1"/>
  <c r="E16" i="22" s="1"/>
  <c r="F17" i="37" s="1"/>
  <c r="X28" i="3"/>
  <c r="F13" i="19"/>
  <c r="E61" i="29" s="1"/>
  <c r="AA28" i="3"/>
  <c r="Z28" i="3"/>
  <c r="F22" i="19"/>
  <c r="E64" i="29" s="1"/>
  <c r="E64" i="22" s="1"/>
  <c r="F65" i="37" s="1"/>
  <c r="N6" i="10"/>
  <c r="X6" i="10" s="1"/>
  <c r="F9" i="19"/>
  <c r="E58" i="29" s="1"/>
  <c r="E58" i="22" s="1"/>
  <c r="F59" i="37" s="1"/>
  <c r="L23" i="19"/>
  <c r="K65" i="29" s="1"/>
  <c r="G65" i="31" s="1"/>
  <c r="J61" i="12"/>
  <c r="AA21" i="3"/>
  <c r="V21" i="3"/>
  <c r="AA16" i="9"/>
  <c r="W16" i="9"/>
  <c r="Y21" i="3"/>
  <c r="W21" i="3"/>
  <c r="Y16" i="9"/>
  <c r="X16" i="9"/>
  <c r="F23" i="19"/>
  <c r="E65" i="29" s="1"/>
  <c r="E65" i="22" s="1"/>
  <c r="F66" i="37" s="1"/>
  <c r="F26" i="19"/>
  <c r="E67" i="29" s="1"/>
  <c r="E67" i="22" s="1"/>
  <c r="F68" i="37" s="1"/>
  <c r="F19" i="19"/>
  <c r="E63" i="29" s="1"/>
  <c r="E63" i="22" s="1"/>
  <c r="F64" i="37" s="1"/>
  <c r="X21" i="3"/>
  <c r="G26" i="19"/>
  <c r="F67" i="29" s="1"/>
  <c r="B67" i="31" s="1"/>
  <c r="G27" i="19"/>
  <c r="F68" i="29" s="1"/>
  <c r="C18" i="30" s="1"/>
  <c r="C22" i="39" s="1"/>
  <c r="F10" i="19"/>
  <c r="E59" i="29" s="1"/>
  <c r="E59" i="22" s="1"/>
  <c r="F60" i="37" s="1"/>
  <c r="F29" i="19"/>
  <c r="E69" i="29" s="1"/>
  <c r="G22" i="39"/>
  <c r="AA24" i="8"/>
  <c r="Y24" i="8"/>
  <c r="Z24" i="8"/>
  <c r="AA25" i="9"/>
  <c r="X13" i="11"/>
  <c r="H22" i="39"/>
  <c r="X8" i="10"/>
  <c r="V8" i="10"/>
  <c r="W8" i="10"/>
  <c r="Z8" i="10"/>
  <c r="Y8" i="10"/>
  <c r="AA8" i="10"/>
  <c r="V25" i="9"/>
  <c r="X25" i="9"/>
  <c r="W25" i="9"/>
  <c r="Y25" i="9"/>
  <c r="Z26" i="8"/>
  <c r="W26" i="8"/>
  <c r="W13" i="11"/>
  <c r="V28" i="3"/>
  <c r="F22" i="39"/>
  <c r="V24" i="8"/>
  <c r="X24" i="8"/>
  <c r="W24" i="8"/>
  <c r="X6" i="11"/>
  <c r="V26" i="8"/>
  <c r="X26" i="8"/>
  <c r="Y26" i="8"/>
  <c r="W6" i="11"/>
  <c r="F17" i="30"/>
  <c r="G68" i="31"/>
  <c r="F68" i="31"/>
  <c r="F21" i="39"/>
  <c r="F6" i="15"/>
  <c r="E19" i="29" s="1"/>
  <c r="E19" i="22" s="1"/>
  <c r="F20" i="37" s="1"/>
  <c r="X6" i="5"/>
  <c r="I6" i="15" s="1"/>
  <c r="H19" i="29" s="1"/>
  <c r="D19" i="31" s="1"/>
  <c r="V6" i="5"/>
  <c r="G6" i="15" s="1"/>
  <c r="Y6" i="5"/>
  <c r="Z6" i="5"/>
  <c r="F18" i="15"/>
  <c r="E25" i="29" s="1"/>
  <c r="E25" i="22" s="1"/>
  <c r="F26" i="37" s="1"/>
  <c r="N43" i="5"/>
  <c r="W43" i="2"/>
  <c r="Z43" i="2"/>
  <c r="V43" i="2"/>
  <c r="AA43" i="2"/>
  <c r="X43" i="2"/>
  <c r="Y43" i="2"/>
  <c r="W6" i="5"/>
  <c r="AA6" i="5"/>
  <c r="E68" i="31"/>
  <c r="F18" i="30"/>
  <c r="F20" i="30"/>
  <c r="F24" i="39" s="1"/>
  <c r="E71" i="31"/>
  <c r="H21" i="39"/>
  <c r="H17" i="30"/>
  <c r="F67" i="31"/>
  <c r="G21" i="39"/>
  <c r="G47" i="31"/>
  <c r="V8" i="13" l="1"/>
  <c r="AA6" i="13"/>
  <c r="W6" i="13"/>
  <c r="G5" i="25" s="1"/>
  <c r="G71" i="29" s="1"/>
  <c r="V6" i="13"/>
  <c r="E69" i="12" s="1"/>
  <c r="X6" i="13"/>
  <c r="Z6" i="13"/>
  <c r="J5" i="25" s="1"/>
  <c r="J71" i="29" s="1"/>
  <c r="V8" i="4"/>
  <c r="F5" i="16" s="1"/>
  <c r="W8" i="13"/>
  <c r="F70" i="12" s="1"/>
  <c r="Z12" i="4"/>
  <c r="J7" i="16" s="1"/>
  <c r="E33" i="22"/>
  <c r="F34" i="37" s="1"/>
  <c r="B19" i="30"/>
  <c r="C41" i="19" s="1"/>
  <c r="J70" i="12"/>
  <c r="K6" i="25"/>
  <c r="K72" i="29" s="1"/>
  <c r="G72" i="31" s="1"/>
  <c r="G70" i="12"/>
  <c r="H6" i="25"/>
  <c r="H72" i="29" s="1"/>
  <c r="D72" i="31" s="1"/>
  <c r="B24" i="39"/>
  <c r="E70" i="12"/>
  <c r="F6" i="25"/>
  <c r="F72" i="29" s="1"/>
  <c r="B72" i="31" s="1"/>
  <c r="B20" i="30"/>
  <c r="I70" i="12"/>
  <c r="J6" i="25"/>
  <c r="J72" i="29" s="1"/>
  <c r="F72" i="31" s="1"/>
  <c r="F69" i="12"/>
  <c r="J69" i="12"/>
  <c r="K5" i="25"/>
  <c r="K71" i="29" s="1"/>
  <c r="G69" i="12"/>
  <c r="H5" i="25"/>
  <c r="H71" i="29" s="1"/>
  <c r="I69" i="12"/>
  <c r="G25" i="12"/>
  <c r="I16" i="15"/>
  <c r="H23" i="29" s="1"/>
  <c r="D23" i="31" s="1"/>
  <c r="E25" i="12"/>
  <c r="G16" i="15"/>
  <c r="F23" i="29" s="1"/>
  <c r="B23" i="31" s="1"/>
  <c r="J25" i="12"/>
  <c r="L16" i="15"/>
  <c r="K23" i="29" s="1"/>
  <c r="G23" i="31" s="1"/>
  <c r="I25" i="12"/>
  <c r="K16" i="15"/>
  <c r="J23" i="29" s="1"/>
  <c r="F23" i="31" s="1"/>
  <c r="F25" i="12"/>
  <c r="H16" i="15"/>
  <c r="G23" i="29" s="1"/>
  <c r="C23" i="31" s="1"/>
  <c r="Z36" i="3"/>
  <c r="F14" i="16"/>
  <c r="F40" i="29" s="1"/>
  <c r="B40" i="31" s="1"/>
  <c r="I14" i="16"/>
  <c r="I40" i="29" s="1"/>
  <c r="E40" i="31" s="1"/>
  <c r="J14" i="16"/>
  <c r="J40" i="29" s="1"/>
  <c r="F40" i="31" s="1"/>
  <c r="G14" i="16"/>
  <c r="G40" i="29" s="1"/>
  <c r="C40" i="31" s="1"/>
  <c r="H14" i="16"/>
  <c r="H40" i="29" s="1"/>
  <c r="D40" i="31" s="1"/>
  <c r="K14" i="16"/>
  <c r="K40" i="29" s="1"/>
  <c r="G40" i="31" s="1"/>
  <c r="J13" i="16"/>
  <c r="J39" i="29" s="1"/>
  <c r="F39" i="31" s="1"/>
  <c r="K13" i="16"/>
  <c r="K39" i="29" s="1"/>
  <c r="G39" i="31" s="1"/>
  <c r="K11" i="16"/>
  <c r="K37" i="29" s="1"/>
  <c r="G37" i="31" s="1"/>
  <c r="G36" i="12"/>
  <c r="H7" i="16"/>
  <c r="H34" i="29" s="1"/>
  <c r="D34" i="31" s="1"/>
  <c r="W12" i="4"/>
  <c r="G7" i="16" s="1"/>
  <c r="G34" i="29" s="1"/>
  <c r="C34" i="31" s="1"/>
  <c r="Y12" i="4"/>
  <c r="I7" i="16" s="1"/>
  <c r="I34" i="29" s="1"/>
  <c r="F28" i="17"/>
  <c r="N45" i="3"/>
  <c r="N14" i="3"/>
  <c r="AA14" i="3" s="1"/>
  <c r="N15" i="3"/>
  <c r="W30" i="3"/>
  <c r="X30" i="3"/>
  <c r="AA30" i="3"/>
  <c r="V30" i="3"/>
  <c r="Z30" i="3"/>
  <c r="Y30" i="3"/>
  <c r="G53" i="37"/>
  <c r="G65" i="37"/>
  <c r="X17" i="11"/>
  <c r="G59" i="37"/>
  <c r="O9" i="19" s="1"/>
  <c r="B22" i="39"/>
  <c r="E68" i="29"/>
  <c r="C37" i="19" s="1"/>
  <c r="E30" i="22"/>
  <c r="F31" i="37" s="1"/>
  <c r="G31" i="37" s="1"/>
  <c r="Y18" i="11"/>
  <c r="X18" i="11"/>
  <c r="I29" i="19" s="1"/>
  <c r="H69" i="29" s="1"/>
  <c r="E19" i="30" s="1"/>
  <c r="E23" i="39" s="1"/>
  <c r="W18" i="11"/>
  <c r="AA18" i="11"/>
  <c r="V18" i="11"/>
  <c r="Z18" i="11"/>
  <c r="K29" i="19" s="1"/>
  <c r="J69" i="29" s="1"/>
  <c r="F69" i="31" s="1"/>
  <c r="AA17" i="11"/>
  <c r="W17" i="11"/>
  <c r="V19" i="11"/>
  <c r="Z19" i="11"/>
  <c r="Y19" i="11"/>
  <c r="X19" i="11"/>
  <c r="W19" i="11"/>
  <c r="AA19" i="11"/>
  <c r="L29" i="19" s="1"/>
  <c r="K69" i="29" s="1"/>
  <c r="V17" i="11"/>
  <c r="Z17" i="11"/>
  <c r="X16" i="11"/>
  <c r="W16" i="11"/>
  <c r="H29" i="19" s="1"/>
  <c r="G69" i="29" s="1"/>
  <c r="AA16" i="11"/>
  <c r="V16" i="11"/>
  <c r="Z16" i="11"/>
  <c r="Y16" i="11"/>
  <c r="J29" i="19" s="1"/>
  <c r="I69" i="29" s="1"/>
  <c r="F19" i="30" s="1"/>
  <c r="F23" i="39" s="1"/>
  <c r="X36" i="3"/>
  <c r="N10" i="9"/>
  <c r="N8" i="9"/>
  <c r="N11" i="9"/>
  <c r="V36" i="3"/>
  <c r="Y36" i="3"/>
  <c r="W36" i="3"/>
  <c r="Y61" i="3"/>
  <c r="J36" i="17" s="1"/>
  <c r="I51" i="29" s="1"/>
  <c r="E51" i="31" s="1"/>
  <c r="AA61" i="3"/>
  <c r="L36" i="17" s="1"/>
  <c r="K51" i="29" s="1"/>
  <c r="G51" i="31" s="1"/>
  <c r="W61" i="3"/>
  <c r="H36" i="17" s="1"/>
  <c r="G51" i="29" s="1"/>
  <c r="C51" i="31" s="1"/>
  <c r="X61" i="3"/>
  <c r="I36" i="17" s="1"/>
  <c r="H51" i="29" s="1"/>
  <c r="D51" i="31" s="1"/>
  <c r="Z61" i="3"/>
  <c r="K36" i="17" s="1"/>
  <c r="J51" i="29" s="1"/>
  <c r="F51" i="31" s="1"/>
  <c r="V61" i="3"/>
  <c r="G36" i="17" s="1"/>
  <c r="F51" i="29" s="1"/>
  <c r="B51" i="31" s="1"/>
  <c r="G28" i="37"/>
  <c r="G27" i="37"/>
  <c r="G11" i="37"/>
  <c r="O18" i="14" s="1"/>
  <c r="F45" i="17"/>
  <c r="E55" i="29" s="1"/>
  <c r="E55" i="22" s="1"/>
  <c r="F56" i="37" s="1"/>
  <c r="G56" i="37" s="1"/>
  <c r="O45" i="17" s="1"/>
  <c r="G14" i="37"/>
  <c r="O21" i="14" s="1"/>
  <c r="G20" i="37"/>
  <c r="G64" i="37"/>
  <c r="G23" i="37"/>
  <c r="G68" i="37"/>
  <c r="G37" i="37"/>
  <c r="N10" i="16" s="1"/>
  <c r="G26" i="37"/>
  <c r="G22" i="37"/>
  <c r="G40" i="37"/>
  <c r="N13" i="16" s="1"/>
  <c r="G54" i="37"/>
  <c r="O40" i="17" s="1"/>
  <c r="G9" i="37"/>
  <c r="O12" i="14" s="1"/>
  <c r="G41" i="37"/>
  <c r="N14" i="16" s="1"/>
  <c r="I38" i="9"/>
  <c r="K38" i="9" s="1"/>
  <c r="F48" i="17" s="1"/>
  <c r="E56" i="29" s="1"/>
  <c r="E56" i="22" s="1"/>
  <c r="F57" i="37" s="1"/>
  <c r="G57" i="37" s="1"/>
  <c r="O48" i="17" s="1"/>
  <c r="C54" i="29"/>
  <c r="C54" i="22" s="1"/>
  <c r="K20" i="3"/>
  <c r="G44" i="37"/>
  <c r="N17" i="16" s="1"/>
  <c r="G66" i="37"/>
  <c r="G21" i="37"/>
  <c r="G13" i="37"/>
  <c r="O20" i="14" s="1"/>
  <c r="G60" i="37"/>
  <c r="O10" i="19" s="1"/>
  <c r="G63" i="37"/>
  <c r="G8" i="37"/>
  <c r="O11" i="14" s="1"/>
  <c r="G17" i="37"/>
  <c r="O25" i="14" s="1"/>
  <c r="G16" i="37"/>
  <c r="O24" i="14" s="1"/>
  <c r="G34" i="37"/>
  <c r="N6" i="16" s="1"/>
  <c r="I24" i="9"/>
  <c r="K24" i="9" s="1"/>
  <c r="N27" i="9" s="1"/>
  <c r="F7" i="17"/>
  <c r="N7" i="9"/>
  <c r="I51" i="3"/>
  <c r="K51" i="3" s="1"/>
  <c r="N52" i="3" s="1"/>
  <c r="C50" i="29"/>
  <c r="C50" i="22" s="1"/>
  <c r="G18" i="37"/>
  <c r="O26" i="14" s="1"/>
  <c r="G10" i="37"/>
  <c r="O15" i="14" s="1"/>
  <c r="G12" i="37"/>
  <c r="O19" i="14" s="1"/>
  <c r="G39" i="37"/>
  <c r="N12" i="16" s="1"/>
  <c r="G43" i="37"/>
  <c r="N16" i="16" s="1"/>
  <c r="G38" i="37"/>
  <c r="N11" i="16" s="1"/>
  <c r="Z20" i="8"/>
  <c r="Y22" i="2"/>
  <c r="V22" i="2"/>
  <c r="Z22" i="2"/>
  <c r="W22" i="2"/>
  <c r="AA22" i="2"/>
  <c r="X22" i="2"/>
  <c r="W21" i="2"/>
  <c r="X21" i="2"/>
  <c r="Y21" i="2"/>
  <c r="Z21" i="2"/>
  <c r="AA21" i="2"/>
  <c r="V21" i="2"/>
  <c r="W10" i="2"/>
  <c r="X10" i="2"/>
  <c r="Y10" i="2"/>
  <c r="Z10" i="2"/>
  <c r="AA10" i="2"/>
  <c r="V10" i="2"/>
  <c r="Y13" i="2"/>
  <c r="V13" i="2"/>
  <c r="Z13" i="2"/>
  <c r="W13" i="2"/>
  <c r="AA13" i="2"/>
  <c r="X13" i="2"/>
  <c r="Y63" i="2"/>
  <c r="J21" i="14" s="1"/>
  <c r="I13" i="29" s="1"/>
  <c r="E13" i="31" s="1"/>
  <c r="W23" i="2"/>
  <c r="AA23" i="2"/>
  <c r="X23" i="2"/>
  <c r="Y23" i="2"/>
  <c r="V23" i="2"/>
  <c r="Z23" i="2"/>
  <c r="W14" i="2"/>
  <c r="AA14" i="2"/>
  <c r="X14" i="2"/>
  <c r="Y14" i="2"/>
  <c r="V14" i="2"/>
  <c r="Z14" i="2"/>
  <c r="Y45" i="2"/>
  <c r="V45" i="2"/>
  <c r="Z45" i="2"/>
  <c r="W45" i="2"/>
  <c r="AA45" i="2"/>
  <c r="X45" i="2"/>
  <c r="W20" i="2"/>
  <c r="X20" i="2"/>
  <c r="Y20" i="2"/>
  <c r="Z20" i="2"/>
  <c r="AA20" i="2"/>
  <c r="V20" i="2"/>
  <c r="W11" i="2"/>
  <c r="X11" i="2"/>
  <c r="Y11" i="2"/>
  <c r="Z11" i="2"/>
  <c r="AA11" i="2"/>
  <c r="V11" i="2"/>
  <c r="W46" i="2"/>
  <c r="AA46" i="2"/>
  <c r="X46" i="2"/>
  <c r="Y46" i="2"/>
  <c r="V46" i="2"/>
  <c r="Z46" i="2"/>
  <c r="W24" i="2"/>
  <c r="X24" i="2"/>
  <c r="Y24" i="2"/>
  <c r="Z24" i="2"/>
  <c r="AA24" i="2"/>
  <c r="V24" i="2"/>
  <c r="W12" i="2"/>
  <c r="X12" i="2"/>
  <c r="Y12" i="2"/>
  <c r="Z12" i="2"/>
  <c r="AA12" i="2"/>
  <c r="V12" i="2"/>
  <c r="W47" i="2"/>
  <c r="AA47" i="2"/>
  <c r="X47" i="2"/>
  <c r="Y47" i="2"/>
  <c r="V47" i="2"/>
  <c r="Z47" i="2"/>
  <c r="K23" i="7"/>
  <c r="AG23" i="7" s="1"/>
  <c r="AE23" i="7"/>
  <c r="K25" i="7"/>
  <c r="AG25" i="7" s="1"/>
  <c r="AE25" i="7"/>
  <c r="K11" i="7"/>
  <c r="AG11" i="7" s="1"/>
  <c r="AE11" i="7"/>
  <c r="K10" i="7"/>
  <c r="AG10" i="7" s="1"/>
  <c r="AE10" i="7"/>
  <c r="K24" i="7"/>
  <c r="AG24" i="7" s="1"/>
  <c r="AE24" i="7"/>
  <c r="K13" i="7"/>
  <c r="AG13" i="7" s="1"/>
  <c r="AE13" i="7"/>
  <c r="K22" i="7"/>
  <c r="AG22" i="7" s="1"/>
  <c r="AE22" i="7"/>
  <c r="K12" i="7"/>
  <c r="AG12" i="7" s="1"/>
  <c r="AE12" i="7"/>
  <c r="E5" i="22"/>
  <c r="F6" i="37" s="1"/>
  <c r="G6" i="37" s="1"/>
  <c r="O5" i="14" s="1"/>
  <c r="Z15" i="9"/>
  <c r="K40" i="17" s="1"/>
  <c r="J53" i="29" s="1"/>
  <c r="F53" i="31" s="1"/>
  <c r="X37" i="9"/>
  <c r="I45" i="17" s="1"/>
  <c r="H55" i="29" s="1"/>
  <c r="D55" i="31" s="1"/>
  <c r="V37" i="9"/>
  <c r="G45" i="17" s="1"/>
  <c r="F55" i="29" s="1"/>
  <c r="B55" i="31" s="1"/>
  <c r="AA37" i="9"/>
  <c r="L45" i="17" s="1"/>
  <c r="K55" i="29" s="1"/>
  <c r="G55" i="31" s="1"/>
  <c r="W37" i="9"/>
  <c r="H45" i="17" s="1"/>
  <c r="G55" i="29" s="1"/>
  <c r="C55" i="31" s="1"/>
  <c r="Y37" i="9"/>
  <c r="J45" i="17" s="1"/>
  <c r="I55" i="29" s="1"/>
  <c r="E55" i="31" s="1"/>
  <c r="Z37" i="9"/>
  <c r="K45" i="17" s="1"/>
  <c r="J55" i="29" s="1"/>
  <c r="F55" i="31" s="1"/>
  <c r="E61" i="22"/>
  <c r="F62" i="37" s="1"/>
  <c r="G62" i="37" s="1"/>
  <c r="O13" i="19" s="1"/>
  <c r="AA12" i="5"/>
  <c r="AA33" i="7"/>
  <c r="X32" i="7"/>
  <c r="AA32" i="7"/>
  <c r="W32" i="7"/>
  <c r="W31" i="7" s="1"/>
  <c r="Z32" i="7"/>
  <c r="V32" i="7"/>
  <c r="Y32" i="7"/>
  <c r="X33" i="7"/>
  <c r="Z33" i="7"/>
  <c r="Z31" i="7" s="1"/>
  <c r="Y33" i="7"/>
  <c r="V33" i="7"/>
  <c r="X12" i="5"/>
  <c r="X8" i="8"/>
  <c r="Y17" i="9"/>
  <c r="Y15" i="9" s="1"/>
  <c r="V17" i="9"/>
  <c r="V15" i="9" s="1"/>
  <c r="G40" i="17" s="1"/>
  <c r="F53" i="29" s="1"/>
  <c r="B53" i="31" s="1"/>
  <c r="W17" i="9"/>
  <c r="W15" i="9" s="1"/>
  <c r="H40" i="17" s="1"/>
  <c r="G53" i="29" s="1"/>
  <c r="C53" i="31" s="1"/>
  <c r="AA17" i="9"/>
  <c r="AA15" i="9" s="1"/>
  <c r="X17" i="9"/>
  <c r="X15" i="9" s="1"/>
  <c r="I40" i="17" s="1"/>
  <c r="H53" i="29" s="1"/>
  <c r="D53" i="31" s="1"/>
  <c r="E49" i="29"/>
  <c r="E49" i="22" s="1"/>
  <c r="F50" i="37" s="1"/>
  <c r="G50" i="37" s="1"/>
  <c r="O28" i="17" s="1"/>
  <c r="AA43" i="3"/>
  <c r="N44" i="3"/>
  <c r="N29" i="3"/>
  <c r="F23" i="17"/>
  <c r="AA8" i="8"/>
  <c r="Y8" i="8"/>
  <c r="Z8" i="8"/>
  <c r="W8" i="8"/>
  <c r="V12" i="4"/>
  <c r="Y7" i="4"/>
  <c r="V7" i="4"/>
  <c r="V6" i="4" s="1"/>
  <c r="E34" i="12" s="1"/>
  <c r="Z7" i="4"/>
  <c r="W7" i="4"/>
  <c r="AA7" i="4"/>
  <c r="AA6" i="4" s="1"/>
  <c r="J34" i="12" s="1"/>
  <c r="X7" i="4"/>
  <c r="X6" i="4" s="1"/>
  <c r="G34" i="12" s="1"/>
  <c r="AA12" i="4"/>
  <c r="V12" i="5"/>
  <c r="Z12" i="5"/>
  <c r="W12" i="5"/>
  <c r="Z31" i="5"/>
  <c r="V31" i="5"/>
  <c r="Y31" i="5"/>
  <c r="X31" i="5"/>
  <c r="AA31" i="5"/>
  <c r="W31" i="5"/>
  <c r="X32" i="5"/>
  <c r="AA32" i="5"/>
  <c r="W32" i="5"/>
  <c r="Z32" i="5"/>
  <c r="V32" i="5"/>
  <c r="Y32" i="5"/>
  <c r="Z33" i="5"/>
  <c r="V33" i="5"/>
  <c r="Y33" i="5"/>
  <c r="X33" i="5"/>
  <c r="AA33" i="5"/>
  <c r="W33" i="5"/>
  <c r="X30" i="5"/>
  <c r="AA30" i="5"/>
  <c r="W30" i="5"/>
  <c r="Z30" i="5"/>
  <c r="V30" i="5"/>
  <c r="Y30" i="5"/>
  <c r="G29" i="19"/>
  <c r="F69" i="29" s="1"/>
  <c r="Z14" i="8"/>
  <c r="X20" i="8"/>
  <c r="Y14" i="8"/>
  <c r="Y9" i="8"/>
  <c r="X9" i="8"/>
  <c r="W9" i="8"/>
  <c r="AA9" i="8"/>
  <c r="V9" i="8"/>
  <c r="Z9" i="8"/>
  <c r="V14" i="8"/>
  <c r="X14" i="8"/>
  <c r="Y20" i="8"/>
  <c r="W20" i="8"/>
  <c r="W21" i="8"/>
  <c r="AA21" i="8"/>
  <c r="V21" i="8"/>
  <c r="Z21" i="8"/>
  <c r="Y21" i="8"/>
  <c r="X21" i="8"/>
  <c r="V15" i="8"/>
  <c r="Z15" i="8"/>
  <c r="Y15" i="8"/>
  <c r="X15" i="8"/>
  <c r="W15" i="8"/>
  <c r="AA15" i="8"/>
  <c r="V10" i="8"/>
  <c r="Z10" i="8"/>
  <c r="Y10" i="8"/>
  <c r="X10" i="8"/>
  <c r="W10" i="8"/>
  <c r="AA10" i="8"/>
  <c r="AA14" i="8"/>
  <c r="AA20" i="8"/>
  <c r="X22" i="8"/>
  <c r="W22" i="8"/>
  <c r="AA22" i="8"/>
  <c r="V22" i="8"/>
  <c r="Z22" i="8"/>
  <c r="Y22" i="8"/>
  <c r="W16" i="8"/>
  <c r="AA16" i="8"/>
  <c r="V16" i="8"/>
  <c r="Z16" i="8"/>
  <c r="Y16" i="8"/>
  <c r="X16" i="8"/>
  <c r="V19" i="8"/>
  <c r="Z19" i="8"/>
  <c r="Y19" i="8"/>
  <c r="X19" i="8"/>
  <c r="W19" i="8"/>
  <c r="AA19" i="8"/>
  <c r="Y13" i="8"/>
  <c r="X13" i="8"/>
  <c r="W13" i="8"/>
  <c r="AA13" i="8"/>
  <c r="V13" i="8"/>
  <c r="Z13" i="8"/>
  <c r="V7" i="8"/>
  <c r="X7" i="8"/>
  <c r="W7" i="8"/>
  <c r="AA7" i="8"/>
  <c r="Z7" i="8"/>
  <c r="Y7" i="8"/>
  <c r="X43" i="3"/>
  <c r="Y43" i="3"/>
  <c r="W43" i="3"/>
  <c r="V43" i="3"/>
  <c r="Z43" i="3"/>
  <c r="E32" i="22"/>
  <c r="F33" i="37" s="1"/>
  <c r="G33" i="37" s="1"/>
  <c r="N5" i="16" s="1"/>
  <c r="Z8" i="4"/>
  <c r="Y8" i="4"/>
  <c r="I5" i="16" s="1"/>
  <c r="W8" i="4"/>
  <c r="G5" i="16" s="1"/>
  <c r="B12" i="30"/>
  <c r="B16" i="39" s="1"/>
  <c r="B11" i="30"/>
  <c r="B15" i="39" s="1"/>
  <c r="Y10" i="4"/>
  <c r="I6" i="16" s="1"/>
  <c r="W10" i="4"/>
  <c r="G6" i="16" s="1"/>
  <c r="X10" i="4"/>
  <c r="H6" i="16" s="1"/>
  <c r="Z10" i="4"/>
  <c r="J6" i="16" s="1"/>
  <c r="AA10" i="4"/>
  <c r="K6" i="16" s="1"/>
  <c r="F33" i="29"/>
  <c r="E35" i="12"/>
  <c r="W19" i="3"/>
  <c r="X19" i="3"/>
  <c r="Z19" i="3"/>
  <c r="Y19" i="3"/>
  <c r="V19" i="3"/>
  <c r="J34" i="29"/>
  <c r="F34" i="31" s="1"/>
  <c r="I36" i="12"/>
  <c r="Y9" i="5"/>
  <c r="J19" i="15" s="1"/>
  <c r="I26" i="29" s="1"/>
  <c r="AA9" i="5"/>
  <c r="L19" i="15" s="1"/>
  <c r="K19" i="15"/>
  <c r="Y24" i="5"/>
  <c r="X24" i="5"/>
  <c r="AA24" i="5"/>
  <c r="V24" i="5"/>
  <c r="W24" i="5"/>
  <c r="Z24" i="5"/>
  <c r="AA23" i="5"/>
  <c r="W23" i="5"/>
  <c r="V23" i="5"/>
  <c r="Y23" i="5"/>
  <c r="Z23" i="5"/>
  <c r="X23" i="5"/>
  <c r="Y26" i="5"/>
  <c r="AA26" i="5"/>
  <c r="V26" i="5"/>
  <c r="X26" i="5"/>
  <c r="W26" i="5"/>
  <c r="Z26" i="5"/>
  <c r="AA25" i="5"/>
  <c r="W25" i="5"/>
  <c r="Y25" i="5"/>
  <c r="X25" i="5"/>
  <c r="Z25" i="5"/>
  <c r="V25" i="5"/>
  <c r="Y19" i="5"/>
  <c r="X19" i="5"/>
  <c r="AA19" i="5"/>
  <c r="W19" i="5"/>
  <c r="Z19" i="5"/>
  <c r="V19" i="5"/>
  <c r="AA18" i="5"/>
  <c r="W18" i="5"/>
  <c r="Z18" i="5"/>
  <c r="V18" i="5"/>
  <c r="Y18" i="5"/>
  <c r="X18" i="5"/>
  <c r="Z40" i="2"/>
  <c r="V40" i="2"/>
  <c r="AA40" i="2"/>
  <c r="W40" i="2"/>
  <c r="X40" i="2"/>
  <c r="Y40" i="2"/>
  <c r="V39" i="2"/>
  <c r="AA39" i="2"/>
  <c r="W39" i="2"/>
  <c r="X39" i="2"/>
  <c r="Y39" i="2"/>
  <c r="Z39" i="2"/>
  <c r="V41" i="2"/>
  <c r="W41" i="2"/>
  <c r="Y41" i="2"/>
  <c r="X41" i="2"/>
  <c r="AA41" i="2"/>
  <c r="Z41" i="2"/>
  <c r="B4" i="30"/>
  <c r="B8" i="39" s="1"/>
  <c r="E6" i="22"/>
  <c r="B68" i="31"/>
  <c r="B17" i="30"/>
  <c r="X55" i="3"/>
  <c r="G43" i="12" s="1"/>
  <c r="H41" i="29"/>
  <c r="D41" i="31" s="1"/>
  <c r="K41" i="29"/>
  <c r="G41" i="31" s="1"/>
  <c r="AA55" i="3"/>
  <c r="J43" i="12" s="1"/>
  <c r="F15" i="17"/>
  <c r="Z26" i="3"/>
  <c r="J38" i="29" s="1"/>
  <c r="F38" i="31" s="1"/>
  <c r="Y26" i="3"/>
  <c r="V26" i="3"/>
  <c r="F38" i="29" s="1"/>
  <c r="B38" i="31" s="1"/>
  <c r="AA26" i="3"/>
  <c r="K38" i="29" s="1"/>
  <c r="G38" i="31" s="1"/>
  <c r="X26" i="3"/>
  <c r="H38" i="29" s="1"/>
  <c r="D38" i="31" s="1"/>
  <c r="W26" i="3"/>
  <c r="Y55" i="3"/>
  <c r="I41" i="29"/>
  <c r="E41" i="31" s="1"/>
  <c r="F41" i="29"/>
  <c r="B41" i="31" s="1"/>
  <c r="V55" i="3"/>
  <c r="E43" i="12" s="1"/>
  <c r="W7" i="3"/>
  <c r="G10" i="16" s="1"/>
  <c r="AA7" i="3"/>
  <c r="X7" i="3"/>
  <c r="V7" i="3"/>
  <c r="J36" i="29"/>
  <c r="Y7" i="3"/>
  <c r="G41" i="29"/>
  <c r="C41" i="31" s="1"/>
  <c r="W55" i="3"/>
  <c r="F43" i="12" s="1"/>
  <c r="W64" i="3"/>
  <c r="G17" i="16" s="1"/>
  <c r="X64" i="3"/>
  <c r="H17" i="16" s="1"/>
  <c r="V64" i="3"/>
  <c r="F17" i="16" s="1"/>
  <c r="Z64" i="3"/>
  <c r="J17" i="16" s="1"/>
  <c r="AA64" i="3"/>
  <c r="K17" i="16" s="1"/>
  <c r="Y64" i="3"/>
  <c r="I17" i="16" s="1"/>
  <c r="X60" i="3"/>
  <c r="Z60" i="3"/>
  <c r="AA60" i="3"/>
  <c r="V60" i="3"/>
  <c r="W60" i="3"/>
  <c r="Y60" i="3"/>
  <c r="J41" i="29"/>
  <c r="F41" i="31" s="1"/>
  <c r="Z55" i="3"/>
  <c r="I43" i="12" s="1"/>
  <c r="I26" i="7"/>
  <c r="K21" i="7"/>
  <c r="I14" i="7"/>
  <c r="K9" i="7"/>
  <c r="AA17" i="5"/>
  <c r="Y17" i="5"/>
  <c r="W17" i="5"/>
  <c r="V17" i="5"/>
  <c r="X17" i="5"/>
  <c r="Z17" i="5"/>
  <c r="Z16" i="5"/>
  <c r="X16" i="5"/>
  <c r="W16" i="5"/>
  <c r="Y16" i="5"/>
  <c r="AA16" i="5"/>
  <c r="V16" i="5"/>
  <c r="B8" i="30"/>
  <c r="B12" i="39" s="1"/>
  <c r="Z11" i="5"/>
  <c r="V11" i="5"/>
  <c r="Y11" i="5"/>
  <c r="W11" i="5"/>
  <c r="G26" i="29" s="1"/>
  <c r="AA11" i="5"/>
  <c r="X11" i="5"/>
  <c r="W38" i="2"/>
  <c r="X63" i="2"/>
  <c r="I21" i="14" s="1"/>
  <c r="H13" i="29" s="1"/>
  <c r="D13" i="31" s="1"/>
  <c r="Z63" i="2"/>
  <c r="K21" i="14" s="1"/>
  <c r="J13" i="29" s="1"/>
  <c r="F13" i="31" s="1"/>
  <c r="W63" i="2"/>
  <c r="H21" i="14" s="1"/>
  <c r="G13" i="29" s="1"/>
  <c r="C13" i="31" s="1"/>
  <c r="N5" i="25"/>
  <c r="N6" i="25"/>
  <c r="O20" i="17"/>
  <c r="AA63" i="2"/>
  <c r="L21" i="14" s="1"/>
  <c r="K13" i="29" s="1"/>
  <c r="G13" i="31" s="1"/>
  <c r="AA53" i="2"/>
  <c r="L19" i="14" s="1"/>
  <c r="K11" i="29" s="1"/>
  <c r="G11" i="31" s="1"/>
  <c r="X38" i="2"/>
  <c r="N7" i="16"/>
  <c r="V38" i="2"/>
  <c r="Y53" i="2"/>
  <c r="J19" i="14" s="1"/>
  <c r="I11" i="29" s="1"/>
  <c r="E11" i="31" s="1"/>
  <c r="Y38" i="2"/>
  <c r="AA38" i="2"/>
  <c r="O36" i="17"/>
  <c r="N15" i="16"/>
  <c r="W53" i="2"/>
  <c r="H19" i="14" s="1"/>
  <c r="G11" i="29" s="1"/>
  <c r="C11" i="31" s="1"/>
  <c r="B5" i="30"/>
  <c r="B9" i="39" s="1"/>
  <c r="B22" i="41"/>
  <c r="L15" i="29"/>
  <c r="M15" i="14"/>
  <c r="M25" i="14"/>
  <c r="B6" i="30"/>
  <c r="B10" i="39" s="1"/>
  <c r="X53" i="2"/>
  <c r="I19" i="14" s="1"/>
  <c r="H11" i="29" s="1"/>
  <c r="D11" i="31" s="1"/>
  <c r="V53" i="2"/>
  <c r="G19" i="14" s="1"/>
  <c r="F11" i="29" s="1"/>
  <c r="B11" i="31" s="1"/>
  <c r="V51" i="2"/>
  <c r="G26" i="14" s="1"/>
  <c r="Y51" i="2"/>
  <c r="AA51" i="2"/>
  <c r="W51" i="2"/>
  <c r="X51" i="2"/>
  <c r="Z51" i="2"/>
  <c r="Y62" i="2"/>
  <c r="Z62" i="2"/>
  <c r="AA62" i="2"/>
  <c r="W62" i="2"/>
  <c r="X62" i="2"/>
  <c r="V62" i="2"/>
  <c r="W50" i="2"/>
  <c r="Y50" i="2"/>
  <c r="Z50" i="2"/>
  <c r="AA50" i="2"/>
  <c r="V49" i="2"/>
  <c r="X50" i="2"/>
  <c r="V52" i="2"/>
  <c r="X52" i="2"/>
  <c r="I18" i="14" s="1"/>
  <c r="H10" i="29" s="1"/>
  <c r="D10" i="31" s="1"/>
  <c r="W52" i="2"/>
  <c r="H18" i="14" s="1"/>
  <c r="G10" i="29" s="1"/>
  <c r="C10" i="31" s="1"/>
  <c r="Z52" i="2"/>
  <c r="K18" i="14" s="1"/>
  <c r="J10" i="29" s="1"/>
  <c r="F10" i="31" s="1"/>
  <c r="Y52" i="2"/>
  <c r="J18" i="14" s="1"/>
  <c r="I10" i="29" s="1"/>
  <c r="E10" i="31" s="1"/>
  <c r="AA52" i="2"/>
  <c r="L18" i="14" s="1"/>
  <c r="K10" i="29" s="1"/>
  <c r="G10" i="31" s="1"/>
  <c r="Z35" i="2"/>
  <c r="W35" i="2"/>
  <c r="X35" i="2"/>
  <c r="AA35" i="2"/>
  <c r="V35" i="2"/>
  <c r="Y35" i="2"/>
  <c r="C17" i="30"/>
  <c r="C21" i="39" s="1"/>
  <c r="Z6" i="10"/>
  <c r="I53" i="12" s="1"/>
  <c r="W6" i="10"/>
  <c r="H9" i="19" s="1"/>
  <c r="G58" i="29" s="1"/>
  <c r="AA6" i="10"/>
  <c r="L9" i="19" s="1"/>
  <c r="K58" i="29" s="1"/>
  <c r="V6" i="10"/>
  <c r="E53" i="12" s="1"/>
  <c r="B15" i="30"/>
  <c r="B19" i="39" s="1"/>
  <c r="E69" i="22"/>
  <c r="F70" i="37" s="1"/>
  <c r="G70" i="37" s="1"/>
  <c r="H61" i="12"/>
  <c r="J23" i="19"/>
  <c r="I65" i="29" s="1"/>
  <c r="E65" i="31" s="1"/>
  <c r="F60" i="12"/>
  <c r="H22" i="19"/>
  <c r="G64" i="29" s="1"/>
  <c r="C64" i="31" s="1"/>
  <c r="F61" i="12"/>
  <c r="H23" i="19"/>
  <c r="G65" i="29" s="1"/>
  <c r="C65" i="31" s="1"/>
  <c r="H54" i="12"/>
  <c r="J10" i="19"/>
  <c r="I59" i="29" s="1"/>
  <c r="G54" i="12"/>
  <c r="I10" i="19"/>
  <c r="H59" i="29" s="1"/>
  <c r="D59" i="31" s="1"/>
  <c r="G66" i="12"/>
  <c r="I27" i="19"/>
  <c r="H68" i="29" s="1"/>
  <c r="I60" i="12"/>
  <c r="K22" i="19"/>
  <c r="J64" i="29" s="1"/>
  <c r="F64" i="31" s="1"/>
  <c r="G61" i="12"/>
  <c r="I23" i="19"/>
  <c r="H65" i="29" s="1"/>
  <c r="D65" i="31" s="1"/>
  <c r="G60" i="12"/>
  <c r="I22" i="19"/>
  <c r="H64" i="29" s="1"/>
  <c r="D64" i="31" s="1"/>
  <c r="I61" i="12"/>
  <c r="K23" i="19"/>
  <c r="J65" i="29" s="1"/>
  <c r="F65" i="31" s="1"/>
  <c r="I54" i="12"/>
  <c r="K10" i="19"/>
  <c r="J59" i="29" s="1"/>
  <c r="F59" i="31" s="1"/>
  <c r="H60" i="12"/>
  <c r="J22" i="19"/>
  <c r="I64" i="29" s="1"/>
  <c r="E64" i="31" s="1"/>
  <c r="B20" i="39"/>
  <c r="E61" i="12"/>
  <c r="G23" i="19"/>
  <c r="F65" i="29" s="1"/>
  <c r="B65" i="31" s="1"/>
  <c r="B21" i="39"/>
  <c r="E60" i="12"/>
  <c r="G22" i="19"/>
  <c r="F64" i="29" s="1"/>
  <c r="B64" i="31" s="1"/>
  <c r="F54" i="12"/>
  <c r="H10" i="19"/>
  <c r="G59" i="29" s="1"/>
  <c r="C59" i="31" s="1"/>
  <c r="J60" i="12"/>
  <c r="L22" i="19"/>
  <c r="K64" i="29" s="1"/>
  <c r="G64" i="31" s="1"/>
  <c r="B16" i="30"/>
  <c r="F63" i="12"/>
  <c r="H26" i="19"/>
  <c r="G67" i="29" s="1"/>
  <c r="G63" i="12"/>
  <c r="I26" i="19"/>
  <c r="H67" i="29" s="1"/>
  <c r="F66" i="12"/>
  <c r="H27" i="19"/>
  <c r="G68" i="29" s="1"/>
  <c r="J54" i="12"/>
  <c r="L10" i="19"/>
  <c r="K59" i="29" s="1"/>
  <c r="G59" i="31" s="1"/>
  <c r="E54" i="12"/>
  <c r="G10" i="19"/>
  <c r="F59" i="29" s="1"/>
  <c r="B59" i="31" s="1"/>
  <c r="G53" i="12"/>
  <c r="I9" i="19"/>
  <c r="H58" i="29" s="1"/>
  <c r="B23" i="39"/>
  <c r="B7" i="30"/>
  <c r="B11" i="39" s="1"/>
  <c r="G20" i="12"/>
  <c r="I20" i="12"/>
  <c r="K6" i="15"/>
  <c r="J19" i="29" s="1"/>
  <c r="F19" i="31" s="1"/>
  <c r="H20" i="12"/>
  <c r="J6" i="15"/>
  <c r="I19" i="29" s="1"/>
  <c r="E19" i="31" s="1"/>
  <c r="E20" i="12"/>
  <c r="F19" i="29"/>
  <c r="B19" i="31" s="1"/>
  <c r="V43" i="5"/>
  <c r="Y43" i="5"/>
  <c r="W43" i="5"/>
  <c r="H18" i="15" s="1"/>
  <c r="G25" i="29" s="1"/>
  <c r="AA43" i="5"/>
  <c r="J28" i="12" s="1"/>
  <c r="Z43" i="5"/>
  <c r="K18" i="15" s="1"/>
  <c r="J25" i="29" s="1"/>
  <c r="X43" i="5"/>
  <c r="I18" i="15" s="1"/>
  <c r="H25" i="29" s="1"/>
  <c r="W19" i="2"/>
  <c r="Y19" i="2"/>
  <c r="Z19" i="2"/>
  <c r="X19" i="2"/>
  <c r="V19" i="2"/>
  <c r="K7" i="29"/>
  <c r="G7" i="31" s="1"/>
  <c r="AA9" i="2"/>
  <c r="Y9" i="2"/>
  <c r="Z9" i="2"/>
  <c r="W9" i="2"/>
  <c r="X9" i="2"/>
  <c r="V9" i="2"/>
  <c r="H6" i="15"/>
  <c r="G19" i="29" s="1"/>
  <c r="C19" i="31" s="1"/>
  <c r="F20" i="12"/>
  <c r="J20" i="12"/>
  <c r="L6" i="15"/>
  <c r="K19" i="29" s="1"/>
  <c r="K15" i="14" l="1"/>
  <c r="J9" i="29" s="1"/>
  <c r="F9" i="31" s="1"/>
  <c r="F5" i="25"/>
  <c r="F71" i="29" s="1"/>
  <c r="C20" i="30" s="1"/>
  <c r="G6" i="25"/>
  <c r="G72" i="29" s="1"/>
  <c r="C72" i="31" s="1"/>
  <c r="F36" i="12"/>
  <c r="E69" i="31"/>
  <c r="B71" i="31"/>
  <c r="G71" i="31"/>
  <c r="H20" i="30"/>
  <c r="H24" i="39" s="1"/>
  <c r="F71" i="31"/>
  <c r="G20" i="30"/>
  <c r="G24" i="39" s="1"/>
  <c r="D71" i="31"/>
  <c r="E20" i="30"/>
  <c r="E24" i="39" s="1"/>
  <c r="C71" i="31"/>
  <c r="D20" i="30"/>
  <c r="D24" i="39" s="1"/>
  <c r="A2" i="25"/>
  <c r="Z6" i="4"/>
  <c r="I34" i="12" s="1"/>
  <c r="J5" i="16"/>
  <c r="H36" i="12"/>
  <c r="A2" i="14"/>
  <c r="A2" i="16"/>
  <c r="A2" i="19"/>
  <c r="Z14" i="3"/>
  <c r="Y14" i="3"/>
  <c r="W14" i="3"/>
  <c r="V14" i="3"/>
  <c r="X14" i="3"/>
  <c r="V52" i="3"/>
  <c r="Z52" i="3"/>
  <c r="W52" i="3"/>
  <c r="X52" i="3"/>
  <c r="Y52" i="3"/>
  <c r="AA52" i="3"/>
  <c r="N22" i="3"/>
  <c r="X22" i="3" s="1"/>
  <c r="N23" i="3"/>
  <c r="AA27" i="9"/>
  <c r="V27" i="9"/>
  <c r="Z27" i="9"/>
  <c r="Y27" i="9"/>
  <c r="X27" i="9"/>
  <c r="W27" i="9"/>
  <c r="G13" i="16"/>
  <c r="G39" i="29" s="1"/>
  <c r="C39" i="31" s="1"/>
  <c r="I13" i="16"/>
  <c r="I39" i="29" s="1"/>
  <c r="E39" i="31" s="1"/>
  <c r="F13" i="16"/>
  <c r="F39" i="29" s="1"/>
  <c r="B39" i="31" s="1"/>
  <c r="H13" i="16"/>
  <c r="H39" i="29" s="1"/>
  <c r="D39" i="31" s="1"/>
  <c r="J11" i="16"/>
  <c r="J37" i="29" s="1"/>
  <c r="F37" i="31" s="1"/>
  <c r="H11" i="16"/>
  <c r="H37" i="29" s="1"/>
  <c r="D37" i="31" s="1"/>
  <c r="I11" i="16"/>
  <c r="I37" i="29" s="1"/>
  <c r="E37" i="31" s="1"/>
  <c r="G11" i="16"/>
  <c r="G37" i="29" s="1"/>
  <c r="C37" i="31" s="1"/>
  <c r="F11" i="16"/>
  <c r="F37" i="29" s="1"/>
  <c r="B37" i="31" s="1"/>
  <c r="H10" i="16"/>
  <c r="H36" i="29" s="1"/>
  <c r="D36" i="31" s="1"/>
  <c r="I10" i="16"/>
  <c r="I36" i="29" s="1"/>
  <c r="E36" i="31" s="1"/>
  <c r="K10" i="16"/>
  <c r="K36" i="29" s="1"/>
  <c r="G36" i="31" s="1"/>
  <c r="F10" i="16"/>
  <c r="F36" i="29" s="1"/>
  <c r="B36" i="31" s="1"/>
  <c r="E36" i="12"/>
  <c r="F7" i="16"/>
  <c r="F34" i="29" s="1"/>
  <c r="B34" i="31" s="1"/>
  <c r="J36" i="12"/>
  <c r="K7" i="16"/>
  <c r="K34" i="29" s="1"/>
  <c r="G34" i="31" s="1"/>
  <c r="O38" i="17"/>
  <c r="X15" i="3"/>
  <c r="Y15" i="3"/>
  <c r="Z15" i="3"/>
  <c r="W15" i="3"/>
  <c r="AA15" i="3"/>
  <c r="V15" i="3"/>
  <c r="W45" i="3"/>
  <c r="X45" i="3"/>
  <c r="AA45" i="3"/>
  <c r="Y45" i="3"/>
  <c r="V45" i="3"/>
  <c r="Z45" i="3"/>
  <c r="V15" i="11"/>
  <c r="E67" i="12" s="1"/>
  <c r="E68" i="22"/>
  <c r="F69" i="37" s="1"/>
  <c r="G69" i="37" s="1"/>
  <c r="B18" i="30"/>
  <c r="H19" i="30"/>
  <c r="H23" i="39" s="1"/>
  <c r="G69" i="31"/>
  <c r="X15" i="11"/>
  <c r="G67" i="12" s="1"/>
  <c r="AA15" i="11"/>
  <c r="J67" i="12" s="1"/>
  <c r="Y15" i="11"/>
  <c r="H67" i="12" s="1"/>
  <c r="Z15" i="11"/>
  <c r="I67" i="12" s="1"/>
  <c r="W15" i="11"/>
  <c r="F67" i="12" s="1"/>
  <c r="X10" i="9"/>
  <c r="Y10" i="9"/>
  <c r="V10" i="9"/>
  <c r="Z10" i="9"/>
  <c r="W10" i="9"/>
  <c r="AA10" i="9"/>
  <c r="N38" i="9"/>
  <c r="Z38" i="9" s="1"/>
  <c r="K48" i="17" s="1"/>
  <c r="J56" i="29" s="1"/>
  <c r="F56" i="31" s="1"/>
  <c r="F33" i="17"/>
  <c r="E50" i="29" s="1"/>
  <c r="E50" i="22" s="1"/>
  <c r="F51" i="37" s="1"/>
  <c r="G51" i="37" s="1"/>
  <c r="O33" i="17" s="1"/>
  <c r="N53" i="3"/>
  <c r="X7" i="9"/>
  <c r="I8" i="17" s="1"/>
  <c r="Z7" i="9"/>
  <c r="K8" i="17" s="1"/>
  <c r="Y7" i="9"/>
  <c r="J8" i="17" s="1"/>
  <c r="W7" i="9"/>
  <c r="H8" i="17" s="1"/>
  <c r="V7" i="9"/>
  <c r="G8" i="17" s="1"/>
  <c r="AA7" i="9"/>
  <c r="L8" i="17" s="1"/>
  <c r="E45" i="29"/>
  <c r="N26" i="9"/>
  <c r="F42" i="17"/>
  <c r="E54" i="29" s="1"/>
  <c r="E54" i="22" s="1"/>
  <c r="F55" i="37" s="1"/>
  <c r="G55" i="37" s="1"/>
  <c r="O42" i="17" s="1"/>
  <c r="G15" i="14"/>
  <c r="F9" i="29" s="1"/>
  <c r="B9" i="31" s="1"/>
  <c r="L15" i="14"/>
  <c r="K9" i="29" s="1"/>
  <c r="G9" i="31" s="1"/>
  <c r="I15" i="14"/>
  <c r="H9" i="29" s="1"/>
  <c r="D9" i="31" s="1"/>
  <c r="J15" i="14"/>
  <c r="I9" i="29" s="1"/>
  <c r="E9" i="31" s="1"/>
  <c r="AA16" i="2"/>
  <c r="J13" i="12" s="1"/>
  <c r="Y16" i="2"/>
  <c r="J8" i="14" s="1"/>
  <c r="I6" i="29" s="1"/>
  <c r="L8" i="14"/>
  <c r="K6" i="29" s="1"/>
  <c r="X6" i="2"/>
  <c r="I5" i="14" s="1"/>
  <c r="H5" i="29" s="1"/>
  <c r="AA6" i="2"/>
  <c r="L5" i="14" s="1"/>
  <c r="K5" i="29" s="1"/>
  <c r="J10" i="15"/>
  <c r="I21" i="29" s="1"/>
  <c r="E21" i="31" s="1"/>
  <c r="W6" i="2"/>
  <c r="H5" i="14" s="1"/>
  <c r="G5" i="29" s="1"/>
  <c r="W16" i="2"/>
  <c r="H8" i="14" s="1"/>
  <c r="G6" i="29" s="1"/>
  <c r="Z6" i="2"/>
  <c r="K5" i="14" s="1"/>
  <c r="J5" i="29" s="1"/>
  <c r="X16" i="2"/>
  <c r="I8" i="14" s="1"/>
  <c r="H6" i="29" s="1"/>
  <c r="H15" i="14"/>
  <c r="G9" i="29" s="1"/>
  <c r="C9" i="31" s="1"/>
  <c r="V6" i="2"/>
  <c r="G5" i="14" s="1"/>
  <c r="F5" i="29" s="1"/>
  <c r="Y6" i="2"/>
  <c r="J5" i="14" s="1"/>
  <c r="I5" i="29" s="1"/>
  <c r="Z16" i="2"/>
  <c r="K8" i="14" s="1"/>
  <c r="J6" i="29" s="1"/>
  <c r="G18" i="14"/>
  <c r="F10" i="29" s="1"/>
  <c r="B10" i="31" s="1"/>
  <c r="K26" i="14"/>
  <c r="V31" i="7"/>
  <c r="G31" i="15" s="1"/>
  <c r="F30" i="29" s="1"/>
  <c r="B30" i="31" s="1"/>
  <c r="AA31" i="7"/>
  <c r="L31" i="15" s="1"/>
  <c r="K30" i="29" s="1"/>
  <c r="G30" i="31" s="1"/>
  <c r="I26" i="14"/>
  <c r="K19" i="7"/>
  <c r="AG21" i="7"/>
  <c r="K7" i="7"/>
  <c r="AG9" i="7"/>
  <c r="X31" i="7"/>
  <c r="G31" i="12" s="1"/>
  <c r="L22" i="15"/>
  <c r="K27" i="29" s="1"/>
  <c r="G27" i="31" s="1"/>
  <c r="H26" i="14"/>
  <c r="Y49" i="2"/>
  <c r="H15" i="12" s="1"/>
  <c r="J26" i="14"/>
  <c r="I17" i="29" s="1"/>
  <c r="E17" i="31" s="1"/>
  <c r="H31" i="15"/>
  <c r="G30" i="29" s="1"/>
  <c r="C30" i="31" s="1"/>
  <c r="F31" i="12"/>
  <c r="K31" i="15"/>
  <c r="J30" i="29" s="1"/>
  <c r="F30" i="31" s="1"/>
  <c r="I31" i="12"/>
  <c r="X8" i="5"/>
  <c r="G21" i="12" s="1"/>
  <c r="Y31" i="7"/>
  <c r="G22" i="15"/>
  <c r="F27" i="29" s="1"/>
  <c r="B27" i="31" s="1"/>
  <c r="I10" i="15"/>
  <c r="H21" i="29" s="1"/>
  <c r="D21" i="31" s="1"/>
  <c r="L40" i="17"/>
  <c r="K53" i="29" s="1"/>
  <c r="G53" i="31" s="1"/>
  <c r="J40" i="17"/>
  <c r="I53" i="29" s="1"/>
  <c r="E53" i="31" s="1"/>
  <c r="X44" i="3"/>
  <c r="V44" i="3"/>
  <c r="AA44" i="3"/>
  <c r="Y44" i="3"/>
  <c r="Z44" i="3"/>
  <c r="W44" i="3"/>
  <c r="E48" i="29"/>
  <c r="E48" i="22" s="1"/>
  <c r="F49" i="37" s="1"/>
  <c r="G49" i="37" s="1"/>
  <c r="O23" i="17" s="1"/>
  <c r="W29" i="3"/>
  <c r="H23" i="17" s="1"/>
  <c r="G48" i="29" s="1"/>
  <c r="C48" i="31" s="1"/>
  <c r="Y29" i="3"/>
  <c r="Y25" i="3" s="1"/>
  <c r="AA29" i="3"/>
  <c r="L23" i="17" s="1"/>
  <c r="K48" i="29" s="1"/>
  <c r="G48" i="31" s="1"/>
  <c r="Z29" i="3"/>
  <c r="Z25" i="3" s="1"/>
  <c r="I41" i="12" s="1"/>
  <c r="V29" i="3"/>
  <c r="G23" i="17" s="1"/>
  <c r="F48" i="29" s="1"/>
  <c r="B48" i="31" s="1"/>
  <c r="X29" i="3"/>
  <c r="X25" i="3" s="1"/>
  <c r="G41" i="12" s="1"/>
  <c r="I13" i="19"/>
  <c r="H61" i="29" s="1"/>
  <c r="D61" i="31" s="1"/>
  <c r="L16" i="19"/>
  <c r="K62" i="29" s="1"/>
  <c r="G62" i="31" s="1"/>
  <c r="G13" i="19"/>
  <c r="F61" i="29" s="1"/>
  <c r="B61" i="31" s="1"/>
  <c r="K32" i="29"/>
  <c r="G32" i="31" s="1"/>
  <c r="H32" i="29"/>
  <c r="D32" i="31" s="1"/>
  <c r="F32" i="29"/>
  <c r="B32" i="31" s="1"/>
  <c r="Z8" i="5"/>
  <c r="I21" i="12" s="1"/>
  <c r="Z28" i="5"/>
  <c r="I24" i="12" s="1"/>
  <c r="H10" i="15"/>
  <c r="G21" i="29" s="1"/>
  <c r="C21" i="31" s="1"/>
  <c r="Y28" i="5"/>
  <c r="K10" i="15"/>
  <c r="J21" i="29" s="1"/>
  <c r="F21" i="31" s="1"/>
  <c r="L10" i="15"/>
  <c r="K21" i="29" s="1"/>
  <c r="G21" i="31" s="1"/>
  <c r="W28" i="5"/>
  <c r="AA28" i="5"/>
  <c r="V28" i="5"/>
  <c r="X28" i="5"/>
  <c r="H19" i="19"/>
  <c r="G63" i="29" s="1"/>
  <c r="C63" i="31" s="1"/>
  <c r="Y18" i="8"/>
  <c r="H59" i="12" s="1"/>
  <c r="D69" i="31"/>
  <c r="D19" i="30"/>
  <c r="D23" i="39" s="1"/>
  <c r="C69" i="31"/>
  <c r="L13" i="19"/>
  <c r="K61" i="29" s="1"/>
  <c r="G61" i="31" s="1"/>
  <c r="K16" i="19"/>
  <c r="J62" i="29" s="1"/>
  <c r="F62" i="31" s="1"/>
  <c r="I19" i="19"/>
  <c r="H63" i="29" s="1"/>
  <c r="D63" i="31" s="1"/>
  <c r="X12" i="8"/>
  <c r="G58" i="12" s="1"/>
  <c r="X18" i="8"/>
  <c r="G59" i="12" s="1"/>
  <c r="W6" i="8"/>
  <c r="F57" i="12" s="1"/>
  <c r="Y12" i="8"/>
  <c r="H58" i="12" s="1"/>
  <c r="H16" i="19"/>
  <c r="G62" i="29" s="1"/>
  <c r="C62" i="31" s="1"/>
  <c r="AA6" i="8"/>
  <c r="J57" i="12" s="1"/>
  <c r="Z12" i="8"/>
  <c r="I58" i="12" s="1"/>
  <c r="H13" i="19"/>
  <c r="G61" i="29" s="1"/>
  <c r="C61" i="31" s="1"/>
  <c r="Y6" i="8"/>
  <c r="H57" i="12" s="1"/>
  <c r="X6" i="8"/>
  <c r="G57" i="12" s="1"/>
  <c r="Z18" i="8"/>
  <c r="K19" i="19" s="1"/>
  <c r="J63" i="29" s="1"/>
  <c r="F63" i="31" s="1"/>
  <c r="J13" i="19"/>
  <c r="I61" i="29" s="1"/>
  <c r="E61" i="31" s="1"/>
  <c r="I16" i="19"/>
  <c r="H62" i="29" s="1"/>
  <c r="D62" i="31" s="1"/>
  <c r="W12" i="8"/>
  <c r="F58" i="12" s="1"/>
  <c r="G16" i="19"/>
  <c r="F62" i="29" s="1"/>
  <c r="B62" i="31" s="1"/>
  <c r="J16" i="19"/>
  <c r="I62" i="29" s="1"/>
  <c r="E62" i="31" s="1"/>
  <c r="J19" i="19"/>
  <c r="I63" i="29" s="1"/>
  <c r="E63" i="31" s="1"/>
  <c r="AA18" i="8"/>
  <c r="K13" i="19"/>
  <c r="J61" i="29" s="1"/>
  <c r="F61" i="31" s="1"/>
  <c r="Z6" i="8"/>
  <c r="I57" i="12" s="1"/>
  <c r="V6" i="8"/>
  <c r="E57" i="12" s="1"/>
  <c r="G19" i="19"/>
  <c r="F63" i="29" s="1"/>
  <c r="B63" i="31" s="1"/>
  <c r="AA12" i="8"/>
  <c r="J58" i="12" s="1"/>
  <c r="W18" i="8"/>
  <c r="F59" i="12" s="1"/>
  <c r="V12" i="8"/>
  <c r="E58" i="12" s="1"/>
  <c r="V18" i="8"/>
  <c r="E59" i="12" s="1"/>
  <c r="G19" i="30"/>
  <c r="G23" i="39" s="1"/>
  <c r="G9" i="19"/>
  <c r="F58" i="29" s="1"/>
  <c r="B58" i="31" s="1"/>
  <c r="J53" i="12"/>
  <c r="F53" i="12"/>
  <c r="K9" i="19"/>
  <c r="J58" i="29" s="1"/>
  <c r="F58" i="31" s="1"/>
  <c r="W6" i="4"/>
  <c r="F34" i="12" s="1"/>
  <c r="G32" i="29"/>
  <c r="D10" i="30" s="1"/>
  <c r="D14" i="39" s="1"/>
  <c r="Y6" i="4"/>
  <c r="H34" i="12" s="1"/>
  <c r="I32" i="29"/>
  <c r="E32" i="31" s="1"/>
  <c r="J32" i="29"/>
  <c r="I35" i="12"/>
  <c r="J33" i="29"/>
  <c r="J35" i="12"/>
  <c r="K33" i="29"/>
  <c r="G33" i="31" s="1"/>
  <c r="H35" i="12"/>
  <c r="I33" i="29"/>
  <c r="E33" i="31" s="1"/>
  <c r="G35" i="12"/>
  <c r="H33" i="29"/>
  <c r="F35" i="12"/>
  <c r="G33" i="29"/>
  <c r="E34" i="31"/>
  <c r="B33" i="31"/>
  <c r="Y8" i="5"/>
  <c r="H21" i="12" s="1"/>
  <c r="J22" i="15"/>
  <c r="I27" i="29" s="1"/>
  <c r="E27" i="31" s="1"/>
  <c r="K22" i="15"/>
  <c r="J27" i="29" s="1"/>
  <c r="H22" i="15"/>
  <c r="G27" i="29" s="1"/>
  <c r="C27" i="31" s="1"/>
  <c r="I22" i="15"/>
  <c r="H27" i="29" s="1"/>
  <c r="D27" i="31" s="1"/>
  <c r="K26" i="29"/>
  <c r="G26" i="31" s="1"/>
  <c r="V8" i="5"/>
  <c r="E21" i="12" s="1"/>
  <c r="H26" i="29"/>
  <c r="D26" i="31" s="1"/>
  <c r="AA8" i="5"/>
  <c r="J21" i="12" s="1"/>
  <c r="W21" i="5"/>
  <c r="F23" i="12" s="1"/>
  <c r="Z21" i="5"/>
  <c r="I23" i="12" s="1"/>
  <c r="AA21" i="5"/>
  <c r="J23" i="12" s="1"/>
  <c r="X21" i="5"/>
  <c r="G23" i="12" s="1"/>
  <c r="V14" i="5"/>
  <c r="E22" i="12" s="1"/>
  <c r="G7" i="15"/>
  <c r="F20" i="29" s="1"/>
  <c r="B20" i="31" s="1"/>
  <c r="Y21" i="5"/>
  <c r="H23" i="12" s="1"/>
  <c r="G10" i="15"/>
  <c r="F21" i="29" s="1"/>
  <c r="B21" i="31" s="1"/>
  <c r="V21" i="5"/>
  <c r="E23" i="12" s="1"/>
  <c r="K7" i="15"/>
  <c r="H7" i="15"/>
  <c r="I7" i="15"/>
  <c r="L7" i="15"/>
  <c r="K20" i="29" s="1"/>
  <c r="G20" i="31" s="1"/>
  <c r="AA14" i="5"/>
  <c r="J22" i="12" s="1"/>
  <c r="Y14" i="5"/>
  <c r="H22" i="12" s="1"/>
  <c r="J7" i="15"/>
  <c r="I20" i="29" s="1"/>
  <c r="E20" i="31" s="1"/>
  <c r="K12" i="14"/>
  <c r="J8" i="29" s="1"/>
  <c r="F8" i="31" s="1"/>
  <c r="L12" i="14"/>
  <c r="K8" i="29" s="1"/>
  <c r="G8" i="31" s="1"/>
  <c r="G12" i="14"/>
  <c r="F8" i="29" s="1"/>
  <c r="B8" i="31" s="1"/>
  <c r="J12" i="14"/>
  <c r="I8" i="29" s="1"/>
  <c r="E8" i="31" s="1"/>
  <c r="I12" i="14"/>
  <c r="H8" i="29" s="1"/>
  <c r="D8" i="31" s="1"/>
  <c r="H12" i="14"/>
  <c r="G8" i="29" s="1"/>
  <c r="C8" i="31" s="1"/>
  <c r="G24" i="14"/>
  <c r="F15" i="29" s="1"/>
  <c r="V34" i="2"/>
  <c r="E14" i="12" s="1"/>
  <c r="K24" i="14"/>
  <c r="J15" i="29" s="1"/>
  <c r="F15" i="31" s="1"/>
  <c r="Z34" i="2"/>
  <c r="I14" i="12" s="1"/>
  <c r="L24" i="14"/>
  <c r="K15" i="29" s="1"/>
  <c r="G15" i="31" s="1"/>
  <c r="AA34" i="2"/>
  <c r="J14" i="12" s="1"/>
  <c r="I24" i="14"/>
  <c r="H15" i="29" s="1"/>
  <c r="D15" i="31" s="1"/>
  <c r="X34" i="2"/>
  <c r="G14" i="12" s="1"/>
  <c r="J24" i="14"/>
  <c r="I15" i="29" s="1"/>
  <c r="E15" i="31" s="1"/>
  <c r="Y34" i="2"/>
  <c r="H14" i="12" s="1"/>
  <c r="H24" i="14"/>
  <c r="G15" i="29" s="1"/>
  <c r="C15" i="31" s="1"/>
  <c r="W34" i="2"/>
  <c r="F14" i="12" s="1"/>
  <c r="Y59" i="3"/>
  <c r="I42" i="29"/>
  <c r="E42" i="31" s="1"/>
  <c r="J42" i="29"/>
  <c r="F42" i="31" s="1"/>
  <c r="Z59" i="3"/>
  <c r="I44" i="12" s="1"/>
  <c r="J43" i="29"/>
  <c r="F43" i="31" s="1"/>
  <c r="Z63" i="3"/>
  <c r="I45" i="12" s="1"/>
  <c r="W13" i="3"/>
  <c r="X13" i="3"/>
  <c r="Y13" i="3"/>
  <c r="V13" i="3"/>
  <c r="G15" i="17" s="1"/>
  <c r="Z13" i="3"/>
  <c r="K15" i="17" s="1"/>
  <c r="J46" i="29" s="1"/>
  <c r="F46" i="31" s="1"/>
  <c r="AA13" i="3"/>
  <c r="K42" i="29"/>
  <c r="G42" i="31" s="1"/>
  <c r="AA59" i="3"/>
  <c r="J44" i="12" s="1"/>
  <c r="AA63" i="3"/>
  <c r="J45" i="12" s="1"/>
  <c r="K43" i="29"/>
  <c r="G43" i="31" s="1"/>
  <c r="W63" i="3"/>
  <c r="F45" i="12" s="1"/>
  <c r="G43" i="29"/>
  <c r="C43" i="31" s="1"/>
  <c r="F36" i="31"/>
  <c r="G36" i="29"/>
  <c r="E46" i="29"/>
  <c r="G42" i="29"/>
  <c r="C42" i="31" s="1"/>
  <c r="W59" i="3"/>
  <c r="F44" i="12" s="1"/>
  <c r="H42" i="29"/>
  <c r="D42" i="31" s="1"/>
  <c r="X59" i="3"/>
  <c r="G44" i="12" s="1"/>
  <c r="F43" i="29"/>
  <c r="B43" i="31" s="1"/>
  <c r="V63" i="3"/>
  <c r="E45" i="12" s="1"/>
  <c r="G38" i="29"/>
  <c r="C38" i="31" s="1"/>
  <c r="I38" i="29"/>
  <c r="E38" i="31" s="1"/>
  <c r="V59" i="3"/>
  <c r="E44" i="12" s="1"/>
  <c r="F42" i="29"/>
  <c r="B42" i="31" s="1"/>
  <c r="I43" i="29"/>
  <c r="E43" i="31" s="1"/>
  <c r="Y63" i="3"/>
  <c r="H43" i="29"/>
  <c r="D43" i="31" s="1"/>
  <c r="X63" i="3"/>
  <c r="G45" i="12" s="1"/>
  <c r="W8" i="5"/>
  <c r="F21" i="12" s="1"/>
  <c r="X14" i="5"/>
  <c r="Z14" i="5"/>
  <c r="F28" i="12"/>
  <c r="W14" i="5"/>
  <c r="I28" i="12"/>
  <c r="F26" i="29"/>
  <c r="B26" i="31" s="1"/>
  <c r="J26" i="29"/>
  <c r="E26" i="31"/>
  <c r="C26" i="31"/>
  <c r="V16" i="2"/>
  <c r="AA49" i="2"/>
  <c r="L26" i="14" s="1"/>
  <c r="K17" i="29" s="1"/>
  <c r="G17" i="31" s="1"/>
  <c r="Z49" i="2"/>
  <c r="I15" i="12" s="1"/>
  <c r="B23" i="41"/>
  <c r="L16" i="29"/>
  <c r="L9" i="29"/>
  <c r="B16" i="41"/>
  <c r="X49" i="2"/>
  <c r="G15" i="12" s="1"/>
  <c r="E17" i="12"/>
  <c r="G20" i="14"/>
  <c r="F12" i="29" s="1"/>
  <c r="B12" i="31" s="1"/>
  <c r="I17" i="12"/>
  <c r="K20" i="14"/>
  <c r="J12" i="29" s="1"/>
  <c r="F12" i="31" s="1"/>
  <c r="G17" i="12"/>
  <c r="I20" i="14"/>
  <c r="H12" i="29" s="1"/>
  <c r="D12" i="31" s="1"/>
  <c r="J20" i="14"/>
  <c r="I12" i="29" s="1"/>
  <c r="E12" i="31" s="1"/>
  <c r="H17" i="12"/>
  <c r="F17" i="12"/>
  <c r="H20" i="14"/>
  <c r="G12" i="29" s="1"/>
  <c r="C12" i="31" s="1"/>
  <c r="F17" i="29"/>
  <c r="E15" i="12"/>
  <c r="W49" i="2"/>
  <c r="J17" i="12"/>
  <c r="L20" i="14"/>
  <c r="K12" i="29" s="1"/>
  <c r="G12" i="31" s="1"/>
  <c r="D67" i="31"/>
  <c r="E17" i="30"/>
  <c r="E21" i="39" s="1"/>
  <c r="E59" i="31"/>
  <c r="F15" i="30"/>
  <c r="F19" i="39" s="1"/>
  <c r="D58" i="31"/>
  <c r="E15" i="30"/>
  <c r="E19" i="39" s="1"/>
  <c r="G58" i="31"/>
  <c r="H15" i="30"/>
  <c r="H19" i="39" s="1"/>
  <c r="C68" i="31"/>
  <c r="D18" i="30"/>
  <c r="C67" i="31"/>
  <c r="D17" i="30"/>
  <c r="C58" i="31"/>
  <c r="D15" i="30"/>
  <c r="D19" i="39" s="1"/>
  <c r="D68" i="31"/>
  <c r="E18" i="30"/>
  <c r="E22" i="39" s="1"/>
  <c r="B69" i="31"/>
  <c r="C19" i="30"/>
  <c r="L18" i="15"/>
  <c r="K25" i="29" s="1"/>
  <c r="G25" i="31" s="1"/>
  <c r="J18" i="15"/>
  <c r="I25" i="29" s="1"/>
  <c r="H28" i="12"/>
  <c r="G28" i="12"/>
  <c r="G18" i="15"/>
  <c r="F25" i="29" s="1"/>
  <c r="E28" i="12"/>
  <c r="F7" i="29"/>
  <c r="B7" i="31" s="1"/>
  <c r="I7" i="29"/>
  <c r="E7" i="31" s="1"/>
  <c r="G7" i="29"/>
  <c r="C7" i="31" s="1"/>
  <c r="H7" i="29"/>
  <c r="D7" i="31" s="1"/>
  <c r="J7" i="29"/>
  <c r="F7" i="31" s="1"/>
  <c r="C25" i="31"/>
  <c r="F25" i="31"/>
  <c r="D25" i="31"/>
  <c r="G19" i="31"/>
  <c r="D6" i="31" l="1"/>
  <c r="C6" i="31"/>
  <c r="G6" i="31"/>
  <c r="F6" i="31"/>
  <c r="E6" i="31"/>
  <c r="B15" i="31"/>
  <c r="C24" i="39"/>
  <c r="I20" i="30"/>
  <c r="C11" i="30"/>
  <c r="C15" i="39" s="1"/>
  <c r="F13" i="12"/>
  <c r="X38" i="9"/>
  <c r="I48" i="17" s="1"/>
  <c r="H56" i="29" s="1"/>
  <c r="D56" i="31" s="1"/>
  <c r="AA6" i="3"/>
  <c r="J39" i="12" s="1"/>
  <c r="W6" i="3"/>
  <c r="F39" i="12" s="1"/>
  <c r="Z22" i="3"/>
  <c r="X35" i="3"/>
  <c r="G42" i="12" s="1"/>
  <c r="AA22" i="3"/>
  <c r="V22" i="3"/>
  <c r="Y22" i="3"/>
  <c r="W22" i="3"/>
  <c r="Y23" i="3"/>
  <c r="X23" i="3"/>
  <c r="X18" i="3" s="1"/>
  <c r="G40" i="12" s="1"/>
  <c r="W23" i="3"/>
  <c r="AA23" i="3"/>
  <c r="V23" i="3"/>
  <c r="Z23" i="3"/>
  <c r="W35" i="3"/>
  <c r="F42" i="12" s="1"/>
  <c r="V35" i="3"/>
  <c r="E42" i="12" s="1"/>
  <c r="F11" i="30"/>
  <c r="F15" i="39" s="1"/>
  <c r="AA38" i="9"/>
  <c r="L48" i="17" s="1"/>
  <c r="K56" i="29" s="1"/>
  <c r="G56" i="31" s="1"/>
  <c r="Y38" i="9"/>
  <c r="J48" i="17" s="1"/>
  <c r="I56" i="29" s="1"/>
  <c r="E56" i="31" s="1"/>
  <c r="W38" i="9"/>
  <c r="H48" i="17" s="1"/>
  <c r="G56" i="29" s="1"/>
  <c r="C56" i="31" s="1"/>
  <c r="E10" i="30"/>
  <c r="E14" i="39" s="1"/>
  <c r="V38" i="9"/>
  <c r="G48" i="17" s="1"/>
  <c r="F56" i="29" s="1"/>
  <c r="B56" i="31" s="1"/>
  <c r="E45" i="22"/>
  <c r="F46" i="37" s="1"/>
  <c r="G46" i="37" s="1"/>
  <c r="O7" i="17" s="1"/>
  <c r="B13" i="30"/>
  <c r="B17" i="39" s="1"/>
  <c r="Z53" i="3"/>
  <c r="X53" i="3"/>
  <c r="W53" i="3"/>
  <c r="Y53" i="3"/>
  <c r="AA53" i="3"/>
  <c r="V53" i="3"/>
  <c r="AA26" i="9"/>
  <c r="AA24" i="9" s="1"/>
  <c r="X26" i="9"/>
  <c r="X24" i="9" s="1"/>
  <c r="Y26" i="9"/>
  <c r="Y24" i="9" s="1"/>
  <c r="V26" i="9"/>
  <c r="V24" i="9" s="1"/>
  <c r="W26" i="9"/>
  <c r="W24" i="9" s="1"/>
  <c r="Z26" i="9"/>
  <c r="Z24" i="9" s="1"/>
  <c r="Z8" i="9"/>
  <c r="K9" i="17" s="1"/>
  <c r="X8" i="9"/>
  <c r="I9" i="17" s="1"/>
  <c r="AA8" i="9"/>
  <c r="L9" i="17" s="1"/>
  <c r="Y8" i="9"/>
  <c r="J9" i="17" s="1"/>
  <c r="W8" i="9"/>
  <c r="H9" i="17" s="1"/>
  <c r="V8" i="9"/>
  <c r="G9" i="17" s="1"/>
  <c r="H13" i="12"/>
  <c r="H12" i="12"/>
  <c r="G12" i="12"/>
  <c r="J31" i="12"/>
  <c r="I13" i="12"/>
  <c r="J12" i="12"/>
  <c r="E12" i="12"/>
  <c r="I12" i="12"/>
  <c r="F12" i="12"/>
  <c r="G13" i="12"/>
  <c r="I31" i="15"/>
  <c r="H30" i="29" s="1"/>
  <c r="D30" i="31" s="1"/>
  <c r="E31" i="12"/>
  <c r="K6" i="7"/>
  <c r="N14" i="7" s="1"/>
  <c r="X14" i="7" s="1"/>
  <c r="AG6" i="7"/>
  <c r="H4" i="30"/>
  <c r="H8" i="39" s="1"/>
  <c r="H10" i="30"/>
  <c r="H14" i="39" s="1"/>
  <c r="C10" i="30"/>
  <c r="C14" i="39" s="1"/>
  <c r="C32" i="31"/>
  <c r="F27" i="31"/>
  <c r="H31" i="12"/>
  <c r="J31" i="15"/>
  <c r="I30" i="29" s="1"/>
  <c r="E30" i="31" s="1"/>
  <c r="K13" i="15"/>
  <c r="J22" i="29" s="1"/>
  <c r="F22" i="31" s="1"/>
  <c r="AA25" i="3"/>
  <c r="J41" i="12" s="1"/>
  <c r="H28" i="17"/>
  <c r="G49" i="29" s="1"/>
  <c r="C49" i="31" s="1"/>
  <c r="J23" i="17"/>
  <c r="I48" i="29" s="1"/>
  <c r="E48" i="31" s="1"/>
  <c r="I23" i="17"/>
  <c r="H48" i="29" s="1"/>
  <c r="D48" i="31" s="1"/>
  <c r="Z35" i="3"/>
  <c r="I42" i="12" s="1"/>
  <c r="K28" i="17"/>
  <c r="J49" i="29" s="1"/>
  <c r="F49" i="31" s="1"/>
  <c r="AA35" i="3"/>
  <c r="J42" i="12" s="1"/>
  <c r="L28" i="17"/>
  <c r="K49" i="29" s="1"/>
  <c r="G49" i="31" s="1"/>
  <c r="I28" i="17"/>
  <c r="H49" i="29" s="1"/>
  <c r="D49" i="31" s="1"/>
  <c r="Y35" i="3"/>
  <c r="J28" i="17"/>
  <c r="I49" i="29" s="1"/>
  <c r="E49" i="31" s="1"/>
  <c r="G28" i="17"/>
  <c r="F49" i="29" s="1"/>
  <c r="B49" i="31" s="1"/>
  <c r="V25" i="3"/>
  <c r="E41" i="12" s="1"/>
  <c r="K23" i="17"/>
  <c r="J48" i="29" s="1"/>
  <c r="F48" i="31" s="1"/>
  <c r="W25" i="3"/>
  <c r="F41" i="12" s="1"/>
  <c r="E16" i="30"/>
  <c r="E20" i="39" s="1"/>
  <c r="H24" i="12"/>
  <c r="J13" i="15"/>
  <c r="I22" i="29" s="1"/>
  <c r="E22" i="31" s="1"/>
  <c r="E24" i="12"/>
  <c r="G13" i="15"/>
  <c r="F22" i="29" s="1"/>
  <c r="B22" i="31" s="1"/>
  <c r="J24" i="12"/>
  <c r="L13" i="15"/>
  <c r="K22" i="29" s="1"/>
  <c r="G22" i="31" s="1"/>
  <c r="G24" i="12"/>
  <c r="I13" i="15"/>
  <c r="H22" i="29" s="1"/>
  <c r="D22" i="31" s="1"/>
  <c r="F24" i="12"/>
  <c r="H13" i="15"/>
  <c r="G22" i="29" s="1"/>
  <c r="C22" i="31" s="1"/>
  <c r="G8" i="30"/>
  <c r="G12" i="39" s="1"/>
  <c r="I59" i="12"/>
  <c r="D16" i="30"/>
  <c r="D20" i="39" s="1"/>
  <c r="F16" i="30"/>
  <c r="F20" i="39" s="1"/>
  <c r="C16" i="30"/>
  <c r="C20" i="39" s="1"/>
  <c r="G16" i="30"/>
  <c r="G20" i="39" s="1"/>
  <c r="J59" i="12"/>
  <c r="L19" i="19"/>
  <c r="K63" i="29" s="1"/>
  <c r="H15" i="17"/>
  <c r="G46" i="29" s="1"/>
  <c r="C15" i="30"/>
  <c r="C19" i="39" s="1"/>
  <c r="L15" i="17"/>
  <c r="K46" i="29" s="1"/>
  <c r="G46" i="31" s="1"/>
  <c r="G15" i="30"/>
  <c r="G19" i="39" s="1"/>
  <c r="Z6" i="3"/>
  <c r="I39" i="12" s="1"/>
  <c r="F32" i="31"/>
  <c r="G10" i="30"/>
  <c r="G14" i="39" s="1"/>
  <c r="F10" i="30"/>
  <c r="F14" i="39" s="1"/>
  <c r="H11" i="30"/>
  <c r="H15" i="39" s="1"/>
  <c r="C33" i="31"/>
  <c r="D11" i="30"/>
  <c r="D15" i="39" s="1"/>
  <c r="F33" i="31"/>
  <c r="G11" i="30"/>
  <c r="G15" i="39" s="1"/>
  <c r="E11" i="30"/>
  <c r="E15" i="39" s="1"/>
  <c r="D33" i="31"/>
  <c r="F12" i="30"/>
  <c r="F16" i="39" s="1"/>
  <c r="F8" i="30"/>
  <c r="F12" i="39" s="1"/>
  <c r="D8" i="30"/>
  <c r="H8" i="30"/>
  <c r="H12" i="39" s="1"/>
  <c r="E8" i="30"/>
  <c r="E12" i="39" s="1"/>
  <c r="H20" i="29"/>
  <c r="D20" i="31" s="1"/>
  <c r="J20" i="29"/>
  <c r="F20" i="31" s="1"/>
  <c r="G22" i="12"/>
  <c r="I22" i="12"/>
  <c r="F4" i="30"/>
  <c r="D4" i="30"/>
  <c r="D8" i="39" s="1"/>
  <c r="E4" i="30"/>
  <c r="E8" i="39" s="1"/>
  <c r="G4" i="30"/>
  <c r="G8" i="39" s="1"/>
  <c r="E12" i="30"/>
  <c r="E16" i="39" s="1"/>
  <c r="C12" i="30"/>
  <c r="C16" i="39" s="1"/>
  <c r="E13" i="12"/>
  <c r="G8" i="14"/>
  <c r="F6" i="29" s="1"/>
  <c r="H12" i="30"/>
  <c r="H16" i="39" s="1"/>
  <c r="G12" i="30"/>
  <c r="G16" i="39" s="1"/>
  <c r="C36" i="31"/>
  <c r="D12" i="30"/>
  <c r="D16" i="39" s="1"/>
  <c r="J15" i="17"/>
  <c r="I46" i="29" s="1"/>
  <c r="Y6" i="3"/>
  <c r="F46" i="29"/>
  <c r="V6" i="3"/>
  <c r="E39" i="12" s="1"/>
  <c r="I15" i="17"/>
  <c r="H46" i="29" s="1"/>
  <c r="X6" i="3"/>
  <c r="G39" i="12" s="1"/>
  <c r="E46" i="22"/>
  <c r="F47" i="37" s="1"/>
  <c r="G47" i="37" s="1"/>
  <c r="O15" i="17" s="1"/>
  <c r="B14" i="30"/>
  <c r="B18" i="39" s="1"/>
  <c r="F22" i="12"/>
  <c r="G20" i="29"/>
  <c r="F26" i="31"/>
  <c r="C8" i="30"/>
  <c r="C12" i="39" s="1"/>
  <c r="H17" i="29"/>
  <c r="D17" i="31" s="1"/>
  <c r="J15" i="12"/>
  <c r="J17" i="29"/>
  <c r="F17" i="31" s="1"/>
  <c r="F6" i="30"/>
  <c r="F10" i="39" s="1"/>
  <c r="H5" i="30"/>
  <c r="H9" i="39" s="1"/>
  <c r="D5" i="30"/>
  <c r="D9" i="39" s="1"/>
  <c r="C5" i="30"/>
  <c r="C9" i="39" s="1"/>
  <c r="F15" i="12"/>
  <c r="G17" i="29"/>
  <c r="E5" i="30"/>
  <c r="E9" i="39" s="1"/>
  <c r="C6" i="30"/>
  <c r="B17" i="31"/>
  <c r="F5" i="30"/>
  <c r="F9" i="39" s="1"/>
  <c r="G5" i="30"/>
  <c r="G9" i="39" s="1"/>
  <c r="H6" i="30"/>
  <c r="H10" i="39" s="1"/>
  <c r="D21" i="39"/>
  <c r="I17" i="30"/>
  <c r="D22" i="39"/>
  <c r="I18" i="30"/>
  <c r="C23" i="39"/>
  <c r="I19" i="30"/>
  <c r="E25" i="31"/>
  <c r="B25" i="31"/>
  <c r="F5" i="31"/>
  <c r="D5" i="31"/>
  <c r="B5" i="31"/>
  <c r="G5" i="31"/>
  <c r="E5" i="31"/>
  <c r="C5" i="31"/>
  <c r="A2" i="17" l="1"/>
  <c r="V18" i="3"/>
  <c r="E40" i="12" s="1"/>
  <c r="AA18" i="3"/>
  <c r="J40" i="12" s="1"/>
  <c r="Z18" i="3"/>
  <c r="I40" i="12" s="1"/>
  <c r="Y18" i="3"/>
  <c r="W18" i="3"/>
  <c r="F40" i="12" s="1"/>
  <c r="V11" i="9"/>
  <c r="W11" i="9"/>
  <c r="H10" i="17" s="1"/>
  <c r="AA11" i="9"/>
  <c r="L10" i="17" s="1"/>
  <c r="Y11" i="9"/>
  <c r="J10" i="17" s="1"/>
  <c r="X11" i="9"/>
  <c r="I10" i="17" s="1"/>
  <c r="Z11" i="9"/>
  <c r="K42" i="17"/>
  <c r="J54" i="29" s="1"/>
  <c r="F54" i="31" s="1"/>
  <c r="Z13" i="9"/>
  <c r="I48" i="12" s="1"/>
  <c r="I42" i="17"/>
  <c r="H54" i="29" s="1"/>
  <c r="D54" i="31" s="1"/>
  <c r="X13" i="9"/>
  <c r="G48" i="12" s="1"/>
  <c r="V49" i="3"/>
  <c r="G33" i="17"/>
  <c r="F50" i="29" s="1"/>
  <c r="B50" i="31" s="1"/>
  <c r="I33" i="17"/>
  <c r="H50" i="29" s="1"/>
  <c r="D50" i="31" s="1"/>
  <c r="X49" i="3"/>
  <c r="H42" i="17"/>
  <c r="G54" i="29" s="1"/>
  <c r="C54" i="31" s="1"/>
  <c r="W13" i="9"/>
  <c r="F48" i="12" s="1"/>
  <c r="L42" i="17"/>
  <c r="K54" i="29" s="1"/>
  <c r="G54" i="31" s="1"/>
  <c r="AA13" i="9"/>
  <c r="J48" i="12" s="1"/>
  <c r="L33" i="17"/>
  <c r="K50" i="29" s="1"/>
  <c r="G50" i="31" s="1"/>
  <c r="AA49" i="3"/>
  <c r="Z49" i="3"/>
  <c r="K33" i="17"/>
  <c r="J50" i="29" s="1"/>
  <c r="F50" i="31" s="1"/>
  <c r="V13" i="9"/>
  <c r="E48" i="12" s="1"/>
  <c r="G42" i="17"/>
  <c r="F54" i="29" s="1"/>
  <c r="B54" i="31" s="1"/>
  <c r="J33" i="17"/>
  <c r="I50" i="29" s="1"/>
  <c r="E50" i="31" s="1"/>
  <c r="Y49" i="3"/>
  <c r="J42" i="17"/>
  <c r="I54" i="29" s="1"/>
  <c r="E54" i="31" s="1"/>
  <c r="Y13" i="9"/>
  <c r="H48" i="12" s="1"/>
  <c r="W49" i="3"/>
  <c r="H33" i="17"/>
  <c r="G50" i="29" s="1"/>
  <c r="C50" i="31" s="1"/>
  <c r="N17" i="7"/>
  <c r="AA17" i="7" s="1"/>
  <c r="N26" i="7"/>
  <c r="AA26" i="7" s="1"/>
  <c r="N19" i="7"/>
  <c r="V19" i="7" s="1"/>
  <c r="N15" i="7"/>
  <c r="AA15" i="7" s="1"/>
  <c r="N29" i="7"/>
  <c r="X29" i="7" s="1"/>
  <c r="N27" i="7"/>
  <c r="V27" i="7" s="1"/>
  <c r="F26" i="15"/>
  <c r="E29" i="29" s="1"/>
  <c r="E73" i="29" s="1"/>
  <c r="N16" i="7"/>
  <c r="X16" i="7" s="1"/>
  <c r="N28" i="7"/>
  <c r="W28" i="7" s="1"/>
  <c r="N7" i="7"/>
  <c r="Z7" i="7" s="1"/>
  <c r="D12" i="39"/>
  <c r="C7" i="30"/>
  <c r="C11" i="39" s="1"/>
  <c r="F7" i="30"/>
  <c r="F11" i="39" s="1"/>
  <c r="H7" i="30"/>
  <c r="H11" i="39" s="1"/>
  <c r="Y14" i="7"/>
  <c r="Z14" i="7"/>
  <c r="AA14" i="7"/>
  <c r="W14" i="7"/>
  <c r="V14" i="7"/>
  <c r="G63" i="31"/>
  <c r="H16" i="30"/>
  <c r="I15" i="30"/>
  <c r="C46" i="31"/>
  <c r="I10" i="30"/>
  <c r="I11" i="30"/>
  <c r="E7" i="30"/>
  <c r="E11" i="39" s="1"/>
  <c r="G7" i="30"/>
  <c r="G11" i="39" s="1"/>
  <c r="B6" i="31"/>
  <c r="C4" i="30"/>
  <c r="I4" i="30" s="1"/>
  <c r="D46" i="31"/>
  <c r="B46" i="31"/>
  <c r="I12" i="30"/>
  <c r="E46" i="31"/>
  <c r="C20" i="31"/>
  <c r="D7" i="30"/>
  <c r="D11" i="39" s="1"/>
  <c r="I8" i="30"/>
  <c r="G6" i="30"/>
  <c r="G10" i="39" s="1"/>
  <c r="E6" i="30"/>
  <c r="E10" i="39" s="1"/>
  <c r="I5" i="30"/>
  <c r="C10" i="39"/>
  <c r="C17" i="31"/>
  <c r="D6" i="30"/>
  <c r="D10" i="39" s="1"/>
  <c r="F8" i="39"/>
  <c r="E73" i="22" l="1"/>
  <c r="E29" i="22"/>
  <c r="F30" i="37" s="1"/>
  <c r="G30" i="37" s="1"/>
  <c r="B9" i="30"/>
  <c r="B13" i="39" s="1"/>
  <c r="B25" i="39" s="1"/>
  <c r="K10" i="17"/>
  <c r="Z6" i="9"/>
  <c r="K7" i="17" s="1"/>
  <c r="J45" i="29" s="1"/>
  <c r="V6" i="9"/>
  <c r="G7" i="17" s="1"/>
  <c r="F45" i="29" s="1"/>
  <c r="G10" i="17"/>
  <c r="V17" i="7"/>
  <c r="Z29" i="7"/>
  <c r="C14" i="30"/>
  <c r="C18" i="39" s="1"/>
  <c r="E14" i="30"/>
  <c r="E18" i="39" s="1"/>
  <c r="W6" i="9"/>
  <c r="F14" i="30"/>
  <c r="F18" i="39" s="1"/>
  <c r="G14" i="30"/>
  <c r="G18" i="39" s="1"/>
  <c r="X6" i="9"/>
  <c r="AA6" i="9"/>
  <c r="H14" i="30"/>
  <c r="H18" i="39" s="1"/>
  <c r="Y6" i="9"/>
  <c r="D14" i="30"/>
  <c r="D18" i="39" s="1"/>
  <c r="Z17" i="7"/>
  <c r="Y17" i="7"/>
  <c r="X17" i="7"/>
  <c r="W17" i="7"/>
  <c r="X26" i="7"/>
  <c r="X27" i="7"/>
  <c r="Y26" i="7"/>
  <c r="Z26" i="7"/>
  <c r="W19" i="7"/>
  <c r="V26" i="7"/>
  <c r="W26" i="7"/>
  <c r="AA19" i="7"/>
  <c r="Z19" i="7"/>
  <c r="W29" i="7"/>
  <c r="W7" i="7"/>
  <c r="Z28" i="7"/>
  <c r="Y29" i="7"/>
  <c r="V29" i="7"/>
  <c r="AA29" i="7"/>
  <c r="X28" i="7"/>
  <c r="Z15" i="7"/>
  <c r="Y27" i="7"/>
  <c r="AA7" i="7"/>
  <c r="X7" i="7"/>
  <c r="W27" i="7"/>
  <c r="V7" i="7"/>
  <c r="Y15" i="7"/>
  <c r="W15" i="7"/>
  <c r="X15" i="7"/>
  <c r="Z27" i="7"/>
  <c r="AA27" i="7"/>
  <c r="Y19" i="7"/>
  <c r="X19" i="7"/>
  <c r="V15" i="7"/>
  <c r="Y28" i="7"/>
  <c r="V28" i="7"/>
  <c r="AA28" i="7"/>
  <c r="AA16" i="7"/>
  <c r="W16" i="7"/>
  <c r="Y16" i="7"/>
  <c r="V16" i="7"/>
  <c r="Z16" i="7"/>
  <c r="Y7" i="7"/>
  <c r="H20" i="39"/>
  <c r="I16" i="30"/>
  <c r="C8" i="39"/>
  <c r="I7" i="30"/>
  <c r="I6" i="30"/>
  <c r="G13" i="30" l="1"/>
  <c r="G17" i="39" s="1"/>
  <c r="C38" i="19"/>
  <c r="C39" i="19" s="1"/>
  <c r="B21" i="30"/>
  <c r="I47" i="12"/>
  <c r="F45" i="31"/>
  <c r="E47" i="12"/>
  <c r="I14" i="30"/>
  <c r="C13" i="30"/>
  <c r="C17" i="39" s="1"/>
  <c r="B45" i="31"/>
  <c r="J47" i="12"/>
  <c r="L7" i="17"/>
  <c r="K45" i="29" s="1"/>
  <c r="J7" i="17"/>
  <c r="I45" i="29" s="1"/>
  <c r="H47" i="12"/>
  <c r="G47" i="12"/>
  <c r="I7" i="17"/>
  <c r="H45" i="29" s="1"/>
  <c r="H7" i="17"/>
  <c r="G45" i="29" s="1"/>
  <c r="F47" i="12"/>
  <c r="Z6" i="7"/>
  <c r="AL12" i="7" s="1"/>
  <c r="X6" i="7"/>
  <c r="AJ10" i="7" s="1"/>
  <c r="V6" i="7"/>
  <c r="AH10" i="7" s="1"/>
  <c r="AA6" i="7"/>
  <c r="L26" i="15" s="1"/>
  <c r="K29" i="29" s="1"/>
  <c r="Y6" i="7"/>
  <c r="AK24" i="7" s="1"/>
  <c r="W6" i="7"/>
  <c r="AI25" i="7" s="1"/>
  <c r="G26" i="15"/>
  <c r="F29" i="29" s="1"/>
  <c r="C9" i="30" l="1"/>
  <c r="F73" i="29"/>
  <c r="H9" i="30"/>
  <c r="H13" i="39" s="1"/>
  <c r="K73" i="29"/>
  <c r="AL10" i="7"/>
  <c r="AH24" i="7"/>
  <c r="E13" i="30"/>
  <c r="E17" i="39" s="1"/>
  <c r="D45" i="31"/>
  <c r="C45" i="31"/>
  <c r="D13" i="30"/>
  <c r="C42" i="19" s="1"/>
  <c r="E45" i="31"/>
  <c r="F13" i="30"/>
  <c r="F17" i="39" s="1"/>
  <c r="G45" i="31"/>
  <c r="H13" i="30"/>
  <c r="H17" i="39" s="1"/>
  <c r="AM24" i="7"/>
  <c r="AL11" i="7"/>
  <c r="G29" i="31"/>
  <c r="AM9" i="7"/>
  <c r="AM12" i="7"/>
  <c r="AJ21" i="7"/>
  <c r="AJ12" i="7"/>
  <c r="AL9" i="7"/>
  <c r="AL23" i="7"/>
  <c r="AM10" i="7"/>
  <c r="AL21" i="7"/>
  <c r="AL22" i="7"/>
  <c r="I26" i="15"/>
  <c r="H29" i="29" s="1"/>
  <c r="AM13" i="7"/>
  <c r="AM25" i="7"/>
  <c r="AJ13" i="7"/>
  <c r="AM21" i="7"/>
  <c r="AM22" i="7"/>
  <c r="AI13" i="7"/>
  <c r="AJ22" i="7"/>
  <c r="AJ23" i="7"/>
  <c r="G30" i="12"/>
  <c r="G71" i="12" s="1"/>
  <c r="F30" i="12"/>
  <c r="F71" i="12" s="1"/>
  <c r="AL24" i="7"/>
  <c r="AL13" i="7"/>
  <c r="K26" i="15"/>
  <c r="J29" i="29" s="1"/>
  <c r="AJ25" i="7"/>
  <c r="AJ24" i="7"/>
  <c r="AK22" i="7"/>
  <c r="I30" i="12"/>
  <c r="I71" i="12" s="1"/>
  <c r="AM11" i="7"/>
  <c r="AM23" i="7"/>
  <c r="J30" i="12"/>
  <c r="J71" i="12" s="1"/>
  <c r="AL25" i="7"/>
  <c r="AJ9" i="7"/>
  <c r="AJ11" i="7"/>
  <c r="AI23" i="7"/>
  <c r="AH11" i="7"/>
  <c r="H30" i="12"/>
  <c r="H71" i="12" s="1"/>
  <c r="AH9" i="7"/>
  <c r="AH13" i="7"/>
  <c r="AH23" i="7"/>
  <c r="E30" i="12"/>
  <c r="E71" i="12" s="1"/>
  <c r="AK13" i="7"/>
  <c r="AH21" i="7"/>
  <c r="AH22" i="7"/>
  <c r="AH12" i="7"/>
  <c r="AK23" i="7"/>
  <c r="AH25" i="7"/>
  <c r="AI22" i="7"/>
  <c r="AI12" i="7"/>
  <c r="H26" i="15"/>
  <c r="G29" i="29" s="1"/>
  <c r="AK9" i="7"/>
  <c r="AK10" i="7"/>
  <c r="AI21" i="7"/>
  <c r="AI11" i="7"/>
  <c r="AI24" i="7"/>
  <c r="AK11" i="7"/>
  <c r="AK12" i="7"/>
  <c r="AI9" i="7"/>
  <c r="AI10" i="7"/>
  <c r="J26" i="15"/>
  <c r="I29" i="29" s="1"/>
  <c r="AK21" i="7"/>
  <c r="AK25" i="7"/>
  <c r="B29" i="31"/>
  <c r="C13" i="39"/>
  <c r="C25" i="39" s="1"/>
  <c r="C21" i="30"/>
  <c r="H25" i="39" l="1"/>
  <c r="D29" i="31"/>
  <c r="H73" i="29"/>
  <c r="D73" i="31" s="1"/>
  <c r="E29" i="31"/>
  <c r="I73" i="29"/>
  <c r="C29" i="31"/>
  <c r="G73" i="29"/>
  <c r="G9" i="30"/>
  <c r="G21" i="30" s="1"/>
  <c r="J73" i="29"/>
  <c r="C43" i="19"/>
  <c r="D17" i="39"/>
  <c r="I13" i="30"/>
  <c r="H21" i="30"/>
  <c r="AL6" i="7"/>
  <c r="AJ6" i="7"/>
  <c r="F9" i="30"/>
  <c r="F13" i="39" s="1"/>
  <c r="F25" i="39" s="1"/>
  <c r="E9" i="30"/>
  <c r="E13" i="39" s="1"/>
  <c r="E25" i="39" s="1"/>
  <c r="F29" i="31"/>
  <c r="AM6" i="7"/>
  <c r="G73" i="31" s="1"/>
  <c r="AH6" i="7"/>
  <c r="B73" i="31" s="1"/>
  <c r="D9" i="30"/>
  <c r="D13" i="39" s="1"/>
  <c r="AI6" i="7"/>
  <c r="AK6" i="7"/>
  <c r="E73" i="31" l="1"/>
  <c r="F73" i="31"/>
  <c r="G13" i="39"/>
  <c r="G25" i="39" s="1"/>
  <c r="C73" i="31"/>
  <c r="D25" i="39"/>
  <c r="D21" i="30"/>
  <c r="I9" i="30"/>
  <c r="I21" i="30" s="1"/>
  <c r="J10" i="30" s="1"/>
  <c r="F21" i="30"/>
  <c r="E21" i="30"/>
  <c r="J7" i="30" l="1"/>
  <c r="J14" i="30"/>
  <c r="J6" i="30"/>
  <c r="J18" i="30"/>
  <c r="J11" i="30"/>
  <c r="J19" i="30"/>
  <c r="J20" i="30"/>
  <c r="J15" i="30"/>
  <c r="J4" i="30"/>
  <c r="J5" i="30"/>
  <c r="J9" i="30"/>
  <c r="J8" i="30"/>
  <c r="J17" i="30"/>
  <c r="J13" i="30"/>
  <c r="J12" i="30"/>
  <c r="J16" i="30"/>
  <c r="J21"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5" authorId="0" shapeId="0" xr:uid="{00000000-0006-0000-0200-000001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8" authorId="0" shapeId="0" xr:uid="{00000000-0006-0000-0200-000002000000}">
      <text>
        <r>
          <rPr>
            <b/>
            <sz val="9"/>
            <color rgb="FF000000"/>
            <rFont val="Tahoma"/>
            <family val="2"/>
          </rPr>
          <t>Jakob Maag:</t>
        </r>
        <r>
          <rPr>
            <sz val="9"/>
            <color rgb="FF000000"/>
            <rFont val="Tahoma"/>
            <family val="2"/>
          </rPr>
          <t xml:space="preserve">
</t>
        </r>
        <r>
          <rPr>
            <sz val="9"/>
            <color rgb="FF000000"/>
            <rFont val="Tahoma"/>
            <family val="2"/>
          </rPr>
          <t>Affects only output distribution factors, as input factors are identical</t>
        </r>
      </text>
    </comment>
    <comment ref="P10" authorId="0" shapeId="0" xr:uid="{00000000-0006-0000-0200-000003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16" authorId="0" shapeId="0" xr:uid="{00000000-0006-0000-0200-000004000000}">
      <text>
        <r>
          <rPr>
            <b/>
            <sz val="9"/>
            <color rgb="FF000000"/>
            <rFont val="Tahoma"/>
            <family val="2"/>
          </rPr>
          <t>Jakob Maag:</t>
        </r>
        <r>
          <rPr>
            <sz val="9"/>
            <color rgb="FF000000"/>
            <rFont val="Tahoma"/>
            <family val="2"/>
          </rPr>
          <t xml:space="preserve">
</t>
        </r>
        <r>
          <rPr>
            <sz val="9"/>
            <color rgb="FF000000"/>
            <rFont val="Tahoma"/>
            <family val="2"/>
          </rPr>
          <t>Introduced 25JAN2016 as per Minamata Convention source categories</t>
        </r>
      </text>
    </comment>
    <comment ref="P20" authorId="0" shapeId="0" xr:uid="{00000000-0006-0000-0200-000005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26" authorId="0" shapeId="0" xr:uid="{00000000-0006-0000-0200-000006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34" authorId="0" shapeId="0" xr:uid="{00000000-0006-0000-0200-000007000000}">
      <text>
        <r>
          <rPr>
            <b/>
            <sz val="8"/>
            <color rgb="FF000000"/>
            <rFont val="Tahoma"/>
            <family val="2"/>
          </rPr>
          <t>Jakob Maag:</t>
        </r>
        <r>
          <rPr>
            <sz val="8"/>
            <color rgb="FF000000"/>
            <rFont val="Tahoma"/>
            <family val="2"/>
          </rPr>
          <t xml:space="preserve">
</t>
        </r>
        <r>
          <rPr>
            <sz val="8"/>
            <color rgb="FF000000"/>
            <rFont val="Tahoma"/>
            <family val="2"/>
          </rPr>
          <t>Input factors for crude oil changed  + waste output moved to  sectors spec. waste;  changed Jan 2013</t>
        </r>
      </text>
    </comment>
    <comment ref="G38" authorId="0" shapeId="0" xr:uid="{BA538001-8D2C-1345-9AF0-22D885D777A6}">
      <text>
        <r>
          <rPr>
            <b/>
            <sz val="9"/>
            <color indexed="81"/>
            <rFont val="Tahoma"/>
            <family val="2"/>
          </rPr>
          <t>Jakob Maag:</t>
        </r>
        <r>
          <rPr>
            <sz val="9"/>
            <color indexed="81"/>
            <rFont val="Tahoma"/>
            <family val="2"/>
          </rPr>
          <t xml:space="preserve">
Factor corrected from 55 Sep2019</t>
        </r>
      </text>
    </comment>
    <comment ref="C40" authorId="0" shapeId="0" xr:uid="{00000000-0006-0000-0200-000008000000}">
      <text>
        <r>
          <rPr>
            <b/>
            <sz val="9"/>
            <color rgb="FF000000"/>
            <rFont val="Tahoma"/>
            <family val="2"/>
          </rPr>
          <t>Jakob Maag:</t>
        </r>
        <r>
          <rPr>
            <sz val="9"/>
            <color rgb="FF000000"/>
            <rFont val="Tahoma"/>
            <family val="2"/>
          </rPr>
          <t xml:space="preserve">
</t>
        </r>
        <r>
          <rPr>
            <sz val="9"/>
            <color rgb="FF000000"/>
            <rFont val="Tahoma"/>
            <family val="2"/>
          </rPr>
          <t>Explanation here removed 25JAN2016, as all output scenarios are now present</t>
        </r>
      </text>
    </comment>
    <comment ref="M41" authorId="0" shapeId="0" xr:uid="{00000000-0006-0000-0200-000009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G43" authorId="0" shapeId="0" xr:uid="{C7B38E9E-4F0D-094F-9372-1FE05C00DE1E}">
      <text>
        <r>
          <rPr>
            <b/>
            <sz val="9"/>
            <color indexed="81"/>
            <rFont val="Tahoma"/>
            <family val="2"/>
          </rPr>
          <t>Jakob Maag:</t>
        </r>
        <r>
          <rPr>
            <sz val="9"/>
            <color indexed="81"/>
            <rFont val="Tahoma"/>
            <family val="2"/>
          </rPr>
          <t xml:space="preserve">
Factor corrected from 5.5 Sep2019</t>
        </r>
      </text>
    </comment>
    <comment ref="M47" authorId="0" shapeId="0" xr:uid="{00000000-0006-0000-0200-00000A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C49" authorId="0" shapeId="0" xr:uid="{00000000-0006-0000-0200-00000B000000}">
      <text>
        <r>
          <rPr>
            <b/>
            <sz val="8"/>
            <color rgb="FF000000"/>
            <rFont val="Tahoma"/>
            <family val="2"/>
          </rPr>
          <t>Jakob Maag:</t>
        </r>
        <r>
          <rPr>
            <sz val="8"/>
            <color rgb="FF000000"/>
            <rFont val="Tahoma"/>
            <family val="2"/>
          </rPr>
          <t xml:space="preserve">
</t>
        </r>
        <r>
          <rPr>
            <sz val="8"/>
            <color rgb="FF000000"/>
            <rFont val="Tahoma"/>
            <family val="2"/>
          </rPr>
          <t>output shifted from general waste to sector specific waste - changed Jan 2013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6" authorId="0" shapeId="0" xr:uid="{00000000-0006-0000-0400-000001000000}">
      <text>
        <r>
          <rPr>
            <b/>
            <sz val="9"/>
            <color rgb="FF000000"/>
            <rFont val="Tahoma"/>
            <family val="2"/>
          </rPr>
          <t>Jakob Maag:</t>
        </r>
        <r>
          <rPr>
            <sz val="9"/>
            <color rgb="FF000000"/>
            <rFont val="Tahoma"/>
            <family val="2"/>
          </rPr>
          <t xml:space="preserve">
</t>
        </r>
        <r>
          <rPr>
            <sz val="9"/>
            <color rgb="FF000000"/>
            <rFont val="Tahoma"/>
            <family val="2"/>
          </rPr>
          <t>Calculation changed here 24Apr15</t>
        </r>
      </text>
    </comment>
    <comment ref="P6" authorId="0" shapeId="0" xr:uid="{00000000-0006-0000-0400-000002000000}">
      <text>
        <r>
          <rPr>
            <b/>
            <sz val="9"/>
            <color rgb="FF000000"/>
            <rFont val="Tahoma"/>
            <family val="2"/>
          </rPr>
          <t>Jakob Maag:</t>
        </r>
        <r>
          <rPr>
            <sz val="9"/>
            <color rgb="FF000000"/>
            <rFont val="Tahoma"/>
            <family val="2"/>
          </rPr>
          <t xml:space="preserve">
</t>
        </r>
        <r>
          <rPr>
            <sz val="9"/>
            <color rgb="FF000000"/>
            <rFont val="Tahoma"/>
            <family val="2"/>
          </rPr>
          <t>Factors changed Oct 2014 to basis share of releases</t>
        </r>
      </text>
    </comment>
    <comment ref="C8" authorId="0" shapeId="0" xr:uid="{00000000-0006-0000-0400-000003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G9" authorId="0" shapeId="0" xr:uid="{00000000-0006-0000-0400-000004000000}">
      <text>
        <r>
          <rPr>
            <b/>
            <sz val="9"/>
            <color rgb="FF000000"/>
            <rFont val="Tahoma"/>
            <family val="2"/>
          </rPr>
          <t>Jakob Maag: Dec 2016</t>
        </r>
        <r>
          <rPr>
            <sz val="9"/>
            <color rgb="FF000000"/>
            <rFont val="Tahoma"/>
            <family val="2"/>
          </rPr>
          <t xml:space="preserve">
</t>
        </r>
        <r>
          <rPr>
            <sz val="9"/>
            <color rgb="FF000000"/>
            <rFont val="Tahoma"/>
            <family val="2"/>
          </rPr>
          <t xml:space="preserve">FACTOR RAISED AS IN GMA/AGC guideline
</t>
        </r>
      </text>
    </comment>
    <comment ref="G10" authorId="0" shapeId="0" xr:uid="{00000000-0006-0000-0400-000005000000}">
      <text>
        <r>
          <rPr>
            <b/>
            <sz val="9"/>
            <color rgb="FF000000"/>
            <rFont val="Tahoma"/>
            <family val="2"/>
          </rPr>
          <t>Jakob Maag:</t>
        </r>
        <r>
          <rPr>
            <sz val="9"/>
            <color rgb="FF000000"/>
            <rFont val="Tahoma"/>
            <family val="2"/>
          </rPr>
          <t xml:space="preserve">
</t>
        </r>
        <r>
          <rPr>
            <sz val="9"/>
            <color rgb="FF000000"/>
            <rFont val="Tahoma"/>
            <family val="2"/>
          </rPr>
          <t>Added Dec 2016</t>
        </r>
      </text>
    </comment>
    <comment ref="P10" authorId="0" shapeId="0" xr:uid="{00000000-0006-0000-0400-000006000000}">
      <text>
        <r>
          <rPr>
            <b/>
            <sz val="9"/>
            <color rgb="FF000000"/>
            <rFont val="Tahoma"/>
            <family val="2"/>
          </rPr>
          <t>Jakob Maag: DEC 2016</t>
        </r>
        <r>
          <rPr>
            <sz val="9"/>
            <color rgb="FF000000"/>
            <rFont val="Tahoma"/>
            <family val="2"/>
          </rPr>
          <t xml:space="preserve">
</t>
        </r>
        <r>
          <rPr>
            <sz val="9"/>
            <color rgb="FF000000"/>
            <rFont val="Tahoma"/>
            <family val="2"/>
          </rPr>
          <t>All output factors revised based on AGC data and advice</t>
        </r>
      </text>
    </comment>
    <comment ref="G12" authorId="0" shapeId="0" xr:uid="{00000000-0006-0000-0400-000007000000}">
      <text>
        <r>
          <rPr>
            <b/>
            <sz val="9"/>
            <color rgb="FF000000"/>
            <rFont val="Tahoma"/>
            <family val="2"/>
          </rPr>
          <t>Jakob Maag:</t>
        </r>
        <r>
          <rPr>
            <sz val="9"/>
            <color rgb="FF000000"/>
            <rFont val="Tahoma"/>
            <family val="2"/>
          </rPr>
          <t xml:space="preserve">
</t>
        </r>
        <r>
          <rPr>
            <sz val="9"/>
            <color rgb="FF000000"/>
            <rFont val="Tahoma"/>
            <family val="2"/>
          </rPr>
          <t>Revised Dec 2016</t>
        </r>
      </text>
    </comment>
    <comment ref="C14" authorId="0" shapeId="0" xr:uid="{00000000-0006-0000-0400-000008000000}">
      <text>
        <r>
          <rPr>
            <b/>
            <sz val="8"/>
            <color rgb="FF000000"/>
            <rFont val="Tahoma"/>
            <family val="2"/>
          </rPr>
          <t>Jakob Maag:</t>
        </r>
        <r>
          <rPr>
            <sz val="8"/>
            <color rgb="FF000000"/>
            <rFont val="Tahoma"/>
            <family val="2"/>
          </rPr>
          <t xml:space="preserve">
</t>
        </r>
        <r>
          <rPr>
            <sz val="8"/>
            <color rgb="FF000000"/>
            <rFont val="Tahoma"/>
            <family val="2"/>
          </rPr>
          <t>Input and output changed jan 2013</t>
        </r>
      </text>
    </comment>
    <comment ref="C21" authorId="0" shapeId="0" xr:uid="{00000000-0006-0000-0400-000009000000}">
      <text>
        <r>
          <rPr>
            <b/>
            <sz val="8"/>
            <color rgb="FF000000"/>
            <rFont val="Tahoma"/>
            <family val="2"/>
          </rPr>
          <t>Jakob Maag:</t>
        </r>
        <r>
          <rPr>
            <sz val="8"/>
            <color rgb="FF000000"/>
            <rFont val="Tahoma"/>
            <family val="2"/>
          </rPr>
          <t xml:space="preserve">
</t>
        </r>
        <r>
          <rPr>
            <sz val="8"/>
            <color rgb="FF000000"/>
            <rFont val="Tahoma"/>
            <family val="2"/>
          </rPr>
          <t>Input and output changed jan 2013</t>
        </r>
      </text>
    </comment>
    <comment ref="C28" authorId="0" shapeId="0" xr:uid="{00000000-0006-0000-0400-00000A000000}">
      <text>
        <r>
          <rPr>
            <b/>
            <sz val="8"/>
            <color rgb="FF000000"/>
            <rFont val="Tahoma"/>
            <family val="2"/>
          </rPr>
          <t>Jakob Maag:</t>
        </r>
        <r>
          <rPr>
            <sz val="8"/>
            <color rgb="FF000000"/>
            <rFont val="Tahoma"/>
            <family val="2"/>
          </rPr>
          <t xml:space="preserve">
</t>
        </r>
        <r>
          <rPr>
            <sz val="8"/>
            <color rgb="FF000000"/>
            <rFont val="Tahoma"/>
            <family val="2"/>
          </rPr>
          <t>Input and output changed jan 2013</t>
        </r>
      </text>
    </comment>
    <comment ref="F35" authorId="0" shapeId="0" xr:uid="{00000000-0006-0000-0400-00000B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AC3" authorId="0" shapeId="0" xr:uid="{00000000-0006-0000-0500-000001000000}">
      <text>
        <r>
          <rPr>
            <b/>
            <sz val="9"/>
            <color indexed="81"/>
            <rFont val="Tahoma"/>
            <family val="2"/>
          </rPr>
          <t>Jakob Maag: 24oct2016</t>
        </r>
        <r>
          <rPr>
            <sz val="9"/>
            <color indexed="81"/>
            <rFont val="Tahoma"/>
            <family val="2"/>
          </rPr>
          <t xml:space="preserve">
Introduced to allow subtraction of fuel contributions for cement production in fossil fuel sub-categories</t>
        </r>
      </text>
    </comment>
    <comment ref="C6" authorId="0" shapeId="0" xr:uid="{00000000-0006-0000-0500-000002000000}">
      <text>
        <r>
          <rPr>
            <b/>
            <sz val="8"/>
            <color indexed="81"/>
            <rFont val="Tahoma"/>
            <family val="2"/>
          </rPr>
          <t>Jakob Maag:</t>
        </r>
        <r>
          <rPr>
            <sz val="8"/>
            <color indexed="81"/>
            <rFont val="Tahoma"/>
            <family val="2"/>
          </rPr>
          <t xml:space="preserve">
Changed Jan. 2013</t>
        </r>
      </text>
    </comment>
    <comment ref="C7" authorId="0" shapeId="0" xr:uid="{00000000-0006-0000-0500-000003000000}">
      <text>
        <r>
          <rPr>
            <b/>
            <sz val="9"/>
            <color indexed="81"/>
            <rFont val="Tahoma"/>
            <family val="2"/>
          </rPr>
          <t>Jakob Maag:</t>
        </r>
        <r>
          <rPr>
            <sz val="9"/>
            <color indexed="81"/>
            <rFont val="Tahoma"/>
            <family val="2"/>
          </rPr>
          <t xml:space="preserve">
IL1: Examples show that waste/no waste has significant influence on results, so they are reflected in output scenarios</t>
        </r>
      </text>
    </comment>
    <comment ref="L7" authorId="0" shapeId="0" xr:uid="{00000000-0006-0000-0500-000004000000}">
      <text>
        <r>
          <rPr>
            <b/>
            <sz val="9"/>
            <color indexed="81"/>
            <rFont val="Tahoma"/>
            <family val="2"/>
          </rPr>
          <t>Jakob Maag:</t>
        </r>
        <r>
          <rPr>
            <sz val="9"/>
            <color indexed="81"/>
            <rFont val="Tahoma"/>
            <family val="2"/>
          </rPr>
          <t xml:space="preserve">
Added 15JAN2016</t>
        </r>
      </text>
    </comment>
    <comment ref="C8" authorId="0" shapeId="0" xr:uid="{00000000-0006-0000-0500-000005000000}">
      <text>
        <r>
          <rPr>
            <b/>
            <sz val="9"/>
            <color indexed="81"/>
            <rFont val="Tahoma"/>
            <family val="2"/>
          </rPr>
          <t>Jakob Maag:</t>
        </r>
        <r>
          <rPr>
            <sz val="9"/>
            <color indexed="81"/>
            <rFont val="Tahoma"/>
            <family val="2"/>
          </rPr>
          <t xml:space="preserve">
Fossil fules added 15JAN2016 due to Minamata Convention source definition - fossil fuel mix has moderate influence on total mercury input (0-13%)</t>
        </r>
      </text>
    </comment>
    <comment ref="AH8" authorId="0" shapeId="0" xr:uid="{00000000-0006-0000-0500-000006000000}">
      <text>
        <r>
          <rPr>
            <b/>
            <sz val="9"/>
            <color indexed="81"/>
            <rFont val="Tahoma"/>
            <family val="2"/>
          </rPr>
          <t>Jakob Maag:
24 oct2016</t>
        </r>
        <r>
          <rPr>
            <sz val="9"/>
            <color indexed="81"/>
            <rFont val="Tahoma"/>
            <family val="2"/>
          </rPr>
          <t xml:space="preserve">
Below, outputs are calculated via overall resulting distribution of Hg inputs from fuels. This is okay as it will only be subtracted in totals in summary sheets</t>
        </r>
      </text>
    </comment>
    <comment ref="I9" authorId="0" shapeId="0" xr:uid="{00000000-0006-0000-0500-000007000000}">
      <text>
        <r>
          <rPr>
            <b/>
            <sz val="9"/>
            <color indexed="81"/>
            <rFont val="Tahoma"/>
            <family val="2"/>
          </rPr>
          <t>Jakob Maag:</t>
        </r>
        <r>
          <rPr>
            <sz val="9"/>
            <color indexed="81"/>
            <rFont val="Tahoma"/>
            <family val="2"/>
          </rPr>
          <t xml:space="preserve">
In IL1, a mixed fuel input is assumed. This has only moderate influence on the results</t>
        </r>
      </text>
    </comment>
    <comment ref="J9" authorId="0" shapeId="0" xr:uid="{00000000-0006-0000-0500-000008000000}">
      <text>
        <r>
          <rPr>
            <b/>
            <sz val="9"/>
            <color indexed="81"/>
            <rFont val="Tahoma"/>
            <family val="2"/>
          </rPr>
          <t>Jakob Maag:</t>
        </r>
        <r>
          <rPr>
            <sz val="9"/>
            <color indexed="81"/>
            <rFont val="Tahoma"/>
            <family val="2"/>
          </rPr>
          <t xml:space="preserve">
changed 15JAN2016 due to fuel introduction</t>
        </r>
      </text>
    </comment>
    <comment ref="M13" authorId="0" shapeId="0" xr:uid="{00000000-0006-0000-0500-000009000000}">
      <text>
        <r>
          <rPr>
            <b/>
            <sz val="9"/>
            <color indexed="81"/>
            <rFont val="Tahoma"/>
            <family val="2"/>
          </rPr>
          <t>Jakob Maag:</t>
        </r>
        <r>
          <rPr>
            <sz val="9"/>
            <color indexed="81"/>
            <rFont val="Tahoma"/>
            <family val="2"/>
          </rPr>
          <t xml:space="preserve">
To make IL1.5 work, the simplifying assumption was made, that all cement kilns with filters have dust recycling, which seems a reasonable general assumtpion based on literature.
Working without this assumtion gave to many combinations to manage in the IL1.5 calculation setup.</t>
        </r>
      </text>
    </comment>
    <comment ref="L19" authorId="0" shapeId="0" xr:uid="{00000000-0006-0000-0500-00000A000000}">
      <text>
        <r>
          <rPr>
            <b/>
            <sz val="9"/>
            <color indexed="81"/>
            <rFont val="Tahoma"/>
            <family val="2"/>
          </rPr>
          <t>Jakob Maag:</t>
        </r>
        <r>
          <rPr>
            <sz val="9"/>
            <color indexed="81"/>
            <rFont val="Tahoma"/>
            <family val="2"/>
          </rPr>
          <t xml:space="preserve">
Added 15JAN2016</t>
        </r>
      </text>
    </comment>
    <comment ref="C20" authorId="0" shapeId="0" xr:uid="{00000000-0006-0000-0500-00000B000000}">
      <text>
        <r>
          <rPr>
            <b/>
            <sz val="9"/>
            <color indexed="81"/>
            <rFont val="Tahoma"/>
            <family val="2"/>
          </rPr>
          <t>Jakob Maag:</t>
        </r>
        <r>
          <rPr>
            <sz val="9"/>
            <color indexed="81"/>
            <rFont val="Tahoma"/>
            <family val="2"/>
          </rPr>
          <t xml:space="preserve">
Fossil fules added 15JAN2016 due to Minamata Convention source definition </t>
        </r>
      </text>
    </comment>
    <comment ref="G21" authorId="0" shapeId="0" xr:uid="{00000000-0006-0000-0500-00000C000000}">
      <text>
        <r>
          <rPr>
            <b/>
            <sz val="9"/>
            <color indexed="81"/>
            <rFont val="Tahoma"/>
            <family val="2"/>
          </rPr>
          <t>Jakob Maag:</t>
        </r>
        <r>
          <rPr>
            <sz val="9"/>
            <color indexed="81"/>
            <rFont val="Tahoma"/>
            <family val="2"/>
          </rPr>
          <t xml:space="preserve">
Note that these factors are different due to subtraction of waste fuel contribution of 12% primary energy on average for such facilities (an assumtion; see detailed 2016 calculations on this issue)</t>
        </r>
      </text>
    </comment>
    <comment ref="J21" authorId="0" shapeId="0" xr:uid="{00000000-0006-0000-0500-00000D000000}">
      <text>
        <r>
          <rPr>
            <b/>
            <sz val="9"/>
            <color indexed="81"/>
            <rFont val="Tahoma"/>
            <family val="2"/>
          </rPr>
          <t>Jakob Maag:</t>
        </r>
        <r>
          <rPr>
            <sz val="9"/>
            <color indexed="81"/>
            <rFont val="Tahoma"/>
            <family val="2"/>
          </rPr>
          <t xml:space="preserve">
changed 15JAN2016 due to fuel introduction</t>
        </r>
      </text>
    </comment>
    <comment ref="I22" authorId="0" shapeId="0" xr:uid="{00000000-0006-0000-0500-00000E000000}">
      <text>
        <r>
          <rPr>
            <b/>
            <sz val="9"/>
            <color indexed="81"/>
            <rFont val="Tahoma"/>
            <family val="2"/>
          </rPr>
          <t>Jakob Maag:</t>
        </r>
        <r>
          <rPr>
            <sz val="9"/>
            <color indexed="81"/>
            <rFont val="Tahoma"/>
            <family val="2"/>
          </rPr>
          <t xml:space="preserve">
KEEP THESE IN PUBISHED VERSION - FORMULAS FOR FOSSIL FUEL CONTRIBUTIONS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700-000001000000}">
      <text>
        <r>
          <rPr>
            <b/>
            <sz val="8"/>
            <color indexed="81"/>
            <rFont val="Tahoma"/>
            <family val="2"/>
          </rPr>
          <t>Jakob Maag:</t>
        </r>
        <r>
          <rPr>
            <sz val="8"/>
            <color indexed="81"/>
            <rFont val="Tahoma"/>
            <family val="2"/>
          </rPr>
          <t xml:space="preserve">
changed Jan 2013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1F86BB8F-E48A-D24E-9147-4D9196B9539C}">
      <text>
        <r>
          <rPr>
            <b/>
            <sz val="9"/>
            <color indexed="81"/>
            <rFont val="Tahoma"/>
            <family val="2"/>
          </rPr>
          <t>Jakob Maag:</t>
        </r>
        <r>
          <rPr>
            <sz val="9"/>
            <color indexed="81"/>
            <rFont val="Tahoma"/>
            <family val="2"/>
          </rPr>
          <t xml:space="preserve">
Changed 4 jul2019 from 5 g/t</t>
        </r>
      </text>
    </comment>
    <comment ref="J24" authorId="0" shapeId="0" xr:uid="{00000000-0006-0000-0900-000001000000}">
      <text>
        <r>
          <rPr>
            <b/>
            <sz val="9"/>
            <color rgb="FF000000"/>
            <rFont val="Tahoma"/>
            <family val="2"/>
          </rPr>
          <t>Jakob Maag:</t>
        </r>
        <r>
          <rPr>
            <sz val="9"/>
            <color rgb="FF000000"/>
            <rFont val="Tahoma"/>
            <family val="2"/>
          </rPr>
          <t xml:space="preserve">
</t>
        </r>
        <r>
          <rPr>
            <sz val="9"/>
            <color rgb="FF000000"/>
            <rFont val="Tahoma"/>
            <family val="2"/>
          </rPr>
          <t>dry added 27jan2016</t>
        </r>
      </text>
    </comment>
    <comment ref="C26" authorId="0" shapeId="0" xr:uid="{00000000-0006-0000-0900-000002000000}">
      <text>
        <r>
          <rPr>
            <b/>
            <sz val="9"/>
            <color rgb="FF000000"/>
            <rFont val="Tahoma"/>
            <family val="2"/>
          </rPr>
          <t>Jakob Maag:</t>
        </r>
        <r>
          <rPr>
            <sz val="9"/>
            <color rgb="FF000000"/>
            <rFont val="Tahoma"/>
            <family val="2"/>
          </rPr>
          <t xml:space="preserve">
</t>
        </r>
        <r>
          <rPr>
            <sz val="9"/>
            <color rgb="FF000000"/>
            <rFont val="Tahoma"/>
            <family val="2"/>
          </rPr>
          <t>Title adjusted 24Apr15</t>
        </r>
      </text>
    </comment>
    <comment ref="G26" authorId="0" shapeId="0" xr:uid="{648D5F28-8037-354B-B646-F727B18D7B68}">
      <text>
        <r>
          <rPr>
            <b/>
            <sz val="9"/>
            <color rgb="FF000000"/>
            <rFont val="Tahoma"/>
            <family val="2"/>
          </rPr>
          <t>Jakob Maag:</t>
        </r>
        <r>
          <rPr>
            <sz val="9"/>
            <color rgb="FF000000"/>
            <rFont val="Tahoma"/>
            <family val="2"/>
          </rPr>
          <t xml:space="preserve">
</t>
        </r>
        <r>
          <rPr>
            <sz val="9"/>
            <color rgb="FF000000"/>
            <rFont val="Tahoma"/>
            <family val="2"/>
          </rPr>
          <t>Changed 4 jul2019 from 5 g/t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6" authorId="0" shapeId="0" xr:uid="{8BAC10B9-2199-C841-A4AB-0950D036D8D0}">
      <text>
        <r>
          <rPr>
            <b/>
            <sz val="9"/>
            <color indexed="81"/>
            <rFont val="Tahoma"/>
            <family val="2"/>
          </rPr>
          <t>Jakob Maag:</t>
        </r>
        <r>
          <rPr>
            <sz val="9"/>
            <color indexed="81"/>
            <rFont val="Tahoma"/>
            <family val="2"/>
          </rPr>
          <t xml:space="preserve">
Changed 4 jul2019 from 5 g/t</t>
        </r>
      </text>
    </comment>
    <comment ref="G13" authorId="0" shapeId="0" xr:uid="{E9AD5250-C9D8-8842-AB1C-0E169066252D}">
      <text>
        <r>
          <rPr>
            <b/>
            <sz val="9"/>
            <color indexed="81"/>
            <rFont val="Tahoma"/>
            <family val="2"/>
          </rPr>
          <t>Jakob Maag:</t>
        </r>
        <r>
          <rPr>
            <sz val="9"/>
            <color indexed="81"/>
            <rFont val="Tahoma"/>
            <family val="2"/>
          </rPr>
          <t xml:space="preserve">
Changed 4 jul2019 from 5 g/t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15" authorId="0" shapeId="0" xr:uid="{00000000-0006-0000-0E00-000001000000}">
      <text>
        <r>
          <rPr>
            <b/>
            <sz val="9"/>
            <color rgb="FF000000"/>
            <rFont val="Tahoma"/>
            <family val="2"/>
          </rPr>
          <t>Jakob Maag: 2016</t>
        </r>
        <r>
          <rPr>
            <sz val="9"/>
            <color rgb="FF000000"/>
            <rFont val="Tahoma"/>
            <family val="2"/>
          </rPr>
          <t xml:space="preserve">
</t>
        </r>
        <r>
          <rPr>
            <sz val="9"/>
            <color rgb="FF000000"/>
            <rFont val="Tahoma"/>
            <family val="2"/>
          </rPr>
          <t xml:space="preserve">Inclusion of special collection is incorporated for all relevant products: 
</t>
        </r>
        <r>
          <rPr>
            <sz val="9"/>
            <color rgb="FF000000"/>
            <rFont val="Tahoma"/>
            <family val="2"/>
          </rPr>
          <t xml:space="preserve">If y og n: scen 1
</t>
        </r>
        <r>
          <rPr>
            <sz val="9"/>
            <color rgb="FF000000"/>
            <rFont val="Tahoma"/>
            <family val="2"/>
          </rPr>
          <t xml:space="preserve">If n og n: scen 2 or n og y (= unrealistic), or no answer for separate collection
</t>
        </r>
        <r>
          <rPr>
            <sz val="9"/>
            <color rgb="FF000000"/>
            <rFont val="Tahoma"/>
            <family val="2"/>
          </rPr>
          <t>If y og y: scen 3</t>
        </r>
      </text>
    </comment>
    <comment ref="N53" authorId="0" shapeId="0" xr:uid="{00000000-0006-0000-0E00-000002000000}">
      <text>
        <r>
          <rPr>
            <b/>
            <sz val="9"/>
            <color rgb="FF000000"/>
            <rFont val="Tahoma"/>
            <family val="2"/>
          </rPr>
          <t>Jakob Maag:</t>
        </r>
        <r>
          <rPr>
            <sz val="9"/>
            <color rgb="FF000000"/>
            <rFont val="Tahoma"/>
            <family val="2"/>
          </rPr>
          <t xml:space="preserve">
</t>
        </r>
        <r>
          <rPr>
            <sz val="9"/>
            <color rgb="FF000000"/>
            <rFont val="Tahoma"/>
            <family val="2"/>
          </rPr>
          <t>4july2016: These output scenarios for PUR were not changed for IL1.5, as separate collection is not relevant here)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F00-000001000000}">
      <text>
        <r>
          <rPr>
            <b/>
            <sz val="9"/>
            <color indexed="81"/>
            <rFont val="Tahoma"/>
            <family val="2"/>
          </rPr>
          <t>Jakob Maag:</t>
        </r>
        <r>
          <rPr>
            <sz val="9"/>
            <color indexed="81"/>
            <rFont val="Tahoma"/>
            <family val="2"/>
          </rPr>
          <t xml:space="preserve">
Was actually changed to 0,2 in April 2013 version</t>
        </r>
      </text>
    </comment>
    <comment ref="R11" authorId="0" shapeId="0" xr:uid="{00000000-0006-0000-0F00-000002000000}">
      <text>
        <r>
          <rPr>
            <b/>
            <sz val="9"/>
            <color indexed="81"/>
            <rFont val="Tahoma"/>
            <family val="2"/>
          </rPr>
          <t>Jakob Maag:</t>
        </r>
        <r>
          <rPr>
            <sz val="9"/>
            <color indexed="81"/>
            <rFont val="Tahoma"/>
            <family val="2"/>
          </rPr>
          <t xml:space="preserve">
Changed Oct 2014</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3" authorId="0" shapeId="0" xr:uid="{00000000-0006-0000-1300-000001000000}">
      <text>
        <r>
          <rPr>
            <b/>
            <sz val="8"/>
            <color indexed="81"/>
            <rFont val="Tahoma"/>
            <family val="2"/>
          </rPr>
          <t>Jakob Maag:</t>
        </r>
        <r>
          <rPr>
            <sz val="8"/>
            <color indexed="81"/>
            <rFont val="Tahoma"/>
            <family val="2"/>
          </rPr>
          <t xml:space="preserve">
If general factor adjustments are needed, adjust this one first, as all black factors link t this cell</t>
        </r>
      </text>
    </comment>
    <comment ref="C4" authorId="0" shapeId="0" xr:uid="{00000000-0006-0000-1300-000002000000}">
      <text>
        <r>
          <rPr>
            <b/>
            <sz val="8"/>
            <color indexed="81"/>
            <rFont val="Tahoma"/>
            <family val="2"/>
          </rPr>
          <t>Jakob Maag:</t>
        </r>
        <r>
          <rPr>
            <sz val="8"/>
            <color indexed="81"/>
            <rFont val="Tahoma"/>
            <family val="2"/>
          </rPr>
          <t xml:space="preserve">
In cases where experience data do not reflect expected maximum vaues</t>
        </r>
      </text>
    </comment>
    <comment ref="F4" authorId="0" shapeId="0" xr:uid="{00000000-0006-0000-1300-000003000000}">
      <text>
        <r>
          <rPr>
            <b/>
            <sz val="9"/>
            <color indexed="81"/>
            <rFont val="Tahoma"/>
            <family val="2"/>
          </rPr>
          <t>Jakob Maag:</t>
        </r>
        <r>
          <rPr>
            <sz val="9"/>
            <color indexed="81"/>
            <rFont val="Tahoma"/>
            <family val="2"/>
          </rPr>
          <t xml:space="preserve">
Note that any data entered in "Insert IL2 result" also affect this mechanism.</t>
        </r>
      </text>
    </comment>
    <comment ref="A7" authorId="0" shapeId="0" xr:uid="{00000000-0006-0000-1300-000004000000}">
      <text>
        <r>
          <rPr>
            <b/>
            <sz val="9"/>
            <color indexed="81"/>
            <rFont val="Tahoma"/>
            <family val="2"/>
          </rPr>
          <t>Jakob Maag:</t>
        </r>
        <r>
          <rPr>
            <sz val="9"/>
            <color indexed="81"/>
            <rFont val="Tahoma"/>
            <family val="2"/>
          </rPr>
          <t xml:space="preserve">
At 27jan2016, when we introduce industrial boilers as individual source sub-category, we have no experience data, and therefore no range test. ADD LATER IF POSSIBLE</t>
        </r>
      </text>
    </comment>
  </commentList>
</comments>
</file>

<file path=xl/sharedStrings.xml><?xml version="1.0" encoding="utf-8"?>
<sst xmlns="http://schemas.openxmlformats.org/spreadsheetml/2006/main" count="3058" uniqueCount="1241">
  <si>
    <t>Guide to the column headers and the entry of data:</t>
  </si>
  <si>
    <t>Other important information:</t>
  </si>
  <si>
    <t>For some source sectors, e.g. coal combustion, the total calculated mercury input must be distributed between the relevant scenarios in accordance with information obtained in your data collection. For example for coal combustion, half of the annual coal supply may be used in facilities with no emission reduction devices, while the other half is used in facilities with fabric filters. In this example, 50% of your mercury input must entered in the "no devises" row in this column, while the other 50% must be entered in the "fabric filters" row. For other sources, e.g. batteries, you can choose the scenario you find most appropriate for the country covered in your inventory - and enter the total calculated mercury input in that row, or you can distribute the total input between the scenarios, for example if different scenarios are relevant in different parts of the country investigated.</t>
  </si>
  <si>
    <r>
      <t>Read the Toolkit report sections carefully before using this spreadsheet!</t>
    </r>
    <r>
      <rPr>
        <sz val="10"/>
        <rFont val="Arial"/>
        <family val="2"/>
      </rPr>
      <t>: This spreadsheet is not self-explaining and there is a clear risk of making serious mistakes, if the proposed principles and data are not read and understood carefully. Make yourself acquainted with the methodology used for mercury inventories in the Toolkit report. Before working with an individual source sub-category in this spreadsheet, read the Toolkit report's section describing the source.</t>
    </r>
  </si>
  <si>
    <r>
      <t>Spreadsheet names</t>
    </r>
    <r>
      <rPr>
        <sz val="10"/>
        <rFont val="Arial"/>
        <family val="2"/>
      </rPr>
      <t>: The numbers in the individual sheets' names refer to the chapter number of the source category dealt with in the individual sheet.</t>
    </r>
  </si>
  <si>
    <r>
      <t>Metric units</t>
    </r>
    <r>
      <rPr>
        <sz val="10"/>
        <rFont val="Arial"/>
        <family val="2"/>
      </rPr>
      <t>: All units used in this spreadsheet are - and must be - metric units, in accordance with the Toolkit report. The notation "t", means metric tons (also called "tonnes" in UK terminology).</t>
    </r>
  </si>
  <si>
    <r>
      <t>"C"</t>
    </r>
    <r>
      <rPr>
        <sz val="10"/>
        <rFont val="Arial"/>
        <family val="2"/>
      </rPr>
      <t>: The column shows the section number in the Toolkit report describing this source category.</t>
    </r>
  </si>
  <si>
    <r>
      <t>"Su-C"</t>
    </r>
    <r>
      <rPr>
        <sz val="10"/>
        <rFont val="Arial"/>
        <family val="2"/>
      </rPr>
      <t>: The column shows the section number in the Toolkit report describing this source sub-category.</t>
    </r>
  </si>
  <si>
    <r>
      <t>"Source category /phase"</t>
    </r>
    <r>
      <rPr>
        <sz val="10"/>
        <rFont val="Arial"/>
        <family val="2"/>
      </rPr>
      <t>: This column displays the name of the source category, source sub-category or life cycle phase dealt with in this line and in any lines below until the line with the next name in the column.</t>
    </r>
  </si>
  <si>
    <r>
      <t>"Exists? (y/n/?)"</t>
    </r>
    <r>
      <rPr>
        <sz val="10"/>
        <rFont val="Arial"/>
        <family val="2"/>
      </rPr>
      <t>: Enter "yes" if it is confirmed that this source is present in the area covered by the inventory. Enter "no" if it is confirmed that this source is NOT present in the area. Enter "?", if it is not known if the source is present or not in the area covered by the inventory.</t>
    </r>
  </si>
  <si>
    <r>
      <t>Non-existing source categories:</t>
    </r>
    <r>
      <rPr>
        <sz val="10"/>
        <rFont val="Arial"/>
        <family val="2"/>
      </rPr>
      <t xml:space="preserve"> If you have positively verified that the source in question does not exist in the country, enter the number "0" as the activity rate and as the Hg input in order to display the correct output numbers, namely "0".</t>
    </r>
  </si>
  <si>
    <r>
      <t>"Default input factor""</t>
    </r>
    <r>
      <rPr>
        <sz val="10"/>
        <rFont val="Arial"/>
        <family val="2"/>
      </rPr>
      <t>: These columns inform you of the default input factors defined in the Toolkit report, and their units. The appropriate unit is noted in the next column to the right.</t>
    </r>
  </si>
  <si>
    <r>
      <t>"Enter input factor"</t>
    </r>
    <r>
      <rPr>
        <sz val="10"/>
        <rFont val="Arial"/>
        <family val="2"/>
      </rPr>
      <t>: Here you enter your choice of input factor for the source in question. For source sub categories where default factors are defined in the Toolkit report, the MAXIMUM default input factor is already entered in the appropriate cell. Remember that well documented national or local input factors should always be preferred, if available. Provide documentation for the used factors in the inventory report. The appropriate unit is noted in the next column to the right.</t>
    </r>
  </si>
  <si>
    <r>
      <t>"Enter activity rate"</t>
    </r>
    <r>
      <rPr>
        <sz val="10"/>
        <rFont val="Arial"/>
        <family val="2"/>
      </rPr>
      <t>: Here you enter the activity rate for the source category in question. See in the corresponding section of the Toolkit report, which type of activity rate you must use. Find appropriate activity rate data according to the principles and advice given in section 4.4 ("Data gathering and quantification of mercury releases") in the Toolkit report.</t>
    </r>
  </si>
  <si>
    <r>
      <t>"Calculat. Hg input"</t>
    </r>
    <r>
      <rPr>
        <sz val="10"/>
        <rFont val="Arial"/>
        <family val="2"/>
      </rPr>
      <t>: This column displays the calculated mercury input to the source in question. For source sub categories where default factors are defined in the Toolkit report, the appropriate calculation formula is already entered in the cell. For sources where this is not the case, you must enter appropriate calculation formulas according to the Toolkit principles; often you can copy - or be inspired by - calculation formulas given for other sources in the same column. BE VERY CAREFUL THAT THE UNIT AND ORDER OF MAGNITUDE ARE CORRECT - this is one of the error types most often made in such calculations. For source sub-categories that have several contributions to the overall releases from the sub-category, e.g. several life cycle phase, the sum of input contributions is displayed in bold red writing.</t>
    </r>
  </si>
  <si>
    <r>
      <t>"Output scenarios, where relevant"</t>
    </r>
    <r>
      <rPr>
        <sz val="10"/>
        <rFont val="Arial"/>
        <family val="2"/>
      </rPr>
      <t>: For some source sub-categories, several output scenarios are defined in the Toolkit report according to the characteristics of the source. For such sources, the description of the scenario is given in this column, and corresponding output distribution factors are entered - or can be entered - in the columns to the right of this column. For sources where there is only one output scenario, this column is empty.</t>
    </r>
  </si>
  <si>
    <r>
      <t>"Enter Hg input"</t>
    </r>
    <r>
      <rPr>
        <sz val="10"/>
        <rFont val="Arial"/>
        <family val="2"/>
      </rPr>
      <t>: In this column, the mercury INPUT to this source category, or phase, or scenario must be entered. In simple cases, the number to be entered here is the number calculated in the column "Calculat. Hg input"; for these a simple reference (e.g. "= k34") can be made or the number can be entered manually. For sources with several output scenarios you must investigate which scenario(s) is/are relevant and enter the mercury input lead to that scenario.</t>
    </r>
  </si>
  <si>
    <r>
      <t>"Enter output distribution factors"</t>
    </r>
    <r>
      <rPr>
        <sz val="10"/>
        <rFont val="Arial"/>
        <family val="2"/>
      </rPr>
      <t>: Here you enter your choice of output distribution factors. Important: In most cases the sum of all output distributions factors for a source must be 1 (exceptions: see notes in this spreadsheet and corresponding sections in the Toolkit report). For source sub categories where default factors are defined in the Toolkit report, the default factors are already entered in the appropriate cells; note that question marks in the report are substituted here by "0" to facilitate the use of the spreadsheet for quick initial screenings. Remember that well documented national or local distribution factors should always be preferred, if available. Provide documentation for the used factors in the inventory report. NB: For a few sources, other methodology is used to estimate releases; this is described in notes in each relevant sheet.</t>
    </r>
  </si>
  <si>
    <r>
      <t>"Calculated Hg output, Kg/y</t>
    </r>
    <r>
      <rPr>
        <sz val="10"/>
        <rFont val="Arial"/>
        <family val="2"/>
      </rPr>
      <t>": These columns display the calculated mercury releases distributed on the output pathways considered. Each cell in these columns contain a formula calculating the release estimate based on the mercury inputs to the source or phase or output scenario in question and the output distribution factor for this pathway. In very few cases, the release estimates are calculated with other principles - see specific notes in the sheets in question.</t>
    </r>
  </si>
  <si>
    <r>
      <t>"Remarks"</t>
    </r>
    <r>
      <rPr>
        <sz val="10"/>
        <rFont val="Arial"/>
        <family val="2"/>
      </rPr>
      <t>: Here you enter a few words on information on the specific fate of mercury released to "Sector specific treatment/disposal", and you enter important key information on a summary level. Give reference to where in the inventory report the information is described in more detail.</t>
    </r>
  </si>
  <si>
    <r>
      <t>"#Value!"</t>
    </r>
    <r>
      <rPr>
        <sz val="10"/>
        <rFont val="Arial"/>
        <family val="2"/>
      </rPr>
      <t>: This term appear in calculation results, if "?", "-" or similar text signs are written in input cells. If data are available, enter these instead of the "?" in the input cells. If data are not available, the sign (?,- or other) may often be the appropriate thing to show in the results cell. To present the same sign (?,- or other), enter the appropriate sign manually in the calculation cell.</t>
    </r>
  </si>
  <si>
    <r>
      <t>User defined alterations of the spreadsheet principles</t>
    </r>
    <r>
      <rPr>
        <sz val="10"/>
        <rFont val="Arial"/>
        <family val="2"/>
      </rPr>
      <t>: This spreadsheet is designed for mercury release quantification according to the general methodology and specific principles for each source sub-category recommended in the Toolkit report. For many source sub-categories other specific approaches may be usable (e.g. other activity rate types). This spreadsheet may be adjusted accordingly by the users as desired, requiring that the applied principles are in line with the overall approach of the Toolkit, and are well documented in the inventory reporting and that full reference is given to this Toolkit spreadsheet.</t>
    </r>
  </si>
  <si>
    <r>
      <t>Enter calculation formulas</t>
    </r>
    <r>
      <rPr>
        <sz val="10"/>
        <rFont val="Arial"/>
        <family val="2"/>
      </rPr>
      <t>: In this spreadsheet, default calculation formulas were only entered for source sub-categories, for which defaults were defined in the Toolkit report. Depending in the data available, inputs and releases may however be possible to estimate for many more sources. In such cases, the user should enter appropriate formulas and data for the calculations. In many cases this can be done by copying appropriate formulas from other cells in this spreadsheet - be careful to be accurate.</t>
    </r>
  </si>
  <si>
    <r>
      <t>Sub-calculations</t>
    </r>
    <r>
      <rPr>
        <sz val="10"/>
        <rFont val="Arial"/>
        <family val="2"/>
      </rPr>
      <t>: In many cases sub-calculations will be needed, e.g. for calculations/conversions of the activity rates, or alternative input factors or alternative output distribution factors. Such calculations must be made in other spreadsheets, for instance in new sheets inserted in this same Tollkit spreadsheet file; remember to report clear and transparent documentation of all data and calculations used - read more about this in the Toolkit report.</t>
    </r>
  </si>
  <si>
    <r>
      <t>Decimal point/comma:</t>
    </r>
    <r>
      <rPr>
        <sz val="10"/>
        <rFont val="Arial"/>
        <family val="2"/>
      </rPr>
      <t xml:space="preserve"> In order to display decimal comma or decimal point according to your preference, make sure your MS Windows systems language is set accordingly. Note however that numbers displayed here as  text (default factor intervals) will display with decimal point, in accordance with the Toolkit report format, regardless of language settings chosen.</t>
    </r>
  </si>
  <si>
    <r>
      <t>Sum of quantified releases</t>
    </r>
    <r>
      <rPr>
        <sz val="10"/>
        <rFont val="Arial"/>
        <family val="2"/>
      </rPr>
      <t>: If you wish to calculate sums of quantified inputs or releases, other than the ones already displayed, remember not to double-count Hg amounts quantified for several source categories (e.g. Hg amounts that are counted under both production, use, and disposal) . This requires a deeper analysis based on relevant Toolkit report sections.</t>
    </r>
  </si>
  <si>
    <t>Disclaimer:</t>
  </si>
  <si>
    <t>This publication is intended to serve as a guide. While the information provided is believed to be accurate, UNEP disclaims any responsibility for possible inaccuracies or omissions and consequences that may flow from them. Neither UNEP nor any individual involved in the preparation of this publication shall be liable for any injury, loss, damage or prejudice of any kind that may be caused by persons who have acted based on their understanding of the information contained in this publication.</t>
  </si>
  <si>
    <t>The designation employed and the presentation of material in this publication do not imply any expression of any opinion whatsoever on the part of the United Nations or UNEP concerning the legal status of any country, territory, city or area or any of its authorities, or concerning any definition of frontiers or boundaries.</t>
  </si>
  <si>
    <t>Summary of estimated mercury inputs and releases</t>
  </si>
  <si>
    <t>Enter year, date and responsible institution/person</t>
  </si>
  <si>
    <t>SUM OF QUANTIFIED RELEASES:</t>
  </si>
  <si>
    <t>(a and (b: See note text in the relevant sheets</t>
  </si>
  <si>
    <t xml:space="preserve">- </t>
  </si>
  <si>
    <t>Draft spreadsheet of UNEP Chemicals' Toolkit for identification and quantification of mercury releases</t>
  </si>
  <si>
    <t>Unit</t>
  </si>
  <si>
    <t>Kg Hg/y</t>
  </si>
  <si>
    <t>Enter input factor</t>
  </si>
  <si>
    <t>Air</t>
  </si>
  <si>
    <t>Water</t>
  </si>
  <si>
    <t>Land</t>
  </si>
  <si>
    <t>Products</t>
  </si>
  <si>
    <t>General waste</t>
  </si>
  <si>
    <t>?</t>
  </si>
  <si>
    <t>Source category: Extraction and use of fuels/energy sources</t>
  </si>
  <si>
    <t>5.1.1</t>
  </si>
  <si>
    <t>5.1</t>
  </si>
  <si>
    <t>Coal combustion in large power plants</t>
  </si>
  <si>
    <t>0.05-0.5</t>
  </si>
  <si>
    <t>Default input factor</t>
  </si>
  <si>
    <t>Su-C</t>
  </si>
  <si>
    <t xml:space="preserve"> Enter activity rate</t>
  </si>
  <si>
    <t>C</t>
  </si>
  <si>
    <t>Secto r specific treatment/disposal</t>
  </si>
  <si>
    <t>Calculated Hg output, Kg/y</t>
  </si>
  <si>
    <t>Enter output distribution factors (unitless)</t>
  </si>
  <si>
    <t>Notes:</t>
  </si>
  <si>
    <t>"Output scenario"</t>
  </si>
  <si>
    <t>0.05-0.5 (a</t>
  </si>
  <si>
    <t>Source category /phase</t>
  </si>
  <si>
    <t>/Coal wash</t>
  </si>
  <si>
    <t>Calculat. Hg input</t>
  </si>
  <si>
    <t>Other coal use</t>
  </si>
  <si>
    <t>Coke production</t>
  </si>
  <si>
    <t>Kg Hg/y (a</t>
  </si>
  <si>
    <t>5.1.3</t>
  </si>
  <si>
    <t>Uses (other than combustion)</t>
  </si>
  <si>
    <t>Residential heating with no controls</t>
  </si>
  <si>
    <t>Oil Combustion Facility with no emissions controls</t>
  </si>
  <si>
    <t>Oil Combustion Facility with PM control using an ESP or scrubber</t>
  </si>
  <si>
    <t>Mineral oils - extraction, refining and use</t>
  </si>
  <si>
    <t>5.1.4</t>
  </si>
  <si>
    <t>Natural gas - extraction, refining and use</t>
  </si>
  <si>
    <t>Nm3 gas/y</t>
  </si>
  <si>
    <t>0.03 - 0.4</t>
  </si>
  <si>
    <t>2 - 200</t>
  </si>
  <si>
    <t>µg Hg/Nm3 gas</t>
  </si>
  <si>
    <t>5.1.5</t>
  </si>
  <si>
    <t>Other fossil fuels - extraction and use</t>
  </si>
  <si>
    <t>Use of oil shale</t>
  </si>
  <si>
    <t>5.1.6</t>
  </si>
  <si>
    <t>Biomass fired power and heat production</t>
  </si>
  <si>
    <t>5.1.7</t>
  </si>
  <si>
    <t>Geothermal power production</t>
  </si>
  <si>
    <t>40 - 193 (b</t>
  </si>
  <si>
    <t>Combustion of peat</t>
  </si>
  <si>
    <t>Combustion of other fossil fuels</t>
  </si>
  <si>
    <t>Remarks</t>
  </si>
  <si>
    <t>5.5</t>
  </si>
  <si>
    <t>5.5.1</t>
  </si>
  <si>
    <t>Thermometers with mercury</t>
  </si>
  <si>
    <t>/Use+disposal</t>
  </si>
  <si>
    <t>Enter Hg input</t>
  </si>
  <si>
    <t>Medical thermometers</t>
  </si>
  <si>
    <t>Ambient air thermom.</t>
  </si>
  <si>
    <t>Industrial and special th.</t>
  </si>
  <si>
    <t>Other glass Hg thermometers</t>
  </si>
  <si>
    <t>(a1) No separate collection. Waste handl. controlled</t>
  </si>
  <si>
    <t>(a3) Separate collection. Waste handl. controlled</t>
  </si>
  <si>
    <t>/Production</t>
  </si>
  <si>
    <t>/Use+disposal:</t>
  </si>
  <si>
    <t>/Extraction</t>
  </si>
  <si>
    <t>/Refining</t>
  </si>
  <si>
    <t>/Extraction/refining</t>
  </si>
  <si>
    <t>/Use of raw or pre-cleaned gas</t>
  </si>
  <si>
    <t>/Use of pipeline gas (consumer quality)</t>
  </si>
  <si>
    <t>0.5-1.5</t>
  </si>
  <si>
    <t>5-200</t>
  </si>
  <si>
    <t>2-5</t>
  </si>
  <si>
    <t>1-40</t>
  </si>
  <si>
    <t>g Hg/item</t>
  </si>
  <si>
    <t>items/y</t>
  </si>
  <si>
    <t>(a2) No separate collection. Informal waste handl. widespread</t>
  </si>
  <si>
    <t>Electrical switches and relays with mercury</t>
  </si>
  <si>
    <t>5.5.2</t>
  </si>
  <si>
    <t>0.02-0.25</t>
  </si>
  <si>
    <t>0.25</t>
  </si>
  <si>
    <t>Inhabitants</t>
  </si>
  <si>
    <t>g Hg/(y*inhabitant)</t>
  </si>
  <si>
    <t>5.5.3</t>
  </si>
  <si>
    <t>Fluorescent tubes (double end)</t>
  </si>
  <si>
    <t>Compact fluorescent lamp (CFL single end)</t>
  </si>
  <si>
    <t xml:space="preserve">High pressure mercury vapour </t>
  </si>
  <si>
    <t>High-pressure sodium lamps</t>
  </si>
  <si>
    <t>UV light for tanning</t>
  </si>
  <si>
    <t>Metal halide lamps</t>
  </si>
  <si>
    <t>10 - 30</t>
  </si>
  <si>
    <t>5 - 25</t>
  </si>
  <si>
    <t>mg Hg/item</t>
  </si>
  <si>
    <t>Biocides and pesticides with mercury</t>
  </si>
  <si>
    <t>5.5.5</t>
  </si>
  <si>
    <t>5.5.4</t>
  </si>
  <si>
    <t>Batteries with mercury</t>
  </si>
  <si>
    <t>Mercury oxide (all sizes); also called mercury-zinc cells</t>
  </si>
  <si>
    <t>Zinc-air button cells</t>
  </si>
  <si>
    <t>Alkaline button cells</t>
  </si>
  <si>
    <t>Silver oxide button cells</t>
  </si>
  <si>
    <t>Alkaline, other than  button cell shapes</t>
  </si>
  <si>
    <t>Paints with mercury</t>
  </si>
  <si>
    <t>5.5.6</t>
  </si>
  <si>
    <t>0.3-5</t>
  </si>
  <si>
    <t>/Use (application + when appl.)</t>
  </si>
  <si>
    <t>Cosmetics and related products with mercury</t>
  </si>
  <si>
    <t>10-50</t>
  </si>
  <si>
    <t>Source category: Intentional use of mercury in industrial processes</t>
  </si>
  <si>
    <t>5.4</t>
  </si>
  <si>
    <t>5.4.1</t>
  </si>
  <si>
    <t>Chlor-alkali production with mercury-technology</t>
  </si>
  <si>
    <t>5.4.2</t>
  </si>
  <si>
    <t>100-140</t>
  </si>
  <si>
    <t>VCM production with mercury catalyst</t>
  </si>
  <si>
    <t>Acetaldehyde production with mercury catalyst</t>
  </si>
  <si>
    <t>Other production of chemicals and polymers with mercury</t>
  </si>
  <si>
    <t>Exists? (y/n/?)</t>
  </si>
  <si>
    <t>Chlor-alkali prod.</t>
  </si>
  <si>
    <t>Other oil combustion facilities</t>
  </si>
  <si>
    <t>5.2</t>
  </si>
  <si>
    <t>5.2.1</t>
  </si>
  <si>
    <t>5.2.2</t>
  </si>
  <si>
    <t>Gold and silver extraction with mercury amalgamation processes</t>
  </si>
  <si>
    <t>Zinc extraction and initial processing</t>
  </si>
  <si>
    <t>Mercury (primary) extraction and initial processing</t>
  </si>
  <si>
    <t>/Mining and concentrating</t>
  </si>
  <si>
    <t>/Production of zinc from concentrates</t>
  </si>
  <si>
    <t>Copper extraction and initial processing</t>
  </si>
  <si>
    <t>/Production of copper from concentrates</t>
  </si>
  <si>
    <t>Lead extraction and initial processing</t>
  </si>
  <si>
    <t>/Production of lead from concentrates</t>
  </si>
  <si>
    <t>5.3.3</t>
  </si>
  <si>
    <t>5.3.4</t>
  </si>
  <si>
    <t>5.3.5</t>
  </si>
  <si>
    <t>5.3.6</t>
  </si>
  <si>
    <t>(a: Due to lack of data, this calculation is proposed with traditional emission factors, instead of input and output factors as recommended in this Toolkit.</t>
  </si>
  <si>
    <t xml:space="preserve">    If you have data to use the inputs and outputs balance method, the calculation approach used for zinc can be copied here for gold.</t>
  </si>
  <si>
    <t>Aliminium extraction and initial processing</t>
  </si>
  <si>
    <t>/Aluminium production from alumina</t>
  </si>
  <si>
    <t>5.3.7</t>
  </si>
  <si>
    <t>5.3.8</t>
  </si>
  <si>
    <t>5.3.9</t>
  </si>
  <si>
    <t>Primary ferrous metal production</t>
  </si>
  <si>
    <t>Other non-ferrous metals - extraction and processing</t>
  </si>
  <si>
    <t>0.05</t>
  </si>
  <si>
    <t>/From whole ore</t>
  </si>
  <si>
    <t>kg Hg/kg gold produced</t>
  </si>
  <si>
    <t>kg gold produced/y</t>
  </si>
  <si>
    <t>/From concentrate</t>
  </si>
  <si>
    <t>5.3</t>
  </si>
  <si>
    <t>Source category: Production of other minerals and materials with mercury impurities</t>
  </si>
  <si>
    <t>5.3.1</t>
  </si>
  <si>
    <t>5.3.2</t>
  </si>
  <si>
    <t>Pulp and paper production</t>
  </si>
  <si>
    <t>Production of lime and light weight aggregates</t>
  </si>
  <si>
    <t>Lime production</t>
  </si>
  <si>
    <t>Light weight aggregate kilns</t>
  </si>
  <si>
    <t>5.8</t>
  </si>
  <si>
    <t>Source category: Waste incineration</t>
  </si>
  <si>
    <t>5.8.1</t>
  </si>
  <si>
    <t>Incineration of municipal/general waste</t>
  </si>
  <si>
    <t>Acid gas control with limestone (or similar acid gas absorbent) and downstream high efficiency FF or ESP PM retention</t>
  </si>
  <si>
    <t>Mercury specific absorbents and downstream FF</t>
  </si>
  <si>
    <t>5.8.2</t>
  </si>
  <si>
    <t>No emission reduction devices</t>
  </si>
  <si>
    <t>PM reduc, simple ESP, or similar</t>
  </si>
  <si>
    <t>Incineration of hazardous waste</t>
  </si>
  <si>
    <t>Incineration of medical waste</t>
  </si>
  <si>
    <t>5.8.3</t>
  </si>
  <si>
    <t>8-40</t>
  </si>
  <si>
    <t>5.8.4</t>
  </si>
  <si>
    <t>Sewage sludge incineration</t>
  </si>
  <si>
    <t>5.8.5</t>
  </si>
  <si>
    <t>"Output scenario (where relevant)</t>
  </si>
  <si>
    <t>5.6</t>
  </si>
  <si>
    <t>5.6.1</t>
  </si>
  <si>
    <t>Source category: Consumer products with intentional use of mercury</t>
  </si>
  <si>
    <t>Source category: Other intentional product/process use</t>
  </si>
  <si>
    <t>0.05-0.2</t>
  </si>
  <si>
    <t>/Preparations of fillings at dentist clinics (share of current mercury supply for amalgam fillings)</t>
  </si>
  <si>
    <t>/Disposal (releases from mercury supply for fillings 10-20 years ago)</t>
  </si>
  <si>
    <t>/Use - from fillings in the mouth (releases from mercury supply for fillings 5-15 years ago)</t>
  </si>
  <si>
    <t>(a: See detailed explanations in the dental fillings section in the Toolkit report.</t>
  </si>
  <si>
    <t xml:space="preserve">     If no change in the amalgam fillings supply have been observed, current supply may be used as a substitute; changes are likely to have occurred in most countries.</t>
  </si>
  <si>
    <t>- In countries where most dental clinics are equipped with high efficiency amalgam filters (95% retention rate)</t>
  </si>
  <si>
    <t>-  In countries where only dental chair filters/strainers are used in most clinics</t>
  </si>
  <si>
    <r>
      <t>Preparations of fillings</t>
    </r>
    <r>
      <rPr>
        <sz val="10"/>
        <rFont val="Times New Roman"/>
        <family val="1"/>
      </rPr>
      <t xml:space="preserve"> at dentist clinics (input is current Hg supply for amalgam fillings)</t>
    </r>
  </si>
  <si>
    <r>
      <t>Use</t>
    </r>
    <r>
      <rPr>
        <sz val="10"/>
        <rFont val="Times New Roman"/>
        <family val="1"/>
      </rPr>
      <t xml:space="preserve"> (input is Hg supply for </t>
    </r>
    <r>
      <rPr>
        <i/>
        <sz val="10"/>
        <rFont val="Times New Roman"/>
        <family val="1"/>
      </rPr>
      <t>fillings</t>
    </r>
    <r>
      <rPr>
        <sz val="10"/>
        <rFont val="Times New Roman"/>
        <family val="1"/>
      </rPr>
      <t xml:space="preserve"> 5-15 years ago (a)</t>
    </r>
  </si>
  <si>
    <r>
      <t xml:space="preserve">Disposal </t>
    </r>
    <r>
      <rPr>
        <sz val="10"/>
        <rFont val="Times New Roman"/>
        <family val="1"/>
      </rPr>
      <t>(input is Hg supply for fillings 10-20 years ago (a)</t>
    </r>
  </si>
  <si>
    <t>5.6.2</t>
  </si>
  <si>
    <t>Manometers and gauges with mercury</t>
  </si>
  <si>
    <t>Sector specific treatment/disposal</t>
  </si>
  <si>
    <t>Laboratory chemicals and equipment with mercury</t>
  </si>
  <si>
    <t>5.6.3</t>
  </si>
  <si>
    <t>Mercury metal use in religious rituals and folklore medicine</t>
  </si>
  <si>
    <t>Miscellaneous product uses, mercury metal uses, and other sources</t>
  </si>
  <si>
    <t>5.6.4</t>
  </si>
  <si>
    <t>5.6.5</t>
  </si>
  <si>
    <t>Infra red detection semiconductors</t>
  </si>
  <si>
    <t>Bougie tubes and Cantor tubes</t>
  </si>
  <si>
    <t>Educational uses</t>
  </si>
  <si>
    <t>Gyroscopes with mercury</t>
  </si>
  <si>
    <t>Vacuum pumps with mercury</t>
  </si>
  <si>
    <t>Use of mercury as a refrigerant in certain cooling systems</t>
  </si>
  <si>
    <t>Light houses (Marine navigation lights)</t>
  </si>
  <si>
    <t>Mercury in large bearings of rotating mechanic parts in for example older waste water treatment plants</t>
  </si>
  <si>
    <t>Tanning</t>
  </si>
  <si>
    <t>Pigments</t>
  </si>
  <si>
    <t>Browning and etching steel</t>
  </si>
  <si>
    <t>Certain colour photograph paper types</t>
  </si>
  <si>
    <t>Recoil softeners in rifles</t>
  </si>
  <si>
    <t>Explosives (mercury-fulminate a.o.)</t>
  </si>
  <si>
    <t>Fireworks</t>
  </si>
  <si>
    <t>Executive toys</t>
  </si>
  <si>
    <t>Others</t>
  </si>
  <si>
    <t>Medical blood pressure gauges</t>
  </si>
  <si>
    <t>Manometers</t>
  </si>
  <si>
    <t>U-shaped manometers</t>
  </si>
  <si>
    <t xml:space="preserve">Manometers for milking systems </t>
  </si>
  <si>
    <t>Manometers and barometers used for measuring air pressure</t>
  </si>
  <si>
    <t xml:space="preserve">Barometers </t>
  </si>
  <si>
    <t>Environmental manometers</t>
  </si>
  <si>
    <t>Pressure valves in district heating plants</t>
  </si>
  <si>
    <t>Pressure gauges</t>
  </si>
  <si>
    <t>Blood gas analyzer</t>
  </si>
  <si>
    <t>Mercury electrodes (calomel)</t>
  </si>
  <si>
    <t>Blood lead analyzer</t>
  </si>
  <si>
    <t>Mercury drop electrode</t>
  </si>
  <si>
    <t>Coulter counter</t>
  </si>
  <si>
    <t>Sample collector for oil offshore</t>
  </si>
  <si>
    <t>Centrifuges</t>
  </si>
  <si>
    <t>Electron microscope</t>
  </si>
  <si>
    <t>Thermostats</t>
  </si>
  <si>
    <t xml:space="preserve">Thermometers, manometers, and other measuring equipment </t>
  </si>
  <si>
    <t>Mercury lamps for atomic absorption spectrophotometers and other equipment</t>
  </si>
  <si>
    <t>Items/y</t>
  </si>
  <si>
    <t>-</t>
  </si>
  <si>
    <t>5.7</t>
  </si>
  <si>
    <t>5.7.1</t>
  </si>
  <si>
    <t>Source category: Production of recycled metals ("secondary" metal production)</t>
  </si>
  <si>
    <t>Production of recycled mercury ("secondary production”)</t>
  </si>
  <si>
    <t>Production of recycled ferrous metals (iron and steel)</t>
  </si>
  <si>
    <t>Production of other recycled metals</t>
  </si>
  <si>
    <t>Output scenario (where relevant)</t>
  </si>
  <si>
    <t>Note:</t>
  </si>
  <si>
    <t>(a: The Hg input to be entered here is metric tons of seconday mercury produced per year.</t>
  </si>
  <si>
    <t>Diffuse disposal under some control</t>
  </si>
  <si>
    <t>Source category: Waste deposition/landfilling and waste water treatment</t>
  </si>
  <si>
    <t>This source category is expected covered under the original sources of the mercury containing material, under det output path "sector specific treatment/disposal accompanied by a descriptive note; e.g. solid residues from waste incineration or metal extraction.</t>
  </si>
  <si>
    <t>Informal local disposal of industrial production waste</t>
  </si>
  <si>
    <t>Waste water system/treatment</t>
  </si>
  <si>
    <t>(b: It should be noted that mercury releases to informal waste incineration and waste dumping under the individual product and materials sub-categories are quantified in these sub-sections as direct releases to land, air and water.</t>
  </si>
  <si>
    <t xml:space="preserve">    Beware of double-counting. Note, however, that mercury inputs to dumping from mercury trace concentrations in high volume materials (plastics, paper, etc.) are not quantified individually elsewhere in this Toolkit</t>
  </si>
  <si>
    <t>5.9</t>
  </si>
  <si>
    <t>5.9.1</t>
  </si>
  <si>
    <t>5.9.2</t>
  </si>
  <si>
    <t>5.9.3</t>
  </si>
  <si>
    <t>5.9.4</t>
  </si>
  <si>
    <t>5.9.5</t>
  </si>
  <si>
    <t>No treatment; direct release from sewage pipe</t>
  </si>
  <si>
    <t>Mechanical treatment only</t>
  </si>
  <si>
    <t>Mechanical and biological (activated sludge) treatment; no land application of sludge</t>
  </si>
  <si>
    <t>Mechanical and biological (activated sludge) treatment; 40% of sludge used for land application</t>
  </si>
  <si>
    <t>0.5-10</t>
  </si>
  <si>
    <t>m3 waste water/y</t>
  </si>
  <si>
    <t>mg Hg/m3 waste water</t>
  </si>
  <si>
    <t>Enter description of estimation scenario presented below (maximum defaults/minimum defaults/other):</t>
  </si>
  <si>
    <t>Source category: Crematoria and cemetaries</t>
  </si>
  <si>
    <t>Crematoria</t>
  </si>
  <si>
    <t>1-4</t>
  </si>
  <si>
    <t>g Hg/corpse</t>
  </si>
  <si>
    <t>corpses cremated/y</t>
  </si>
  <si>
    <t>corpses burried/y</t>
  </si>
  <si>
    <t>5.10</t>
  </si>
  <si>
    <t>5.10.1</t>
  </si>
  <si>
    <t>5.10.2</t>
  </si>
  <si>
    <t>Read "introduction" before starting</t>
  </si>
  <si>
    <t>Source category</t>
  </si>
  <si>
    <t xml:space="preserve"> - If "other": Summarise main principles/characteristics in a few words (elaborate description in inventory report):</t>
  </si>
  <si>
    <t>Source category: Primary (virgin) metal production</t>
  </si>
  <si>
    <t>Gold extraction and initial processing by methods other than mercury amalgamation (a</t>
  </si>
  <si>
    <t xml:space="preserve">   In order for the releases to be presented correctly in the summary sheet, only one of the presentation options can be used (or the summary sheet should be adjusted for this source by the user).</t>
  </si>
  <si>
    <t>Controlled landfills/deposits (a</t>
  </si>
  <si>
    <t>Informal dumping of general waste (b</t>
  </si>
  <si>
    <t>Light sources with mercury</t>
  </si>
  <si>
    <t>Sub-C</t>
  </si>
  <si>
    <t>t coal/y</t>
  </si>
  <si>
    <t>t oil/y</t>
  </si>
  <si>
    <t>t peat/y</t>
  </si>
  <si>
    <t>t oil shale/y</t>
  </si>
  <si>
    <t>t pig iron produced</t>
  </si>
  <si>
    <t>t cement produced/y</t>
  </si>
  <si>
    <t>t Cl2/y</t>
  </si>
  <si>
    <t>t bat/y</t>
  </si>
  <si>
    <t>t paint/y</t>
  </si>
  <si>
    <t>t cream or soap/y</t>
  </si>
  <si>
    <t>g Hg/t waste</t>
  </si>
  <si>
    <t>t waste landfilled/y</t>
  </si>
  <si>
    <t>t waste dumped/y</t>
  </si>
  <si>
    <t>g Hg/t waste incinerated</t>
  </si>
  <si>
    <t>t waste incinerated/y</t>
  </si>
  <si>
    <t>kg Hg/t batteries</t>
  </si>
  <si>
    <t>kg Hg/t</t>
  </si>
  <si>
    <t>g Hg/t Cl2 produced</t>
  </si>
  <si>
    <t>g Hg/t VCM produced</t>
  </si>
  <si>
    <t>g Hg/t</t>
  </si>
  <si>
    <t>g Hg/t pig iron produced</t>
  </si>
  <si>
    <t>mg Hg/t</t>
  </si>
  <si>
    <t>(b: Based on one data set only</t>
  </si>
  <si>
    <t>mg Hg/t (dry weight)</t>
  </si>
  <si>
    <t>(b: Enter sum for total inputs to recycling, if know from other sources</t>
  </si>
  <si>
    <t>t concentrate/y</t>
  </si>
  <si>
    <r>
      <t xml:space="preserve">Dental mercury-amalgam fillings </t>
    </r>
    <r>
      <rPr>
        <b/>
        <sz val="10"/>
        <color indexed="10"/>
        <rFont val="Arial"/>
        <family val="2"/>
      </rPr>
      <t>(b</t>
    </r>
  </si>
  <si>
    <t>(b: Note that output distribution factors should not sum up to 1 for this source or phase.</t>
  </si>
  <si>
    <t>(a: Note that output distribution factors should not sum up to 1 for this source or phase.</t>
  </si>
  <si>
    <t>/Production (a</t>
  </si>
  <si>
    <r>
      <t xml:space="preserve">(b </t>
    </r>
    <r>
      <rPr>
        <sz val="10"/>
        <rFont val="Arial"/>
        <family val="2"/>
      </rPr>
      <t>Kg Hg/y</t>
    </r>
  </si>
  <si>
    <t>(c: Note that output distribution factors should not sum up to 1 for this source or phase.</t>
  </si>
  <si>
    <t>(a, (c</t>
  </si>
  <si>
    <t>(a: Important: If coal wash is aplied, the Hg input to combustion is the calculated output "Products" from coal wash. For more complicated mixes, see the relevant section in the toolkit report.</t>
  </si>
  <si>
    <t>Other minerals and materials</t>
  </si>
  <si>
    <t>Impurity in pro-ducts</t>
  </si>
  <si>
    <t>Cat. no.</t>
  </si>
  <si>
    <t>Source present?</t>
  </si>
  <si>
    <t>Y/N/?</t>
  </si>
  <si>
    <t>5.2.3</t>
  </si>
  <si>
    <t>5.2.4</t>
  </si>
  <si>
    <t>5.2.5</t>
  </si>
  <si>
    <t>5.2.6</t>
  </si>
  <si>
    <t>5.2.7</t>
  </si>
  <si>
    <t>5.2.9</t>
  </si>
  <si>
    <t>Cement production</t>
  </si>
  <si>
    <t>Chlor-alkali production with mercury-cells</t>
  </si>
  <si>
    <t>5.4.3</t>
  </si>
  <si>
    <t>5.4.4</t>
  </si>
  <si>
    <t>5.5.7</t>
  </si>
  <si>
    <t>5.6.3, 5.6.5</t>
  </si>
  <si>
    <t>Impurity in products</t>
  </si>
  <si>
    <t>5.7.2</t>
  </si>
  <si>
    <t>Before you start on Inventory Level 2!!</t>
  </si>
  <si>
    <t>Charcoal combustion</t>
  </si>
  <si>
    <t>Cemeteries</t>
  </si>
  <si>
    <t>t biomass/year</t>
  </si>
  <si>
    <t>t charcoal/year</t>
  </si>
  <si>
    <t>g Hg/ t cement produced</t>
  </si>
  <si>
    <t>t Hg produced</t>
  </si>
  <si>
    <t>g Hg/t concentrate</t>
  </si>
  <si>
    <t>Crematoria and cemeteries</t>
  </si>
  <si>
    <t>g Hg/t acetaledhyde</t>
  </si>
  <si>
    <t>t VCM/y</t>
  </si>
  <si>
    <t>t acetaldehyde/y</t>
  </si>
  <si>
    <t>Production</t>
  </si>
  <si>
    <t>g Hg used for production/y</t>
  </si>
  <si>
    <t>kg Hg used for production/y</t>
  </si>
  <si>
    <r>
      <t>kg recycled mercury</t>
    </r>
    <r>
      <rPr>
        <b/>
        <sz val="10"/>
        <rFont val="Arial"/>
        <family val="2"/>
      </rPr>
      <t>/year</t>
    </r>
  </si>
  <si>
    <t>g Hg/t sludge incinerated</t>
  </si>
  <si>
    <t xml:space="preserve">Total </t>
  </si>
  <si>
    <t>Inpurity in produtcs</t>
  </si>
  <si>
    <t>Inpurity in products</t>
  </si>
  <si>
    <t>70-85</t>
  </si>
  <si>
    <t>Other laboratory equipment (level 1 default)</t>
  </si>
  <si>
    <t>Laboratory chemicals and pharmaceutical (level 1 default)</t>
  </si>
  <si>
    <t>g Hg/y*inhabitant)</t>
  </si>
  <si>
    <t>5.5.8</t>
  </si>
  <si>
    <t>5.5.5.</t>
  </si>
  <si>
    <t>Polyurethane with mercury catalysts</t>
  </si>
  <si>
    <t>PM control with general ESP, or PS</t>
  </si>
  <si>
    <t>g Hg/t biomass (dry weight)</t>
  </si>
  <si>
    <t>0.07-1</t>
  </si>
  <si>
    <t>t bauxite/y</t>
  </si>
  <si>
    <t>g Hg/t bauxite</t>
  </si>
  <si>
    <t>/Alumina production from bauxite</t>
  </si>
  <si>
    <t>/Use of gasoline, diesel and other light distillates:</t>
  </si>
  <si>
    <t>Transportation and other uses other than combustion</t>
  </si>
  <si>
    <t>/Use of heavy oil and petroleum coke:</t>
  </si>
  <si>
    <t>10 - 100</t>
  </si>
  <si>
    <t>1 - 10</t>
  </si>
  <si>
    <t>Oil combustion facilities</t>
  </si>
  <si>
    <t>g Hg/t(dry weight)</t>
  </si>
  <si>
    <t>0.007-0.07</t>
  </si>
  <si>
    <t>Gas processing with mercury removal</t>
  </si>
  <si>
    <t>Gas processing without mercury removal</t>
  </si>
  <si>
    <t>Informal dumping of general waste *1</t>
  </si>
  <si>
    <t>Coal combustion and other coal use</t>
  </si>
  <si>
    <t>Other fossil fuel and biomass combustion</t>
  </si>
  <si>
    <t>Gold extraction with mercury amalgamation</t>
  </si>
  <si>
    <t>Other production of chemicals and polymers</t>
  </si>
  <si>
    <t>Use and disposal of other products</t>
  </si>
  <si>
    <t>Production of recycled metals</t>
  </si>
  <si>
    <t>Oil and gas production</t>
  </si>
  <si>
    <t>Primary metal production (excl. gold production by amalgamation)</t>
  </si>
  <si>
    <t>INVENTORY LEVEL 1 - TOTAL SUMMARY</t>
  </si>
  <si>
    <t>0,007-0,07</t>
  </si>
  <si>
    <t>g Hg/ t biomass used in production</t>
  </si>
  <si>
    <t>kg Hg/t Hg produced</t>
  </si>
  <si>
    <t>g Hg/t ore used (extracted)</t>
  </si>
  <si>
    <t>0.01-0.05</t>
  </si>
  <si>
    <t>0.005</t>
  </si>
  <si>
    <t>Other manometers (level 1 default for whole group)</t>
  </si>
  <si>
    <t>0.2-2</t>
  </si>
  <si>
    <t>g Hg/vehicle</t>
  </si>
  <si>
    <t>vehicles recycled/y</t>
  </si>
  <si>
    <t>4x conc. in biomass</t>
  </si>
  <si>
    <t>No filter</t>
  </si>
  <si>
    <t>t gold ore used/y</t>
  </si>
  <si>
    <t>g Hg/t ore used</t>
  </si>
  <si>
    <t>1020-1040</t>
  </si>
  <si>
    <t>kg Hg/kg Hg released totally</t>
  </si>
  <si>
    <t>Y</t>
  </si>
  <si>
    <t>Waste water system/treatment *3</t>
  </si>
  <si>
    <t>Controlled landfils/deposits *1</t>
  </si>
  <si>
    <t>Waste water system/treatment *2</t>
  </si>
  <si>
    <t>Original English version</t>
  </si>
  <si>
    <t>N</t>
  </si>
  <si>
    <t>Can be changed according to language</t>
  </si>
  <si>
    <t>Not to be changed</t>
  </si>
  <si>
    <t>The "-", indicated when the source category is not present in the country, cannot be changed</t>
  </si>
  <si>
    <t>Present?</t>
  </si>
  <si>
    <t>Enter translation (in white cells only)</t>
  </si>
  <si>
    <t>Y/N</t>
  </si>
  <si>
    <t>White cells:</t>
  </si>
  <si>
    <t>Yellow cells:</t>
  </si>
  <si>
    <t>Important for translators, in this sheet:</t>
  </si>
  <si>
    <t>Informal dumping of general waste *1*2</t>
  </si>
  <si>
    <t>Incineration of municipal/general waste*1</t>
  </si>
  <si>
    <t>Incineration of hazardous waste*1</t>
  </si>
  <si>
    <t>Incineration of medical waste*1</t>
  </si>
  <si>
    <t>Sewage sludge incineration*1</t>
  </si>
  <si>
    <t>Open fire waste burning (on landfills and informally)*1</t>
  </si>
  <si>
    <r>
      <t xml:space="preserve">VERY IMPORTANT: DO </t>
    </r>
    <r>
      <rPr>
        <b/>
        <sz val="10"/>
        <rFont val="Arial"/>
        <family val="2"/>
      </rPr>
      <t>NOT</t>
    </r>
    <r>
      <rPr>
        <sz val="10"/>
        <rFont val="Arial"/>
        <family val="2"/>
      </rPr>
      <t xml:space="preserve"> CHANGE ANY FORMULAS. CHECK CAREFULLY BEFORE TRANSLATION, WHICH CELLS CONTAIN FORMULAS!</t>
    </r>
  </si>
  <si>
    <t xml:space="preserve">This page includes country specific data for population, access to electricity and number of dental personnel. </t>
  </si>
  <si>
    <t xml:space="preserve">These data are used in background calculations and should not be altered by users. </t>
  </si>
  <si>
    <t>UNEP may update data here regularly, as updates become available and as feasible.</t>
  </si>
  <si>
    <t>Country</t>
  </si>
  <si>
    <t>Afghanistan</t>
  </si>
  <si>
    <t>Algeria</t>
  </si>
  <si>
    <t>Angola</t>
  </si>
  <si>
    <t>Argentina</t>
  </si>
  <si>
    <t>Armenia</t>
  </si>
  <si>
    <t>Austria</t>
  </si>
  <si>
    <t>Bahrain</t>
  </si>
  <si>
    <t>Bangladesh</t>
  </si>
  <si>
    <t>Belgium</t>
  </si>
  <si>
    <t>Benin</t>
  </si>
  <si>
    <t>Bolivia</t>
  </si>
  <si>
    <t>Botswana</t>
  </si>
  <si>
    <t>Brazil</t>
  </si>
  <si>
    <t>Brunei Darussalam</t>
  </si>
  <si>
    <t>Burkina Faso</t>
  </si>
  <si>
    <t>Cambodia</t>
  </si>
  <si>
    <t>Cameroon</t>
  </si>
  <si>
    <t>Chile</t>
  </si>
  <si>
    <t>China</t>
  </si>
  <si>
    <t>Colombia</t>
  </si>
  <si>
    <t>Costa Rica</t>
  </si>
  <si>
    <t>Côte d'Ivoire</t>
  </si>
  <si>
    <t>Cuba</t>
  </si>
  <si>
    <t>Democratic People's Republic of Korea</t>
  </si>
  <si>
    <t>Democratic Republic of the Congo</t>
  </si>
  <si>
    <t>Denmark</t>
  </si>
  <si>
    <t>Dominican Republic</t>
  </si>
  <si>
    <t>Ecuador</t>
  </si>
  <si>
    <t>Egypt</t>
  </si>
  <si>
    <t>El Salvador</t>
  </si>
  <si>
    <t>Eritrea</t>
  </si>
  <si>
    <t>Fiji</t>
  </si>
  <si>
    <t>Finland</t>
  </si>
  <si>
    <t>France</t>
  </si>
  <si>
    <t>Gabon</t>
  </si>
  <si>
    <t>Germany</t>
  </si>
  <si>
    <t>Ghana</t>
  </si>
  <si>
    <t>Greece</t>
  </si>
  <si>
    <t>Guatemala</t>
  </si>
  <si>
    <t>Haiti</t>
  </si>
  <si>
    <t>Honduras</t>
  </si>
  <si>
    <t>Iceland</t>
  </si>
  <si>
    <t>India</t>
  </si>
  <si>
    <t>Indonesia</t>
  </si>
  <si>
    <t>Iran, Islamic Republic of</t>
  </si>
  <si>
    <t>Iraq</t>
  </si>
  <si>
    <t>Ireland</t>
  </si>
  <si>
    <t>Israel</t>
  </si>
  <si>
    <t>Italy</t>
  </si>
  <si>
    <t>Jamaica</t>
  </si>
  <si>
    <t>Jordan</t>
  </si>
  <si>
    <t>Kenya</t>
  </si>
  <si>
    <t>Kuwait</t>
  </si>
  <si>
    <t>Kyrgyzstan</t>
  </si>
  <si>
    <t>Lao People's Democratic Republic</t>
  </si>
  <si>
    <t>Lebanon</t>
  </si>
  <si>
    <t>Lesotho</t>
  </si>
  <si>
    <t>Libyan Arab Jamahiriya</t>
  </si>
  <si>
    <t>Luxembourg</t>
  </si>
  <si>
    <t>Madagascar</t>
  </si>
  <si>
    <t>Malaysia</t>
  </si>
  <si>
    <t>Malta</t>
  </si>
  <si>
    <t>Mauritius</t>
  </si>
  <si>
    <t>Monaco</t>
  </si>
  <si>
    <t>Morocco</t>
  </si>
  <si>
    <t>Mozambique</t>
  </si>
  <si>
    <t>Myanmar</t>
  </si>
  <si>
    <t>Namibia</t>
  </si>
  <si>
    <t>Nepal</t>
  </si>
  <si>
    <t>Netherlands</t>
  </si>
  <si>
    <t>Nicaragua</t>
  </si>
  <si>
    <t>Nigeria</t>
  </si>
  <si>
    <t>Norway</t>
  </si>
  <si>
    <t>Oman</t>
  </si>
  <si>
    <t>Pakistan</t>
  </si>
  <si>
    <t>Panama</t>
  </si>
  <si>
    <t>Paraguay</t>
  </si>
  <si>
    <t>Peru</t>
  </si>
  <si>
    <t>Philippines</t>
  </si>
  <si>
    <t>Portugal</t>
  </si>
  <si>
    <t>Qatar</t>
  </si>
  <si>
    <t>Romania</t>
  </si>
  <si>
    <t>Saint Kitts and Nevis</t>
  </si>
  <si>
    <t>Saint Lucia</t>
  </si>
  <si>
    <t>Samoa</t>
  </si>
  <si>
    <t>Saudi Arabia</t>
  </si>
  <si>
    <t>Senegal</t>
  </si>
  <si>
    <t>Slovakia</t>
  </si>
  <si>
    <t>Slovenia</t>
  </si>
  <si>
    <t>South Africa</t>
  </si>
  <si>
    <t>Spain</t>
  </si>
  <si>
    <t>Sri Lanka</t>
  </si>
  <si>
    <t>Sudan</t>
  </si>
  <si>
    <t>Sweden</t>
  </si>
  <si>
    <t>Switzerland</t>
  </si>
  <si>
    <t>Syrian Arab Republic</t>
  </si>
  <si>
    <t>Thailand</t>
  </si>
  <si>
    <t>Timor-Leste</t>
  </si>
  <si>
    <t>Togo</t>
  </si>
  <si>
    <t>Tonga</t>
  </si>
  <si>
    <t>Trinidad and Tobago</t>
  </si>
  <si>
    <t>Tunisia</t>
  </si>
  <si>
    <t>Uganda</t>
  </si>
  <si>
    <t>Ukraine</t>
  </si>
  <si>
    <t>United Arab Emirates</t>
  </si>
  <si>
    <t>United Kingdom</t>
  </si>
  <si>
    <t>United Republic of Tanzania</t>
  </si>
  <si>
    <t>United States of America</t>
  </si>
  <si>
    <t>Uruguay</t>
  </si>
  <si>
    <t>Uzbekistan</t>
  </si>
  <si>
    <t>Venezuela, Bolivarian Republic of</t>
  </si>
  <si>
    <t>Yemen</t>
  </si>
  <si>
    <t>Zambia</t>
  </si>
  <si>
    <t>Zimbabwe</t>
  </si>
  <si>
    <r>
      <t xml:space="preserve">Figures computed by WHO to ensure comparability; </t>
    </r>
    <r>
      <rPr>
        <sz val="10"/>
        <rFont val="Arial"/>
        <family val="2"/>
      </rPr>
      <t>they are not necessarily the official statistics of Member States, which may use alternative rigorous methods. See explanatory notes for sources and methods.</t>
    </r>
  </si>
  <si>
    <t>o</t>
  </si>
  <si>
    <t>Other non-OECD country</t>
  </si>
  <si>
    <t>Other OECD country</t>
  </si>
  <si>
    <t>Viet Nam*4</t>
  </si>
  <si>
    <t>OECD average of dental density</t>
  </si>
  <si>
    <t>Non-OECD 20% percentile</t>
  </si>
  <si>
    <t>*4: Dental personnel density assumed as average of Lao and Cambodia</t>
  </si>
  <si>
    <t>Montenegro*5</t>
  </si>
  <si>
    <t>For non-OECD countries with dental personnel density values below the 20% percentile for this group in the original data, the 20% percentile was used in calculations in order to eliminate errors of reporting.</t>
  </si>
  <si>
    <t>Non-OECD average of dental personnel density</t>
  </si>
  <si>
    <t>d</t>
  </si>
  <si>
    <t>o,d</t>
  </si>
  <si>
    <t>Electrification rate *2</t>
  </si>
  <si>
    <t>Albania*8</t>
  </si>
  <si>
    <t>Andorra*7</t>
  </si>
  <si>
    <t>Antigua and Barbuda*8</t>
  </si>
  <si>
    <t>Australia*8</t>
  </si>
  <si>
    <t>Azerbaijan*8</t>
  </si>
  <si>
    <t>Bahamas*8</t>
  </si>
  <si>
    <t>Barbados*8</t>
  </si>
  <si>
    <t>Belarus*9</t>
  </si>
  <si>
    <t>Belize*8</t>
  </si>
  <si>
    <t>Bhutan*6</t>
  </si>
  <si>
    <t>Bosnia and Herzegovina*6</t>
  </si>
  <si>
    <t>Bulgaria*8</t>
  </si>
  <si>
    <t>Burundi*6</t>
  </si>
  <si>
    <t>Canada*9</t>
  </si>
  <si>
    <t>Cape Verde*6</t>
  </si>
  <si>
    <t>Central African Republic*6</t>
  </si>
  <si>
    <t>Chad*6</t>
  </si>
  <si>
    <t>Comoros*6</t>
  </si>
  <si>
    <t>Republic of the Congo</t>
  </si>
  <si>
    <t>Cook Islands*8</t>
  </si>
  <si>
    <t>Croatia*8</t>
  </si>
  <si>
    <t>Cyprus*9</t>
  </si>
  <si>
    <t>Czech Republic*8</t>
  </si>
  <si>
    <t>Djibouti*6</t>
  </si>
  <si>
    <t>Dominica*6</t>
  </si>
  <si>
    <t>Estonia*8</t>
  </si>
  <si>
    <t>Gambia*6</t>
  </si>
  <si>
    <t>Georgia*6</t>
  </si>
  <si>
    <t>Grenada*8</t>
  </si>
  <si>
    <t>Guinea*6</t>
  </si>
  <si>
    <t>Guinea-Bissau*6</t>
  </si>
  <si>
    <t>Guyana*6</t>
  </si>
  <si>
    <t>Hungary*8</t>
  </si>
  <si>
    <t>Japan*8</t>
  </si>
  <si>
    <t>Kazakhstan*9</t>
  </si>
  <si>
    <t>Latvia*8</t>
  </si>
  <si>
    <t>Liberia*6</t>
  </si>
  <si>
    <t>Lithuania*8</t>
  </si>
  <si>
    <t>Maldives*6</t>
  </si>
  <si>
    <t>Mali*6</t>
  </si>
  <si>
    <t>Marshall Islands*8</t>
  </si>
  <si>
    <t>Mauritania*8</t>
  </si>
  <si>
    <t>Mexico*8</t>
  </si>
  <si>
    <t>Micronesia, Federated States of*8</t>
  </si>
  <si>
    <t>Mongolia*8</t>
  </si>
  <si>
    <t>New Zealand*8</t>
  </si>
  <si>
    <t>Niger*8</t>
  </si>
  <si>
    <t>Niue*8</t>
  </si>
  <si>
    <t>Palau*8</t>
  </si>
  <si>
    <t>Papua New Guinea*6</t>
  </si>
  <si>
    <t>Poland*8</t>
  </si>
  <si>
    <t>Republic of Korea*8</t>
  </si>
  <si>
    <t>Republic of Moldova*6</t>
  </si>
  <si>
    <t>Russian Federation*8</t>
  </si>
  <si>
    <t>Rwanda*6</t>
  </si>
  <si>
    <t>Saint Vincent and the Grenadines*6</t>
  </si>
  <si>
    <t>San Marino*9</t>
  </si>
  <si>
    <t>Sao Tome and Principe*8</t>
  </si>
  <si>
    <t>Serbia*5*8</t>
  </si>
  <si>
    <t>Seychelles*8</t>
  </si>
  <si>
    <t>Sierra Leone*6</t>
  </si>
  <si>
    <t>Singapore*8</t>
  </si>
  <si>
    <t>Solomon Islands*6</t>
  </si>
  <si>
    <t>Somalia*8</t>
  </si>
  <si>
    <t>Suriname*8</t>
  </si>
  <si>
    <t>Tajikistan*8</t>
  </si>
  <si>
    <t>The former Yugoslav Republic of Macedonia*8</t>
  </si>
  <si>
    <t>Turkey*8</t>
  </si>
  <si>
    <t>Turkmenistan*8</t>
  </si>
  <si>
    <t>Tuvalu*8</t>
  </si>
  <si>
    <t>*1: Source: WHO: World health report 2006, Annex, Table 4: Global distribution of health workers in WHO Member States. Accessed June 2012</t>
  </si>
  <si>
    <t>http://www.who.int/whr/2006/annex/en/index.html</t>
  </si>
  <si>
    <t>*2: Percent of population with access to electricity. Data source: IEA, Electricity access Today – WEO-2011 new Electricity access Database (2009 data country-by-country), accessed June 2012. Except for a few countries; see notes *6, *8 and *9.</t>
  </si>
  <si>
    <t>http://www.worldenergyoutlook.org/resources/energydevelopment/accesstoelectricity/</t>
  </si>
  <si>
    <t>*5: Assumed as Serbia and Montenegro in 2002 (or 2007, see report)</t>
  </si>
  <si>
    <t>http://www.reeep.org/file_upload/296_tmpphpW16ncV.pdf</t>
  </si>
  <si>
    <t xml:space="preserve">*6 Data source for electrification rate: Datamarket.com, accessed Aug. 2012. Data compiled by World Bank staff from households surveys. </t>
  </si>
  <si>
    <t>http://datamarket.com/data/set/1459/household-electrification-rate-of-households#!display=line&amp;ds=1459!g6f=6.12.15.n.g</t>
  </si>
  <si>
    <t>*7 Electrification rate assumed as Spain, Italy and France.</t>
  </si>
  <si>
    <t>*8  Data source for electrification rate: reegle www.regel.info -&gt; Resources &amp; Services (mostly 2000 data)</t>
  </si>
  <si>
    <t>http://www.reegle.info/countries</t>
  </si>
  <si>
    <t>*9  Data source for electrification rate: The U.S. National geophysical data center: If no other data/estimations were available, this source was used. The data are based on areas with electrification, and not by population.</t>
  </si>
  <si>
    <t>http://www.ngdc.noaa.gov/dmsp/pubs/Elvidge_WINTD_20091022.pdf</t>
  </si>
  <si>
    <t>Dental personnel per 1000 inhabitants (adjusted)*1</t>
  </si>
  <si>
    <t>Dental personnel per 1000 inhabitants (original WHO data)</t>
  </si>
  <si>
    <t>Year for dental personnel data*1</t>
  </si>
  <si>
    <t>o=OECD countries/d= countries in EIA electrification list</t>
  </si>
  <si>
    <t>*10: Assumed = average of (mainland) China and Japan.</t>
  </si>
  <si>
    <t>Chinese Taipei/Taiwan*10</t>
  </si>
  <si>
    <t>*11: Electrification rate assumed as Gabon.</t>
  </si>
  <si>
    <t>Equatorial Guinea*11</t>
  </si>
  <si>
    <t>Kiribati*12</t>
  </si>
  <si>
    <t>*12: Electrification rate assumed as Micronesia, Federated States of.</t>
  </si>
  <si>
    <t>Ethiopia*8*13</t>
  </si>
  <si>
    <t>Non-OECD average, electrification rates</t>
  </si>
  <si>
    <t>Tanzania*6*13</t>
  </si>
  <si>
    <t>*13: Dental personnel density assumed as Kenya.</t>
  </si>
  <si>
    <t>Nauru*8*12</t>
  </si>
  <si>
    <t>Malawi*14</t>
  </si>
  <si>
    <t>*14: Dental personnel density assumed as Mozambique.</t>
  </si>
  <si>
    <t>Vanuatu*8*12</t>
  </si>
  <si>
    <t>IMPORTANT NOTE:</t>
  </si>
  <si>
    <r>
      <rPr>
        <b/>
        <sz val="10"/>
        <rFont val="Arial"/>
        <family val="2"/>
      </rPr>
      <t>Compulsory</t>
    </r>
    <r>
      <rPr>
        <sz val="10"/>
        <rFont val="Arial"/>
        <family val="2"/>
      </rPr>
      <t>: Click cell below and select country from list</t>
    </r>
  </si>
  <si>
    <t>Hg input</t>
  </si>
  <si>
    <t>Incineration and open burning of medical waste*1</t>
  </si>
  <si>
    <t>Aggregates</t>
  </si>
  <si>
    <t>Nm3/TJ</t>
  </si>
  <si>
    <t>More than 2/3 (two thirds; 67%) of the general waste is collected and deposited on lined landfills or incinerated with pollution abatement</t>
  </si>
  <si>
    <t>Less than 2/3 (two thirds; 67%) of the general waste is collected and deposited on lined landfills or incinerated with pollution abatement</t>
  </si>
  <si>
    <t>Application, use and disposal of dental amalgam fillings</t>
  </si>
  <si>
    <t>Production of products with mercury content*4</t>
  </si>
  <si>
    <t>Production of products with mercury content*1</t>
  </si>
  <si>
    <t>Waste incineration and open waste burning*2</t>
  </si>
  <si>
    <t>Informal dumping of general waste *2*3</t>
  </si>
  <si>
    <t>Waste water system/treatment *4</t>
  </si>
  <si>
    <t>Waste deposition*2</t>
  </si>
  <si>
    <t>1 - 66</t>
  </si>
  <si>
    <t>5 - 130</t>
  </si>
  <si>
    <t>Smelters with wet gas cleaning and acid plant</t>
  </si>
  <si>
    <t>1-100</t>
  </si>
  <si>
    <t>2-60</t>
  </si>
  <si>
    <t>1 - 30</t>
  </si>
  <si>
    <t>/without  co-incineration of waste</t>
  </si>
  <si>
    <t>/with co-incineration of waste</t>
  </si>
  <si>
    <t>0.004 – 0.5</t>
  </si>
  <si>
    <t>0.06 – 1</t>
  </si>
  <si>
    <t>10 - 200</t>
  </si>
  <si>
    <t>UNEP/AMAP (2012)</t>
  </si>
  <si>
    <t>kg</t>
  </si>
  <si>
    <t>1.3</t>
  </si>
  <si>
    <t>Extraction from whole ore (no retort use)</t>
  </si>
  <si>
    <t>Extraction from concentrate  (no retort use)</t>
  </si>
  <si>
    <t>Extraction from concentrate and with use of retorts and mercury recycling</t>
  </si>
  <si>
    <t>Universal maximum</t>
  </si>
  <si>
    <t>Country-specific threshold</t>
  </si>
  <si>
    <t>(threshold times population)</t>
  </si>
  <si>
    <t>Hg input, kg/y</t>
  </si>
  <si>
    <t>Safety factor</t>
  </si>
  <si>
    <t>(general:)</t>
  </si>
  <si>
    <t xml:space="preserve">SKIP - -NO DATA </t>
  </si>
  <si>
    <t>SKIP -no need</t>
  </si>
  <si>
    <t>(custom factors in red based on expert judgement)</t>
  </si>
  <si>
    <t>Resulting generic threshold/per capita</t>
  </si>
  <si>
    <t>Hg input, kg/(capita*y)</t>
  </si>
  <si>
    <t>User input</t>
  </si>
  <si>
    <t>User input within bounds?</t>
  </si>
  <si>
    <t>**</t>
  </si>
  <si>
    <t>instead of the results shown above for the same source sub-categories. See the sheet "Insert IL2 results" for details.</t>
  </si>
  <si>
    <t>Note: Data for some of these source sub-categories were entered in the sheet "Insert IL2 results". The calculations shown above for the same source sub-categories are overruled by the IL2 results, and the IL2 results are shown in all summary and chart sheets.</t>
  </si>
  <si>
    <t>http://www.iea.org/stats/docs/statistics_manual.pdf ; IEA/OECD,2005,P. 182 (Accessed January 2016)</t>
  </si>
  <si>
    <t>/Combustion of coal mix scenario (special for IL1): 1/3 bituminous, 1/3 sub-bituminous and 1/3 lignite</t>
  </si>
  <si>
    <t>Level 0: None</t>
  </si>
  <si>
    <t>Level 1: Particulate matter simple APC: ESP/PS/CYC</t>
  </si>
  <si>
    <t>Level 2: Particulate matter (FF)</t>
  </si>
  <si>
    <t>Level 3: Efficient APC: PM+SDA/wFGD</t>
  </si>
  <si>
    <t>Level 4: Very efficient APC: PM+FGD+SCR</t>
  </si>
  <si>
    <t>Level 5: Mercury specific filters</t>
  </si>
  <si>
    <t>Coal combustion in coal fired industrial boilers</t>
  </si>
  <si>
    <t>5.1.2.1</t>
  </si>
  <si>
    <t>5.1.2.2</t>
  </si>
  <si>
    <t>/Combustion in industrial boilers of coal mix scenario (special for IL1): 1/3 bituminous, 1/3 sub-bituminous and 1/3 lignite</t>
  </si>
  <si>
    <t>Power plants with cESP and FGD</t>
  </si>
  <si>
    <t>Smelter with no filters or only coarse, dry PM retention</t>
  </si>
  <si>
    <t>Smelters with wet gas cleaning</t>
  </si>
  <si>
    <t>Smelters with wet gas cleaning, acid plant and Hg specific filter</t>
  </si>
  <si>
    <t>IL2 Spreadsheet of UNEP Chemicals' Toolkit for identification and quantification of mercury releases</t>
  </si>
  <si>
    <t>IL2 spreadsheet of UNEP Chemicals' Toolkit for identification and quantification of mercury releases</t>
  </si>
  <si>
    <t>With no filters</t>
  </si>
  <si>
    <t>With filters an no filter dust recycling:</t>
  </si>
  <si>
    <t>Simple particle control (ESP / PS / FF)</t>
  </si>
  <si>
    <t>Optimized particle control (FF+SNCR / FF+WS / ESP+FGD / optimized FF)</t>
  </si>
  <si>
    <t>Efficient Hg pollution control (FF+DS / ESP+DS / ESP+WS / ESP+SNCR)</t>
  </si>
  <si>
    <t>Very efficient Hg pollution control (wetFGD+ACI / FF+scrubber+SNCR)</t>
  </si>
  <si>
    <t>With filters and filter dust recycling *2:</t>
  </si>
  <si>
    <t>Very efficient Hg pollution control (wetFGD+ACI/FF+scrubber+SNCR)</t>
  </si>
  <si>
    <t>Petroleum coke (pet coke)</t>
  </si>
  <si>
    <t>0.001-0.008</t>
  </si>
  <si>
    <t>g Hg/ t cement produced with this fuel</t>
  </si>
  <si>
    <t>Cement produced with this fuel as primary fuel, t/y</t>
  </si>
  <si>
    <t>Hard coal (anthrasite, bituminous or coking coal)</t>
  </si>
  <si>
    <t>0.006-0.05</t>
  </si>
  <si>
    <t>Lignite (brown coal)</t>
  </si>
  <si>
    <t>Fuel oil</t>
  </si>
  <si>
    <t>0.001-0.007</t>
  </si>
  <si>
    <t>Natural gas</t>
  </si>
  <si>
    <t>0.000000002-0.00000003</t>
  </si>
  <si>
    <t>Automatically calculated total of cement produced. Must equal cell I19.</t>
  </si>
  <si>
    <t>Kg Hg/y (incl. fossil fuel contributions)</t>
  </si>
  <si>
    <t>0.005-0.04</t>
  </si>
  <si>
    <t>0.008-0.08</t>
  </si>
  <si>
    <t>0.001-0.006</t>
  </si>
  <si>
    <t>Mercury specific absorbents (and downstream FF)</t>
  </si>
  <si>
    <t>t sludge incinerated/y (dry matter basis)</t>
  </si>
  <si>
    <t>Informal waste burning (open fire waste burning on landfills and informally)</t>
  </si>
  <si>
    <t>(Output scenario (a3) is not relevant as PUR is not considered a waste type to be collected separately)</t>
  </si>
  <si>
    <t>Other coal combustion (in IL1 considered 33/33/33% coal mix as for industrial boilers above)</t>
  </si>
  <si>
    <t>0.009-0.04</t>
  </si>
  <si>
    <t>0.0007-0.007</t>
  </si>
  <si>
    <t>- Fossil fuels used in production (in IL1, and equal mix of energy inputs from fossil fuels pet coal, hard coal, lignite, fuel oil and natural gas is assumed)</t>
  </si>
  <si>
    <t>Extraction from whole ore with retort use and mercury recycling</t>
  </si>
  <si>
    <t>Include Hg controls in estimation? (y/n)</t>
  </si>
  <si>
    <t>Hg unaccounted for under "Sector specific treatment/disposal" (a</t>
  </si>
  <si>
    <t>Hg unaccounted for as releases (a</t>
  </si>
  <si>
    <t>(a: These two possible presentation forms pertain to the way "unaccounted losses" is chosen to be presented - see the Toolkit report section. It is up to the users to decide which one of the release presentations they choose.</t>
  </si>
  <si>
    <t>t NaOH/ t Cl2</t>
  </si>
  <si>
    <t>European Commission, 2001b, p.7</t>
  </si>
  <si>
    <t>No emissions controls</t>
  </si>
  <si>
    <t>- Fossil fuels used in production (in IL1, and equal mix of energy inputs from fossil fuels pet coke, hard coal, lignite, fuel oil and natural gas is assumed)</t>
  </si>
  <si>
    <t>More than 1/3 (one third = 33%) of the mercury-added products waste is safely collected and treated separately</t>
  </si>
  <si>
    <t>Less than 1/3 (one third = 33%) of the mercury-added products waste is safely collected and treated separately</t>
  </si>
  <si>
    <t>Answer Y or N in cells B4 and E4 in the sheet 'Step5 - Waste treatment + recycling'</t>
  </si>
  <si>
    <t>See Step5 B4, E4</t>
  </si>
  <si>
    <t>Mid-range fossil fuel amounts per t cement produced</t>
  </si>
  <si>
    <t>Calculated fuel inputs</t>
  </si>
  <si>
    <t>t fuel/t cement</t>
  </si>
  <si>
    <t>t fuel/y</t>
  </si>
  <si>
    <t>m³ gas/t cement</t>
  </si>
  <si>
    <t>m³ gas/y</t>
  </si>
  <si>
    <t>Cement production, fossil fuel amounts calculations (a</t>
  </si>
  <si>
    <t>Cement production, fossil fuel Hg inputs and releases with default factors</t>
  </si>
  <si>
    <t>Calculated Hg output from fossil fuels, Kg/y</t>
  </si>
  <si>
    <t>Calculat. Hg input from fossils, kg/y</t>
  </si>
  <si>
    <t>TOTAL of quantified releases *1*2*3*4*5</t>
  </si>
  <si>
    <t>Cement production*5</t>
  </si>
  <si>
    <t>TOTAL of quantified releases*1*2*3</t>
  </si>
  <si>
    <t>Cement production*3</t>
  </si>
  <si>
    <t>TOTAL of quantified inputs*1*2*3*4</t>
  </si>
  <si>
    <t>Cement production*4</t>
  </si>
  <si>
    <t>Other materials production*6</t>
  </si>
  <si>
    <t>You have erased a link here. To re-establish it enter: =B23</t>
  </si>
  <si>
    <t>/From whole ore /with retort use and mercury recycling</t>
  </si>
  <si>
    <t>/From concentrate /with retort use and mercury recycling</t>
  </si>
  <si>
    <t>4.25</t>
  </si>
  <si>
    <t>0.55</t>
  </si>
  <si>
    <t>INVENTAIRE DU MERCURE POUR (VEUILLEZ ENTRER LE NOM DU PAYS) :</t>
  </si>
  <si>
    <t>Données générales sur la population</t>
  </si>
  <si>
    <t>Population (veuillez sélectionner le pays ci-dessous pour trouver la population)</t>
  </si>
  <si>
    <t>Année et référence pour les données sur la population</t>
  </si>
  <si>
    <t>PIB (produit intérieur brut)</t>
  </si>
  <si>
    <t>Année et référence pour les données liées au PIB</t>
  </si>
  <si>
    <t>Secteurs principaux dans l'économie du pays (liste)</t>
  </si>
  <si>
    <t>Point de contact responsable de l'inventaire</t>
  </si>
  <si>
    <t>Nom complet de l'institution</t>
  </si>
  <si>
    <t>Interlocuteur</t>
  </si>
  <si>
    <t>Adresse de courriel</t>
  </si>
  <si>
    <t>Numéro de téléphone</t>
  </si>
  <si>
    <t>Numéro de fax</t>
  </si>
  <si>
    <t>Site Internet de l'institution</t>
  </si>
  <si>
    <t>DONNÉES DE CONTEXTE REQUISES PAR DÉFAUT POUR LES CALCULS ET LE TEST DU RAYON D'ACTION</t>
  </si>
  <si>
    <t>Nombre de personnel dentaire pour 1000 habitants</t>
  </si>
  <si>
    <t>Taux d'électrification (%  de la population ayant accès à l'électricité)</t>
  </si>
  <si>
    <t>Notes : Voir l'annexe 1 du guide de l'inventaire niveau 1 sur le contexte des nombres</t>
  </si>
  <si>
    <t>Veuillez vous référer aux sections pertinentes du rapport de référence de la boîte à outils</t>
  </si>
  <si>
    <t>car cela ajuste les estimations calculées en fonction des conditions. Toutefois, vous devez AUSSI entrer la population du territoire MANUELLEMENT dans la cellule B6 ci-dessus (veuillez réécrire le numéro attribué automatiquement).</t>
  </si>
  <si>
    <t>Veuillez aussi noter que : les fiches de calculs et les cahiers d'exercices sont protégés par mot de passe pour éviter des dommages non-intentionnel aux calculs.</t>
  </si>
  <si>
    <t>Avertissement :</t>
  </si>
  <si>
    <t>Les termes employés et la présentation des matériaux dans la présente publication n’impliquent pas l’expression d’une opinion quelconque de la part des Nations Unies ou du PNUE concernant le statut juridique d’un pays, d’un territoire ou d’une ville ou d’une zone ou de leurs autorités ou concernant la définition des limites ou frontières. Les opinions exprimées dans le document ne reflètent pas
nécessairement les points de vue du PNUE, de même la citation de noms ou de processus commerciaux ne constituent pas une promotion.</t>
  </si>
  <si>
    <t>La présente publication est conçue pour être un guide. L’information contenue dans la publication est considérée comme fiable, cependant, le PNUE dégage toute responsabilité par rapport aux imprécisions ou omissions éventuelles, ainsi qu’aux conséquences qui pourraient en découler. Ni le PNUE, ni aucune des personnes impliquées dans la préparation de cette publication ne pourront être tenus responsables de blessures pertes, dommages ou préjudice de quelque nature que ce soit causés à des personnes qui auraient agi sur la base de la compréhension qu’elles auraient eu des informations contenues dans la présente publication.</t>
  </si>
  <si>
    <t>Version :</t>
  </si>
  <si>
    <t>Inventaires pour des zones autres qu'un pays : Dans le cas où vous faites cet inventaire pour un territoire autre qu'un pays (une ville, une région, etc.), vous devriez sélectionner un pays pertinent vis-à-vis des conditions qui prévalent sur le territoire,</t>
  </si>
  <si>
    <t>Janvier, 2017</t>
  </si>
  <si>
    <t>Présent ?</t>
  </si>
  <si>
    <t>O</t>
  </si>
  <si>
    <t>Plus des 2/3 (deux tiers ; 67%) des déchets généraux sont collectés et déposés sur des décharges à épandage contrôlé ou incinérés avec une réduction de la pollution</t>
  </si>
  <si>
    <t>Moins des 2/3 (deux tiers ; 67%) des déchets généraux sont collectés et déposés sur des décharges à épandage contrôlé ou incinérés avec une réduction de la pollution</t>
  </si>
  <si>
    <t>Répondez O ou N dans la cellule B4 de la feuille "Etape 5- Traitement des déchets + recyclage"</t>
  </si>
  <si>
    <t>Voir Etape 5 cellule F4</t>
  </si>
  <si>
    <t>CONSOMMATION D'ENERGIE ET PRODUCTION DE CARBURANT</t>
  </si>
  <si>
    <t>Catégorie de sources</t>
  </si>
  <si>
    <t>Source présente ?</t>
  </si>
  <si>
    <t>Taux d'activité</t>
  </si>
  <si>
    <t>Consommation énergétique</t>
  </si>
  <si>
    <t>O/N/?</t>
  </si>
  <si>
    <t>Consommation/production annuelle</t>
  </si>
  <si>
    <t>Unité</t>
  </si>
  <si>
    <t>Apports de Hg estimés, Kg Hg/an</t>
  </si>
  <si>
    <t>Estimation des rejets de mercure, estimations standard, Kg Hg/an</t>
  </si>
  <si>
    <t>Estimation standard</t>
  </si>
  <si>
    <t>Eau</t>
  </si>
  <si>
    <t>Sol</t>
  </si>
  <si>
    <t>Produits dérivés et impuretés</t>
  </si>
  <si>
    <t>Déchets généraux</t>
  </si>
  <si>
    <t>Traitement/élimination des déchets par secteur</t>
  </si>
  <si>
    <t>Combustion de charbon issue de centrales électriques</t>
  </si>
  <si>
    <t>Charbon brûlé, t/an</t>
  </si>
  <si>
    <t>Autres utilisations de charbon</t>
  </si>
  <si>
    <t>Charbon utilisé, t/an</t>
  </si>
  <si>
    <t>Combustion/utilisation de diesel, gasoil, pétrole, kérosène, GPL et d'autres distillats légers à moyens</t>
  </si>
  <si>
    <t>Combustion/utilisation du coke de pétrole et de pétrole brut lourd</t>
  </si>
  <si>
    <t>Produits pétroliers brûlés, t/an</t>
  </si>
  <si>
    <t>Utilisation de gaz naturel brut ou purifié au préalable</t>
  </si>
  <si>
    <t>Utilisation de gaz riche (qualité pour les consommateurs)</t>
  </si>
  <si>
    <t>Production électrique et thermique par combustion de biomasse</t>
  </si>
  <si>
    <t>Combustion de charbon de bois</t>
  </si>
  <si>
    <t>Gaz utilisé, Nm³/an</t>
  </si>
  <si>
    <t>Charbon de bois brûlé, t/an</t>
  </si>
  <si>
    <t>Production de carburant</t>
  </si>
  <si>
    <t>Extraction de pétrole</t>
  </si>
  <si>
    <t>Raffinage du pétrole</t>
  </si>
  <si>
    <t>Extraction et traitement du gaz naturel</t>
  </si>
  <si>
    <t>Pétrole brut raffiné, t/an</t>
  </si>
  <si>
    <t>Pétrole brut produit, t/an</t>
  </si>
  <si>
    <t>Gaz produit, Nm³/an</t>
  </si>
  <si>
    <t>The Estimated Hg input (or equivalent inserted IL2 results) marked in red colour is very high compared to previous observations. Data may be correct, but please confirm your activity rate data (or inserted IL2 data).</t>
  </si>
  <si>
    <t>Production de métaux primaires</t>
  </si>
  <si>
    <t>Extraction et transformation initiale du mercure (primaire)</t>
  </si>
  <si>
    <t>Production de zinc à partir de concentrés</t>
  </si>
  <si>
    <t>Production de cuivre à partir de concentrés</t>
  </si>
  <si>
    <t>Production de plomb à partir de concentrés</t>
  </si>
  <si>
    <t>Extraction de l'or par des méthodes autres que l'amalgamation au mercure</t>
  </si>
  <si>
    <t>Production d'alumine à partir de la bauxite (production d'aluminium)</t>
  </si>
  <si>
    <t>Production de métal ferreux de première fusion (production de fonte)</t>
  </si>
  <si>
    <t>Autres productions de matériaux</t>
  </si>
  <si>
    <t>Production de ciment</t>
  </si>
  <si>
    <t>Production de pulpe et de papier</t>
  </si>
  <si>
    <t>Biomasse utilisée pour la production, t/an</t>
  </si>
  <si>
    <t>Ciment produit, t/an</t>
  </si>
  <si>
    <t>Or produit, kg/an</t>
  </si>
  <si>
    <t>Minerai d'or utilisé, t/an</t>
  </si>
  <si>
    <t>Bauxite transformée, t/an</t>
  </si>
  <si>
    <t>Fonte brute produite, t/an</t>
  </si>
  <si>
    <t>Concentré utilisé, t/an</t>
  </si>
  <si>
    <t>PRODUCTION ET TRANSFORMATION DOMESTIQUE AVEC UTILISATION INTENTIONNELLE DU MERCURE</t>
  </si>
  <si>
    <t>Production de produits chimiques</t>
  </si>
  <si>
    <t>Production de chlore et de soude caustique avec cellules à mercure</t>
  </si>
  <si>
    <t>Production de CVM avec catalyseur au mercure</t>
  </si>
  <si>
    <t>Production d'acétaldéhyde avec catalyseur au mercure</t>
  </si>
  <si>
    <t>Production de produits avec des teneurs en mercure</t>
  </si>
  <si>
    <t>Thermomètres au mercure (médical, air, laboratoire, industriel etc.)</t>
  </si>
  <si>
    <t>Commutateurs et relais électriques avec du mercure</t>
  </si>
  <si>
    <t>Sources de lumière au mercure (fluorescent, compact, autres : voir guide)</t>
  </si>
  <si>
    <t>Piles au mercure</t>
  </si>
  <si>
    <t>Manomètres et jauges au mercure</t>
  </si>
  <si>
    <t>Biocides et pesticides au mercure</t>
  </si>
  <si>
    <t>Peintures au mercure</t>
  </si>
  <si>
    <t>Crèmes et savons éclaircissants pour la peau contenant du mercure</t>
  </si>
  <si>
    <t>Cl2 produit, t/an</t>
  </si>
  <si>
    <t>CVM produit, t/an</t>
  </si>
  <si>
    <t>Acétaldéhyde produit, t/an</t>
  </si>
  <si>
    <t>Mercure utilisé pour la production, kg/an</t>
  </si>
  <si>
    <t>ORGANISATION DE LA GESTION DES DÉCHETS GÉNÉRAUX DANS LE PAYS</t>
  </si>
  <si>
    <t>Quelle quantité de déchets est collectée et traitée en conditions contrôlées ?</t>
  </si>
  <si>
    <t>Y-a-t'il plus de 2/3 (deux tiers ; 67%) des déchets généraux qui sont collectés et déposés sur des sites de dépôt contrôlés ou bien incinérés de façon à réduire la pollution ?</t>
  </si>
  <si>
    <t>TRAITEMENT ET RECYCLAGE DES DÉCHETS</t>
  </si>
  <si>
    <t>Production de métal recyclé</t>
  </si>
  <si>
    <t>Production de mercure recyclé ("production secondaire”)</t>
  </si>
  <si>
    <t>Production de métaux ferreux recyclés (fer et acier)</t>
  </si>
  <si>
    <t>Incinération des déchets</t>
  </si>
  <si>
    <t>Incinération des déchets municipaux/généraux</t>
  </si>
  <si>
    <t>Mercure produit, kg/an</t>
  </si>
  <si>
    <t>Nombre de véhicules recyclés/an</t>
  </si>
  <si>
    <t xml:space="preserve">Déchets incinérés, t/an </t>
  </si>
  <si>
    <t xml:space="preserve">Déchets brûlés, t/an </t>
  </si>
  <si>
    <t>Déchets ensevelis, t/an</t>
  </si>
  <si>
    <t>Déchets jetés, t/an</t>
  </si>
  <si>
    <t>Eaux usées, m3/an</t>
  </si>
  <si>
    <t>Incinération des déchets dangereux</t>
  </si>
  <si>
    <t>Incinération et brûlage à l'air libre des déchets médicaux</t>
  </si>
  <si>
    <t>Incinération des boues d'épuration</t>
  </si>
  <si>
    <t>Brûlage des déchets à l'air libre (sur des sites de décharge ou de manière informelle)</t>
  </si>
  <si>
    <t>Dépôt/décharge de déchets et traitement des eaux usées</t>
  </si>
  <si>
    <t>Décharges/dépôts contôlés</t>
  </si>
  <si>
    <t>Dépôt informel de déchets généraux*1</t>
  </si>
  <si>
    <t>Circuit d'évacuation/traitement des eaux usées</t>
  </si>
  <si>
    <t>CONSOMMATION GÉNÉRALE DU MERCURE DANS LES PRODUITS, TELS QUE LE MÉTAL DE MERCURE ET DES SUBSTANCES CONTENANT DU MERCURE</t>
  </si>
  <si>
    <t>Utilisation et élimination de produits avec des teneurs en mercure</t>
  </si>
  <si>
    <t>Amalgames dentaires (obturation "argent")</t>
  </si>
  <si>
    <t>Préparations des obturations dans les cliniques dentaires</t>
  </si>
  <si>
    <t>Utilisation - à partir des obturations déjà dans la bouche</t>
  </si>
  <si>
    <t>Elimination (dents perdues ou extraites)</t>
  </si>
  <si>
    <t>Consommation annuelle/population</t>
  </si>
  <si>
    <t>Traitement/ élimination des déchets par secteur</t>
  </si>
  <si>
    <t>NOTE : Sélection concernant la gestion des déchets :</t>
  </si>
  <si>
    <t>Nomdre d'habitants</t>
  </si>
  <si>
    <t>Nombre de personnel dentaire pour 1000 hab.</t>
  </si>
  <si>
    <t>Thermomètres</t>
  </si>
  <si>
    <t>Thermomètres médicaux au Hg</t>
  </si>
  <si>
    <t>Autres thermomètres Hg en verre (air, laboratoire, laiterie, etc.)</t>
  </si>
  <si>
    <t>Thermomètres au Hg de commandes de moteur et autres grands thermomètres Hg industriels/specialisés</t>
  </si>
  <si>
    <t>Commutateurs et relais électriques contenant du mercure</t>
  </si>
  <si>
    <t>Sources de lumière au mercure</t>
  </si>
  <si>
    <t>Tubes fluorescents (à double extrémité)</t>
  </si>
  <si>
    <t>Lampe compacte fluorescente (LFC extémité simple)</t>
  </si>
  <si>
    <t>Autres sources de lumière contenant Hg (voir guide)</t>
  </si>
  <si>
    <t>Piles contenant du mercure</t>
  </si>
  <si>
    <t>Oxyde de mercure (piles bouton et autres tailles) ; aussi appelées piles mercure-zinc</t>
  </si>
  <si>
    <t>Autres piles bouton (zinc-air, pile bouton alcaline, silver-oxide)</t>
  </si>
  <si>
    <t>Autres piles contenant du mercure (plain cylindrical alkaline, permanganate, etc., see guideline)</t>
  </si>
  <si>
    <t>Polyuréthane produit (PU, PUR) avec un catalyseur au mercure</t>
  </si>
  <si>
    <t>Peintures avec des conservateurs au mercure</t>
  </si>
  <si>
    <t>Appareil médical servant à mesurer la pression sanguine (tensiomètre au mercure)</t>
  </si>
  <si>
    <t>Autres manomètres et jauges contenant du mercure</t>
  </si>
  <si>
    <t>Produits chimiques de laboratoire</t>
  </si>
  <si>
    <t>Autres équipements de laboratoire et médical contenant du mercure</t>
  </si>
  <si>
    <t>articles vendus/an</t>
  </si>
  <si>
    <t>Taux d'électrification, %</t>
  </si>
  <si>
    <t>Piles vendues t/an</t>
  </si>
  <si>
    <t>Peinture vendue, t/an</t>
  </si>
  <si>
    <t>Crèmes et savons vendus, t/an</t>
  </si>
  <si>
    <t>CRÉMATORIUMS ET CIMETIÈRES</t>
  </si>
  <si>
    <t>Crématoriums and cimetières</t>
  </si>
  <si>
    <t>Crématoriums</t>
  </si>
  <si>
    <t>Cimetières</t>
  </si>
  <si>
    <t>Entrées de Hg estimées, Kg Hg/an</t>
  </si>
  <si>
    <t>Nombre de décès annuel</t>
  </si>
  <si>
    <t>Corps incinérés/an</t>
  </si>
  <si>
    <t>Corps ensevelis/an</t>
  </si>
  <si>
    <t>Autres sources de rejet de mercure non quantifiées au niveau 1 de l'inventaire</t>
  </si>
  <si>
    <t>Combustion de schistes bitumineux</t>
  </si>
  <si>
    <t>Combustion de tourbe</t>
  </si>
  <si>
    <t>Production d'électricité géothermique</t>
  </si>
  <si>
    <t>Production d'autres métaux recyclés</t>
  </si>
  <si>
    <t>Production de chaux</t>
  </si>
  <si>
    <t>Production de matériaux pierreux légers (billes d'argile expansées à des fins de construction)</t>
  </si>
  <si>
    <t>Production d'autres produits chimiques (autre que le chlore et l'hydroxyde de sodium/soude) in usines de production de chlore et de soude par la technologie d'électrolyse à mercure</t>
  </si>
  <si>
    <t>Production de polyuréthane avec des catalyseurs à mercure</t>
  </si>
  <si>
    <t>Désinfection des semences avec des produits chimiques contenant du mercure</t>
  </si>
  <si>
    <t>Semi-conducteurs à détection infra rouge</t>
  </si>
  <si>
    <t>Sondes de Bougie et sonde de Cantor (médical)</t>
  </si>
  <si>
    <t>Utilisations à des fins éducatives</t>
  </si>
  <si>
    <t>Gyroscopes contenant du mercure</t>
  </si>
  <si>
    <t>Pompe à vide contenant du mercure</t>
  </si>
  <si>
    <t>Utilisation du mercure dans les rituels religieux (amulettes et autres utilisations)</t>
  </si>
  <si>
    <t>Utilisation du mercure en médecine traditionelle (ayurvédique et autres) et en homéopathie</t>
  </si>
  <si>
    <t>Utilisation du mercure comme réfrigérant dans certains systèmes de réfrigération</t>
  </si>
  <si>
    <t>Phares (mise à niveau des lumières de navigation)</t>
  </si>
  <si>
    <t>Mercure dans les roulements de parties mécaniques rotatives comme par exemple dans les vieilles installations de traitement des eaux usées</t>
  </si>
  <si>
    <t>Tannage</t>
  </si>
  <si>
    <t>Produits pour le brunissage et le décapage de l'acier</t>
  </si>
  <si>
    <t>Certains types de papier pour les photographies en couleurs</t>
  </si>
  <si>
    <t>Atténuateurs de recul pour les fusils</t>
  </si>
  <si>
    <t>Explosifs (fulminate de mercure a.o.)</t>
  </si>
  <si>
    <t>Feux d'artifice</t>
  </si>
  <si>
    <t>Gadgets de bureau</t>
  </si>
  <si>
    <t>IL2 indi-cateur</t>
  </si>
  <si>
    <t>Catégorie de sources no.</t>
  </si>
  <si>
    <t>Entrez les données de Hg calculées en Kg Hg/an</t>
  </si>
  <si>
    <t>Insérez des notes (veuillez aussi documenter en détails dans le rapport d'inventaire):</t>
  </si>
  <si>
    <t>CONVERSION D'UNITÉS</t>
  </si>
  <si>
    <t>À N'UTILISER SEULEMENT QUE SI LES TAUX D'ACTIVITÉ NE PEUVENT ÊTRE OBTENUS SELON L'UNITÉ PRESCRITE (ET SI AUCUN FACTEUR DE CONVERSION DOCUMENTÉ ET SPÉCIFIQUE AU PAYS N'EST DISPONIBLE).</t>
  </si>
  <si>
    <t>Afin d’aider l'utilisateur, la boîte à outils fournit ci-dessous quelques exemples de taux de conversion avec la possibilité les calculer directement ici.</t>
  </si>
  <si>
    <t>Cette liste n'est pas complète et les taux de conversion pour d'autres types de source doivent être trouvés ailleurs, par exemple sur Internet.</t>
  </si>
  <si>
    <t>Ces taux de conversion sont très approximatifs, étant donné que les paramètres impliqués peuvent considérablement varier.</t>
  </si>
  <si>
    <t>Type de source</t>
  </si>
  <si>
    <t>Extraction et transformation du gaz naturel</t>
  </si>
  <si>
    <t>Extraction d'or par des méthodes autres que l'amalgamation au mercure</t>
  </si>
  <si>
    <t>Utilisation de gaz naturel brut ou purifié</t>
  </si>
  <si>
    <t>Thermomètres médicaux Hg</t>
  </si>
  <si>
    <r>
      <t>Cl</t>
    </r>
    <r>
      <rPr>
        <vertAlign val="subscript"/>
        <sz val="10"/>
        <rFont val="Arial"/>
        <family val="2"/>
      </rPr>
      <t>2</t>
    </r>
    <r>
      <rPr>
        <sz val="10"/>
        <rFont val="Arial"/>
        <family val="2"/>
      </rPr>
      <t xml:space="preserve"> produit, t/an </t>
    </r>
  </si>
  <si>
    <t xml:space="preserve">NaOH produit, t/an </t>
  </si>
  <si>
    <t>Estimations grossières des moyennes basées sur les statistiques d'échange commerciaux</t>
  </si>
  <si>
    <t>Estimations grossières de moyennes basées sur des données de produits disponibles sur Internet</t>
  </si>
  <si>
    <t>Estimations grossières de moyennes basées sur des données de produits disponibles sur Osram.com</t>
  </si>
  <si>
    <t>Entrez des données de taux d'activité alternatives</t>
  </si>
  <si>
    <t>Unité pour d'autres taux d'activité (doit exactement être celle-ci)</t>
  </si>
  <si>
    <t>Taux d'activité calculés à partir de la boîte à outils (copier dans les cellules appropriées)</t>
  </si>
  <si>
    <t>Unité du taux d'activité de la boîte à outils</t>
  </si>
  <si>
    <t>Facteur de conversion utilisé</t>
  </si>
  <si>
    <t>Unité du facteur de conversion</t>
  </si>
  <si>
    <t>Références et remarques</t>
  </si>
  <si>
    <t>INVENTAIRE NIVEAU 1 - SOMMAIRE EXECUTIF</t>
  </si>
  <si>
    <t>Totaux rejetés *3*4*5</t>
  </si>
  <si>
    <t>Pourcentage des rejets totaux *3*4</t>
  </si>
  <si>
    <t>*1 : Pour éviter la double comptabilisation d'apports de mercure issus de produits fabriqués localement et vendus sur le marché local (y compris le pétrole et le gaz),</t>
  </si>
  <si>
    <t>seulement la partie des apports de mercure rejetés lors de la production est comptabilisée dans les apports TOTAUX</t>
  </si>
  <si>
    <t>*2 : Pour éviter la double comptabilisation d'apports de mercure des déchets et des produits dans les apports TOTAUX,</t>
  </si>
  <si>
    <t>seulement 10 % de l'apport de mercure par l'incinération, le dépôt et la décharge informelle de déchets sont comptabilisés dans les apports TOTAUX de mercure. Ces 10 % représentent approximativement l'apport de mercure</t>
  </si>
  <si>
    <t>des déchets à partir de matériaux qui n'ont pas été quantifiés individuellement dans l’inventaire-Niveau 1 de cette boîte à outils. Voir l'annexe 1 du guide de l’inventaire -Niveau 1 pour plus d'explications.</t>
  </si>
  <si>
    <t>*3 : Les quantités estimées incluent le mercure dans les produits qui a aussi été comptabilisé dans chaque catégorie de produit.</t>
  </si>
  <si>
    <t>Pour éviter la double comptabilisation, les rejets dans le sol provenant de la décharge informelle de déchets généraux ont été soustraits des TOTAUX.</t>
  </si>
  <si>
    <t>*4 : Les estimations des apports et rejets dans l’eau comprennent les quantités de mercure qui ont aussi été comptabilisées dans chaque catégorie de source.</t>
  </si>
  <si>
    <t>*5 : Les apports totaux ne sont pas forcément égaux aux rejets totaux à cause des corrections visant à éviter la double comptabilisation (voir notes*1-*3) et à cause du fait que du mercure se retrouve</t>
  </si>
  <si>
    <t>dans des produits/métaux qui ne sont pas vendus dans le même pays ou la même année</t>
  </si>
  <si>
    <t>Pour éviter la double comptabilisation, les apports et les rejets dans l’eau provenant de circuit d'évacuation/traitement des eaux usées ont été soustraits systématiquement des TOTAUX.</t>
  </si>
  <si>
    <t>GRAPHIQUES STANDARDS A UTILISER DANS LE RAPPORT D'INVENTAIRE, VOIR PLUS BAS</t>
  </si>
  <si>
    <t>VEUILLEZ NOTER QUE CE SOMMAIRE DES GRAPHIQUES ET TABLEAUX - INVENTAIRE NIVEAU 1- DOIT ÊTRE UTILISÉ POUR LES GRAPHIQUES (CELA A ÉTÉ ELABORE AFIN D'EVITER LA DOUBLE COMPTABILISATION DES CONTRIBUTIONS DE DÉCHETS; VOIR LES NOTES)</t>
  </si>
  <si>
    <t>Présence de la source ("O/N/?") : doit être rempli pour toutes les sources afin que les graphiques apparaissent correctement</t>
  </si>
  <si>
    <t>CE TABLEAU NE DOIT PAS FIGURER DANS LE RAPPORT</t>
  </si>
  <si>
    <t>Combustion du charbon et autres utilisations du charbon</t>
  </si>
  <si>
    <t>Combustion d'autres combustibles fossiles et de biomasse*4</t>
  </si>
  <si>
    <t>production d'huile et de gaz</t>
  </si>
  <si>
    <t>Production primaire de métal (à l'exception de la production d'or par amalgamation)</t>
  </si>
  <si>
    <t>Extraction de l'or par amalgamation au mercure</t>
  </si>
  <si>
    <t>Autres productions de matériaux*5</t>
  </si>
  <si>
    <t>Production d'autres produits chimiques et polymères*6</t>
  </si>
  <si>
    <t>Utilisation et élimination d'amalgames dentaires</t>
  </si>
  <si>
    <t>Utilisation et élimination d'autres produits*7</t>
  </si>
  <si>
    <t>Production de métaux recyclés</t>
  </si>
  <si>
    <t>Incinération et brûlage à l'air libre de déchets*1</t>
  </si>
  <si>
    <t>Dépôt de déchets*1</t>
  </si>
  <si>
    <t>Dépôt informel de déchets généraux *1*2</t>
  </si>
  <si>
    <t>Circuit d'évacuation/traitement des eaux usées *3</t>
  </si>
  <si>
    <t>Crématoriums et cimetières</t>
  </si>
  <si>
    <t>TOTAUX (arrondis) *1*2*3</t>
  </si>
  <si>
    <t>INVENTAIRE NIVEAU 1 - SOURCES DE MERCURE IDENTIFIEES</t>
  </si>
  <si>
    <t>INVENTAIRE NIVEAU 1 - SOMMAIRE DES APPORTS DE MERCURE</t>
  </si>
  <si>
    <t>Estimation des apports de mercure, Kg Hg/a</t>
  </si>
  <si>
    <t>Estimations standard</t>
  </si>
  <si>
    <t>*1 : Pour éviter la double comptabilisation d'apports de mercure des déchets et des produits dans les apports TOTAUX, seulement 10 % de l'apport de mercure par l'incinération, le dépôt et la décharge informelle de déchets sont comptabilisés dans les apports totaux de mercure</t>
  </si>
  <si>
    <t>Ces 10 % représentent approximativement l'apport de mercure des déchets à partir de matériaux qui n'ont pas été quantifiés individuellement dans l’inventaire-Niveau 1 de cette boîte à outils.</t>
  </si>
  <si>
    <t>Voir l'annexe 1 du guide de l’inventaire -Niveau 1 pour plus d'explications.</t>
  </si>
  <si>
    <t>*2 : Les quantités estimées comprennent la quantité de mercure dans les produits qui a aussi été comptabilisée dans chaque catégorie de produit.</t>
  </si>
  <si>
    <t>*3 : Les estimations des apports et rejets dans l’eau comprennent les quantités de mercure qui ont aussi été comptabilisées dans chaque catégorie de source.</t>
  </si>
  <si>
    <t>Pour éviter la double comptabilisation, les apports, et les rejets dans l’eau provenant de, circuit d'évacuation/traitement des eaux usées ont été soustraits systématiquement des TOTAUX.</t>
  </si>
  <si>
    <t>INVENTAIRE NIVEAU 1 - SOMMAIRE DES REJETS</t>
  </si>
  <si>
    <t>Estimation des rejets de mercure, estimations standard, Kg Hg/a</t>
  </si>
  <si>
    <t>*1 : Les quantités estimées comprennent la quantité de mercure dans les produits qui a aussi été comptabilisée dans chaque catégorie de produit.</t>
  </si>
  <si>
    <t>*2 : Les estimations des apports et rejets dans l’eau comprennent les quantités de mercure qui ont aussi été comptabilisées dans chaque catégorie de source.</t>
  </si>
  <si>
    <t>Apports de Hg estimés, Kg Hg/a</t>
  </si>
  <si>
    <t>INVENTAIRE NIVEAU 1 - SOMMAIRE GÉNÉRAL</t>
  </si>
  <si>
    <t>*4 : Pour éviter la double comptabilisation d'apports de mercure issus de produits localement produits et vendus sur le marché local (y compris le pétrole et le gaz), seulement la partie des apports de mercure rejetés lors de la production est comptabilisée dans les apports TOTAUX.</t>
  </si>
  <si>
    <t>Les données apparaissant en vert, s’il y en a, ont été saisi dans l’onglet "Insert IL2 résultats". Ces données remplacent les résultats IL1 calculés pour les mêmes sous-catégories de sources, et les données IL2 sont présentées dans tous les onglets de sommaires et graphiques.</t>
  </si>
  <si>
    <t>Voir résultats IL2 saisis dans l’onglet "Insert IL2 résultats".</t>
  </si>
  <si>
    <t>Source présente</t>
  </si>
  <si>
    <t>Production/élimination annuelle des déchets</t>
  </si>
  <si>
    <t xml:space="preserve">Boîte à outils d'ONU Environnement pour l'identification et la quantification des rejets de mercure - Feuille de calcul pour l'inventaire niveau 1 </t>
  </si>
  <si>
    <t>Chaudières industrielles alimentées au charbon</t>
  </si>
  <si>
    <t>Inclure les contrôles Hg dans l'estimation? (O/N)</t>
  </si>
  <si>
    <t>Cliquez ici pour sélectionner le pays</t>
  </si>
  <si>
    <t xml:space="preserve">La version française de la feuille de calcul a été mise à jour par Eloïse O'Carroll et Juha Ronkainen, en améliorant la traduction de 2013 par l'Organisation des Nations Unies pour le Développement Industriel (ONUDI).  </t>
  </si>
  <si>
    <t>L'apport estimé de Hg (ou des résultats équivalents du niveau 2) marqués en rouge est très élevé par rapport aux observations précédentes. Les données peuvent être correctes mais veuillez confirmer vos données de taux d'activité.</t>
  </si>
  <si>
    <t>Options pertinentes de réduction de pollution (guide: clickez sur les cellules blanches)</t>
  </si>
  <si>
    <t>Entrez le pourcentage du taux d'activité total par type:</t>
  </si>
  <si>
    <t>0: Aucun filtre utilisé</t>
  </si>
  <si>
    <t>Aucun filtre utilisé</t>
  </si>
  <si>
    <t xml:space="preserve">Aucun filtre utilisé </t>
  </si>
  <si>
    <t>1: Filtres à particules simples</t>
  </si>
  <si>
    <t xml:space="preserve">2: Filtres en tissu (FF) </t>
  </si>
  <si>
    <t>4: APC très efficace</t>
  </si>
  <si>
    <t>3: APC efficace</t>
  </si>
  <si>
    <t>Erreur: la somme des  % ne peut dépasser 100</t>
  </si>
  <si>
    <t>5: Moyens de contrôles spécifiques au mercure</t>
  </si>
  <si>
    <t>Précipitateur électrostatique (ESP) ou épurateur</t>
  </si>
  <si>
    <t>cESP et FGD</t>
  </si>
  <si>
    <t>Sans élimination du mercure</t>
  </si>
  <si>
    <t>Avec élimination du mercure</t>
  </si>
  <si>
    <t>PRODUCTION DOMESTIQUE DE MÉTAUX ET MATIÈRES PREMIÈRES</t>
  </si>
  <si>
    <t>Mercure produit, t/an</t>
  </si>
  <si>
    <t>Sans filtre ou avec seulement une rétension approximative des PM sèches</t>
  </si>
  <si>
    <t>Purification humide des gaz</t>
  </si>
  <si>
    <t>Purification humide des gaz et production d'acide</t>
  </si>
  <si>
    <t>Purification humide des gaz, production d'acide et filtre à mercure</t>
  </si>
  <si>
    <t>Pas de cornue utilisée</t>
  </si>
  <si>
    <t>Utilisation de cornue</t>
  </si>
  <si>
    <t>1) AVEC DECHETS UTILISES comme fuel (&gt;3% de l'énergie); options de réduction de la pollution</t>
  </si>
  <si>
    <t>2) AUCUN/PEU DE DECHETS utilisé comme fuel; options de réductions de la pollution</t>
  </si>
  <si>
    <t>Pas de filtre</t>
  </si>
  <si>
    <t>Contrôle simple des particules (ESP / PS / FF)</t>
  </si>
  <si>
    <t>Contôle des particules optimisé (FF+SNCR / FF+WS / ESP+FGD / FF optimisé)</t>
  </si>
  <si>
    <t>Contrôle de la pollution de l'atmosphère efficace (FF+DS / ESP+DS / ESP+WS / ESP+SNCR)</t>
  </si>
  <si>
    <t>Contrôle de la pollution de Hg très efficace (humideFGD+ACI / FF+épurateur+SNCR)</t>
  </si>
  <si>
    <t>Contrôle des particules avec ESP général, ou PS</t>
  </si>
  <si>
    <t>NB:</t>
  </si>
  <si>
    <t>Plus d'un tiers (33%) des déchets des  produits contenant du mercure sont collectés et traités séparément?</t>
  </si>
  <si>
    <t>Moins d'un tiers (33%) des déchets des  produits contenant du mercure sont collectés et traités séparément?</t>
  </si>
  <si>
    <t>b) Est-ce que plus d'un tiers (33%) des déchets des  produits contenant du mercure sont collectés et traités séparément?</t>
  </si>
  <si>
    <t>Répondez à ces deux questions pour que les rejets de mercure liés au produit soient calculés</t>
  </si>
  <si>
    <t xml:space="preserve">NB: </t>
  </si>
  <si>
    <t>ERREUR: Veuillez répondre à ces deux questions. La combinaison: « non » dans la cellule B4 et « oui » dans la cellule E4 n’est pas valide.</t>
  </si>
  <si>
    <t>Pas d'appareil de réduction des émissions</t>
  </si>
  <si>
    <t>PM réduc, ESP simple, ou équivalent</t>
  </si>
  <si>
    <t>Contrôle des gaz acides avec du calcaire (ou absorbant de gaz acides similaire) et rétention FF ou ESP PM en aval très efficicace</t>
  </si>
  <si>
    <t>Absorbants spécifiques au mercure et filtre en tissu (FF) en aval</t>
  </si>
  <si>
    <t>Aucun traitement</t>
  </si>
  <si>
    <t>Traitement mécanique uniquement</t>
  </si>
  <si>
    <t>Traitement mécanique et biologique (boue activée); pas d’épandage des boues sur le sol</t>
  </si>
  <si>
    <t>Traitement mécanique et biologique
(boue activée) ; 40% utilisée pour
l’épandage de boue sur le sol</t>
  </si>
  <si>
    <t>Le test du facteur d'apport de déchets par défaut (voir l'app. 4 du guide IL1. 4; requiert que tous les résultats pertinents soient calculés) :</t>
  </si>
  <si>
    <t>Le test du facteur d'apport d'eaux usées par défaut (voir l'app. 4 du guide IL1. 4; requiert que tous les résultats pertinents soient calculés) :</t>
  </si>
  <si>
    <t>Calcul de la production totale de Hg dans les déchets généraux:</t>
  </si>
  <si>
    <t>Calcul de l'apport total de Hg dans les déchets généraux de l'utilisation intentionnelle du mercure:</t>
  </si>
  <si>
    <t>Résultat du test des déchets (citez le dans votre rapport):</t>
  </si>
  <si>
    <t>Calcul de l'apport total de mercure dans le traitement des eaux usées:</t>
  </si>
  <si>
    <t>Calcul de la production totale de mercure dans l'eau à partir de l'utilisation intentionnelle de mercure:</t>
  </si>
  <si>
    <t>Résultat du test des déchets (citez le dans votre rapport) :</t>
  </si>
  <si>
    <t xml:space="preserve">Cliniques où seuls des fauteuils dentaires équipés de filtres/cépines sont utilisés </t>
  </si>
  <si>
    <t>Cliniques équipées avec des séparateurs d'amalgames très efficaces</t>
  </si>
  <si>
    <t>NIVEAU DE STOCK 1 (IL1) - INSERTION DU NIVEAU DE STOCK2 (IL2) RÉSULTATS, LE CAS ÉCHÉANT</t>
  </si>
  <si>
    <t>Si vous avez calculé les résultats des stocks pour certaines catégories de sources de mercure dans le niveau d'inventaire 2, les résultats peuvent être entrés ici pour être inclus dans des tableaux de résumés des résultats (voir les directives du niveau d'inventaire 1 pour les consignes).</t>
  </si>
  <si>
    <t>Les données relatives à la présence de la source (y/n/?) et au taux d'activité doivent toujours être entrées dans la page d'étape adéquate de cette feuille de calcul, même lorsque les résultats du niveau de stock 2 sont inclus.</t>
  </si>
  <si>
    <t>Notez que toutes les données et calculs insérés dans les étapes 1 à 7 pour les mêmes catégories de sources sont annulés par les résultats de l'IL2 insérés dans la feuille actuelle, dans tous les résumés et les feuilles de graphiques.</t>
  </si>
  <si>
    <t>Attention: cette feuille Excel doit être utilisée SEULEMENT pour l'inclusion des résultats des stocks calculés au niveau d'inventaire 2, et une documentation adéquate est requise.</t>
  </si>
  <si>
    <t>(Toute entrée ici perturbera la présentation sommaire des résultats de l'IL1 pour les mêmes catégories de sources).</t>
  </si>
  <si>
    <t>Apports de Hg</t>
  </si>
  <si>
    <t>Entrez les rejects de Hg calculées en Kg Hg/an</t>
  </si>
  <si>
    <t>TJ (Terajoule) gaz utilisé/an</t>
  </si>
  <si>
    <t>TJ (Terajoule) gaz produit/an</t>
  </si>
  <si>
    <t>zinc produit t/an</t>
  </si>
  <si>
    <t>cuivre produit t/an</t>
  </si>
  <si>
    <t>plomb produit t/an</t>
  </si>
  <si>
    <t>or produit t/an</t>
  </si>
  <si>
    <t>métal brut d'aluminium produit t/an</t>
  </si>
  <si>
    <t>gaz utilisé Nm3/an</t>
  </si>
  <si>
    <t>gaz produit Nm3/an</t>
  </si>
  <si>
    <t>concentré utilisé t/an</t>
  </si>
  <si>
    <t>minerai d'or utilisé t/an</t>
  </si>
  <si>
    <t>bauxite transformée t/an</t>
  </si>
  <si>
    <t>t de concentré utilisé/t de zinc produit</t>
  </si>
  <si>
    <t>t de concentré utilisé/t de cuivre produit</t>
  </si>
  <si>
    <t>t de concentré utilisé/t de plomb produit</t>
  </si>
  <si>
    <t>t de concentré utilisé/t de métal d'aluminium produit</t>
  </si>
  <si>
    <t>kg/aticle</t>
  </si>
  <si>
    <t>TOTAUX (arrondis) *1*2*3*4*5*6</t>
  </si>
  <si>
    <t>Veuillez copier ces notes et les présenter avec les graphiques dans le rapport</t>
  </si>
  <si>
    <t xml:space="preserve">*1 : Les déchets ne sont pas une source originale d'apport de mercure à la société. Pour éviter la double comptabilisation d'apports de mercure des déchets et des produits dans les graphiques, seulement 10 % de l'apport </t>
  </si>
  <si>
    <t xml:space="preserve">de mercure par l'incinération, le dépôt et la décharge informelle de déchets sont comptabilisés dans le diagramme en tant qu’apports de mercure. Ces 10 % représentent approximativement l'apport de mercure des déchets </t>
  </si>
  <si>
    <t>à partir de matériaux qui n'ont pas été quantifiés individuellement dans l’Inventaire Niveau 1 de cette boîte à outils. Voir l'annexe 1 du guide de l’inventaire -Niveau 1 pour plus d'explications.</t>
  </si>
  <si>
    <t>*2 : Les déchets ne sont pas une source originale d'apport de mercure à la société. Les quantités estimées incluent le mercure dans les produits qui a aussi été comptabilisé dans chaque catégorie de produit.</t>
  </si>
  <si>
    <t>Pour marquer l'importance de cette forme de rejet, les rejets dans le sol provenant de la décharge informelle de déchets généraux n’ont PAS été soustraits dans les diagrammes.</t>
  </si>
  <si>
    <t xml:space="preserve">*3 : Les eaux usées ne sont pas une source originale d'apport de mercure à la société. Les apports et rejets estimés comprennent les quantités de mercure qui ont aussi été comptabilisées dans chaque catégorie de source. </t>
  </si>
  <si>
    <t>Pour éviter la double comptabilisation, l'apport au circuit d'évacuation/traitement des eaux usées a été soustrait automatiquement dans les diagrammes.</t>
  </si>
  <si>
    <t>Pour marquer l'importance de cette forme de rejet, les rejets dans l’eau provenant du circuit d'évacuation/traitement des eaux usées n’ont PAS été soustraits dans les diagrammes.</t>
  </si>
  <si>
    <t>*4 : Inclut le coke de pétrole, le pétrole brut lourd, le diesel, le gas-oil, le pétrole, le kérosène, le gaz naturel, le charbon de bois et d'autre biocarburants.</t>
  </si>
  <si>
    <t>*5 : Inclut la production de ciment, de pulpe et de papier.</t>
  </si>
  <si>
    <t>*6 : Inclut la production de CVM et d’acétaldéhyde</t>
  </si>
  <si>
    <t xml:space="preserve">*7 : Inclut les thermomètres, commutateurs et relais électriques, sources de lumière, batteries, le polyuréthane avec catalyseur Hg, des peintures et des crèmes pour la peau contenant du Hg, tensiomètres et autres manomètres, </t>
  </si>
  <si>
    <t>produits chimiques de laboratoire et d'autres utilisations en laboratoire et médicales.</t>
  </si>
  <si>
    <t>FAITES DÉFILER VERS LE BAS CETTE FEUILLE DE CALCUL AFIN DE TROUVER DES GRAPHIQUES SUR D'AUTRES RÉSULTATS DU SOMMAIRE - VEUILLEZ COPIER LES GRAPHIQUES DANS LE RAPPORT AVEC LES NOTES CI-DESSUS</t>
  </si>
  <si>
    <t>VEUILLEZ NOTER QUE L'AFFICHAGE DES GRAPHIQUES AURA PEUT-ETRE BESOIN DE CORRECTIONS MINEURES AFIN DE S'AFFICHER CORRECTEMENT DANS VOTRE RAPPORT (l'affichage dépend de vos résultats)</t>
  </si>
  <si>
    <t xml:space="preserve">*3: Data source: United Nations, Department of Economic and Social Affairs, Population Division (2017). World Population Prospects: The 2017 Revision, DVD Edition. (Population estimates from year 2015). </t>
  </si>
  <si>
    <t>https://population.un.org/wpp/DataQuery/</t>
  </si>
  <si>
    <t>Population en 2015 (ou comme le montre une étude récente ; UN DESA, 2017)</t>
  </si>
  <si>
    <t>*4 : Pour éviter le double comptage, la contribution du mercure des combustibles fossiles à la production de ciment a été soustraite automatiquement dans les TOTAUX</t>
  </si>
  <si>
    <t>*3 : Pour éviter le double comptage, la contribution du mercure des combustibles fossiles à la production de ciment a été soustraite automatiquement dans les TOTAUX.</t>
  </si>
  <si>
    <t>*5 : Pour éviter le double comptage, la contribution du mercure des combustibles fossiles à la production de ciment a été soustraite automatiquement dans les TOTAUX.</t>
  </si>
  <si>
    <t>Les contrôles 'non par défaut' utilisés</t>
  </si>
  <si>
    <t>*6 : Pour éviter le double comptage, la contribution du mercure des combustibles fossiles à la production de ciment a été soustraite automatiquement dans les TOTAUX</t>
  </si>
  <si>
    <t>*8 : Pour éviter le double comptage, la contribution du mercure des combustibles fossiles à la production de ciment a été soustraite automatiquement dans les TOTAUX</t>
  </si>
  <si>
    <t>Remarques:</t>
  </si>
  <si>
    <t>Eswatini (Swaziland)</t>
  </si>
  <si>
    <t>Number of inhabitants 2015*3</t>
  </si>
  <si>
    <t>INVENTAIRE NIVEAU 1 - SCÉNARIOS DE CONTRÔLE DE SORTIE PAR DÉFAUT</t>
  </si>
  <si>
    <t>Options pertinentes de réduction de pollution</t>
  </si>
  <si>
    <t>Extraction de l'or par amalgamation au mercure- à partir du minerai brut/entier</t>
  </si>
  <si>
    <t>Extraction de l'or par amalgamation au mercure- à partir de concentrés</t>
  </si>
  <si>
    <t>2-15</t>
  </si>
  <si>
    <t>1.4-4</t>
  </si>
  <si>
    <t>15-70</t>
  </si>
  <si>
    <t>5-150</t>
  </si>
  <si>
    <t>0.2-4</t>
  </si>
  <si>
    <t xml:space="preserve"> g d'or produit/t de concentré utilisé</t>
  </si>
  <si>
    <t>Global 2013 gold mine and deposits ranking, http://2oqz471sa19h3vbwa53m33yj.wpengine.netdna-cdn.com/wp-content/uploads/2013/11/global-gold-mine-and-deposit-rankings-2013.pdf)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</si>
</sst>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 #,##0.00_ ;_ * \-#,##0.00_ ;_ * &quot;-&quot;??_ ;_ @_ "/>
    <numFmt numFmtId="165" formatCode="0.000"/>
    <numFmt numFmtId="166" formatCode="0.0"/>
    <numFmt numFmtId="167" formatCode="#,##0.000"/>
    <numFmt numFmtId="168" formatCode="#,##0.00000"/>
    <numFmt numFmtId="169" formatCode="#,##0.0"/>
    <numFmt numFmtId="170" formatCode="_(* #,##0_);_(* \(#,##0\);_(* &quot;-&quot;??_);_(@_)"/>
    <numFmt numFmtId="171" formatCode="0.0000"/>
    <numFmt numFmtId="172" formatCode="0.0000000000"/>
    <numFmt numFmtId="173" formatCode="0.000000"/>
    <numFmt numFmtId="174" formatCode="_(* #,##0.0000_);_(* \(#,##0.0000\);_(* &quot;-&quot;??_);_(@_)"/>
  </numFmts>
  <fonts count="64">
    <font>
      <sz val="10"/>
      <name val="Arial"/>
    </font>
    <font>
      <sz val="10"/>
      <name val="Arial"/>
      <family val="2"/>
    </font>
    <font>
      <sz val="8"/>
      <name val="Arial"/>
      <family val="2"/>
    </font>
    <font>
      <b/>
      <sz val="10"/>
      <name val="Arial"/>
      <family val="2"/>
    </font>
    <font>
      <b/>
      <sz val="14"/>
      <name val="Arial"/>
      <family val="2"/>
    </font>
    <font>
      <b/>
      <u/>
      <sz val="10"/>
      <name val="Arial"/>
      <family val="2"/>
    </font>
    <font>
      <sz val="10"/>
      <name val="Arial"/>
      <family val="2"/>
    </font>
    <font>
      <sz val="10"/>
      <name val="Times New Roman"/>
      <family val="1"/>
    </font>
    <font>
      <b/>
      <sz val="10"/>
      <color indexed="10"/>
      <name val="Arial"/>
      <family val="2"/>
    </font>
    <font>
      <sz val="10"/>
      <color indexed="11"/>
      <name val="Arial"/>
      <family val="2"/>
    </font>
    <font>
      <b/>
      <sz val="10"/>
      <name val="Times New Roman"/>
      <family val="1"/>
    </font>
    <font>
      <i/>
      <sz val="10"/>
      <name val="Times New Roman"/>
      <family val="1"/>
    </font>
    <font>
      <b/>
      <sz val="11.5"/>
      <name val="Times New Roman"/>
      <family val="1"/>
    </font>
    <font>
      <b/>
      <sz val="11"/>
      <name val="Times New Roman"/>
      <family val="1"/>
    </font>
    <font>
      <b/>
      <sz val="11"/>
      <color indexed="10"/>
      <name val="Arial"/>
      <family val="2"/>
    </font>
    <font>
      <sz val="10"/>
      <color indexed="10"/>
      <name val="Arial"/>
      <family val="2"/>
    </font>
    <font>
      <u/>
      <sz val="8.5"/>
      <color indexed="12"/>
      <name val="Arial"/>
      <family val="2"/>
    </font>
    <font>
      <b/>
      <sz val="12"/>
      <name val="Arial"/>
      <family val="2"/>
    </font>
    <font>
      <b/>
      <sz val="11"/>
      <name val="Arial"/>
      <family val="2"/>
    </font>
    <font>
      <b/>
      <sz val="14"/>
      <color indexed="10"/>
      <name val="Arial"/>
      <family val="2"/>
    </font>
    <font>
      <b/>
      <sz val="10"/>
      <name val="Arial"/>
      <family val="2"/>
    </font>
    <font>
      <sz val="10"/>
      <name val="Arial"/>
      <family val="2"/>
    </font>
    <font>
      <b/>
      <sz val="10"/>
      <color indexed="10"/>
      <name val="Arial"/>
      <family val="2"/>
    </font>
    <font>
      <i/>
      <sz val="10"/>
      <name val="Arial"/>
      <family val="2"/>
    </font>
    <font>
      <sz val="10"/>
      <name val="Arial"/>
      <family val="2"/>
    </font>
    <font>
      <b/>
      <i/>
      <sz val="10"/>
      <name val="Arial"/>
      <family val="2"/>
    </font>
    <font>
      <sz val="8"/>
      <color indexed="81"/>
      <name val="Tahoma"/>
      <family val="2"/>
    </font>
    <font>
      <b/>
      <sz val="8"/>
      <color indexed="81"/>
      <name val="Tahoma"/>
      <family val="2"/>
    </font>
    <font>
      <sz val="10"/>
      <name val="Arial"/>
      <family val="2"/>
    </font>
    <font>
      <sz val="11"/>
      <name val="Calibri"/>
      <family val="2"/>
    </font>
    <font>
      <sz val="10"/>
      <name val="Arial"/>
      <family val="2"/>
    </font>
    <font>
      <sz val="10"/>
      <name val="Arial"/>
      <family val="2"/>
    </font>
    <font>
      <vertAlign val="subscript"/>
      <sz val="10"/>
      <name val="Arial"/>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color rgb="FFFF0000"/>
      <name val="Calibri"/>
      <family val="2"/>
      <scheme val="minor"/>
    </font>
    <font>
      <b/>
      <sz val="10"/>
      <color rgb="FFFF0000"/>
      <name val="Arial"/>
      <family val="2"/>
    </font>
    <font>
      <sz val="10"/>
      <color rgb="FFFF0000"/>
      <name val="Arial"/>
      <family val="2"/>
    </font>
    <font>
      <b/>
      <sz val="10"/>
      <color rgb="FFC00000"/>
      <name val="Times New Roman"/>
      <family val="1"/>
    </font>
    <font>
      <b/>
      <sz val="10"/>
      <color rgb="FFC00000"/>
      <name val="Arial"/>
      <family val="2"/>
    </font>
    <font>
      <sz val="10"/>
      <color rgb="FFC00000"/>
      <name val="Arial"/>
      <family val="2"/>
    </font>
    <font>
      <b/>
      <sz val="10"/>
      <color rgb="FFFF0000"/>
      <name val="Times New Roman"/>
      <family val="1"/>
    </font>
    <font>
      <sz val="10"/>
      <color rgb="FF222222"/>
      <name val="Inherit"/>
    </font>
    <font>
      <sz val="10"/>
      <color rgb="FF00B050"/>
      <name val="Arial"/>
      <family val="2"/>
    </font>
    <font>
      <sz val="8"/>
      <color rgb="FF000000"/>
      <name val="Verdana"/>
      <family val="2"/>
    </font>
    <font>
      <i/>
      <sz val="8"/>
      <color rgb="FF000000"/>
      <name val="Verdana"/>
      <family val="2"/>
    </font>
    <font>
      <u/>
      <sz val="8"/>
      <color rgb="FF000000"/>
      <name val="Verdana"/>
      <family val="2"/>
    </font>
    <font>
      <sz val="11"/>
      <name val="Calibri"/>
      <family val="2"/>
      <scheme val="minor"/>
    </font>
    <font>
      <sz val="8"/>
      <color theme="0"/>
      <name val="Arial"/>
      <family val="2"/>
    </font>
    <font>
      <b/>
      <sz val="10"/>
      <color rgb="FF00B050"/>
      <name val="Arial"/>
      <family val="2"/>
    </font>
    <font>
      <sz val="10"/>
      <color rgb="FFFFFFCC"/>
      <name val="Arial"/>
      <family val="2"/>
    </font>
    <font>
      <sz val="10"/>
      <color theme="6" tint="-0.499984740745262"/>
      <name val="Arial"/>
      <family val="2"/>
    </font>
    <font>
      <b/>
      <sz val="10"/>
      <color theme="6" tint="-0.499984740745262"/>
      <name val="Arial"/>
      <family val="2"/>
    </font>
    <font>
      <sz val="10"/>
      <color theme="0"/>
      <name val="Arial"/>
      <family val="2"/>
    </font>
    <font>
      <sz val="10"/>
      <color rgb="FF222222"/>
      <name val="Arial"/>
      <family val="2"/>
    </font>
    <font>
      <sz val="10"/>
      <color rgb="FF000000"/>
      <name val="Arial"/>
      <family val="2"/>
    </font>
    <font>
      <b/>
      <sz val="11"/>
      <name val="Calibri"/>
      <family val="2"/>
    </font>
    <font>
      <sz val="10"/>
      <color theme="1"/>
      <name val="Arial"/>
      <family val="2"/>
    </font>
    <font>
      <b/>
      <sz val="8"/>
      <color rgb="FF000000"/>
      <name val="Tahoma"/>
      <family val="2"/>
    </font>
    <font>
      <sz val="8"/>
      <color rgb="FF000000"/>
      <name val="Tahoma"/>
      <family val="2"/>
    </font>
    <font>
      <b/>
      <sz val="9"/>
      <color rgb="FF000000"/>
      <name val="Tahoma"/>
      <family val="2"/>
    </font>
    <font>
      <sz val="9"/>
      <color rgb="FF000000"/>
      <name val="Tahoma"/>
      <family val="2"/>
    </font>
  </fonts>
  <fills count="1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92D050"/>
        <bgColor indexed="64"/>
      </patternFill>
    </fill>
    <fill>
      <patternFill patternType="solid">
        <fgColor rgb="FFFFFF66"/>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46">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7">
    <xf numFmtId="0" fontId="0" fillId="0" borderId="0"/>
    <xf numFmtId="43" fontId="1"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842">
    <xf numFmtId="0" fontId="0" fillId="0" borderId="0" xfId="0"/>
    <xf numFmtId="0" fontId="4" fillId="0" borderId="0" xfId="0" applyFont="1"/>
    <xf numFmtId="0" fontId="0" fillId="2" borderId="0" xfId="0" applyFill="1"/>
    <xf numFmtId="0" fontId="0" fillId="0" borderId="0" xfId="0" applyFill="1"/>
    <xf numFmtId="0" fontId="0" fillId="3" borderId="0" xfId="0" applyFill="1"/>
    <xf numFmtId="0" fontId="3" fillId="0" borderId="0" xfId="0" applyFont="1"/>
    <xf numFmtId="0" fontId="0" fillId="0" borderId="0" xfId="0" quotePrefix="1"/>
    <xf numFmtId="0" fontId="3" fillId="0" borderId="0" xfId="0" applyFont="1" applyFill="1"/>
    <xf numFmtId="0" fontId="6" fillId="0" borderId="0" xfId="0" applyFont="1"/>
    <xf numFmtId="0" fontId="0" fillId="0" borderId="0" xfId="0" applyAlignment="1">
      <alignment wrapText="1"/>
    </xf>
    <xf numFmtId="0" fontId="8" fillId="3" borderId="0" xfId="0" applyFont="1" applyFill="1"/>
    <xf numFmtId="0" fontId="0" fillId="0" borderId="0" xfId="0" quotePrefix="1" applyFill="1"/>
    <xf numFmtId="0" fontId="3" fillId="0" borderId="0" xfId="0" applyFont="1" applyAlignment="1">
      <alignment wrapText="1"/>
    </xf>
    <xf numFmtId="0" fontId="0" fillId="0" borderId="1" xfId="0" applyBorder="1"/>
    <xf numFmtId="0" fontId="3" fillId="0" borderId="1" xfId="0" applyFont="1" applyBorder="1"/>
    <xf numFmtId="0" fontId="7" fillId="0" borderId="1" xfId="0" applyFont="1" applyBorder="1" applyAlignment="1">
      <alignment wrapText="1"/>
    </xf>
    <xf numFmtId="0" fontId="3" fillId="0" borderId="1" xfId="0" quotePrefix="1" applyFont="1" applyBorder="1"/>
    <xf numFmtId="0" fontId="7" fillId="0" borderId="0" xfId="0" applyFont="1" applyFill="1" applyBorder="1" applyAlignment="1">
      <alignment vertical="top" wrapText="1"/>
    </xf>
    <xf numFmtId="17" fontId="0" fillId="0" borderId="0" xfId="0" quotePrefix="1" applyNumberFormat="1"/>
    <xf numFmtId="0" fontId="9" fillId="0" borderId="0" xfId="0" applyFont="1" applyFill="1"/>
    <xf numFmtId="3" fontId="9" fillId="0" borderId="0" xfId="0" applyNumberFormat="1" applyFont="1" applyFill="1"/>
    <xf numFmtId="3" fontId="0" fillId="0" borderId="0" xfId="0" applyNumberFormat="1" applyFill="1"/>
    <xf numFmtId="4" fontId="0" fillId="0" borderId="0" xfId="0" applyNumberFormat="1" applyFill="1"/>
    <xf numFmtId="0" fontId="7" fillId="0" borderId="0" xfId="0" applyFont="1" applyFill="1" applyBorder="1" applyAlignment="1">
      <alignment horizontal="right" vertical="top" wrapText="1"/>
    </xf>
    <xf numFmtId="0" fontId="7" fillId="0" borderId="0" xfId="0" applyFont="1" applyFill="1" applyBorder="1" applyAlignment="1">
      <alignment horizontal="left" vertical="top" wrapText="1"/>
    </xf>
    <xf numFmtId="4" fontId="8" fillId="0" borderId="0" xfId="0" applyNumberFormat="1" applyFont="1" applyFill="1"/>
    <xf numFmtId="0" fontId="3" fillId="0" borderId="0" xfId="0" applyFont="1" applyFill="1" applyAlignment="1">
      <alignment wrapText="1"/>
    </xf>
    <xf numFmtId="0" fontId="0" fillId="0" borderId="0" xfId="0" quotePrefix="1" applyNumberFormat="1"/>
    <xf numFmtId="0" fontId="0" fillId="0" borderId="0" xfId="0" applyFill="1" applyBorder="1"/>
    <xf numFmtId="0" fontId="7" fillId="0" borderId="0" xfId="0" applyFont="1" applyFill="1" applyBorder="1" applyAlignment="1">
      <alignment wrapText="1"/>
    </xf>
    <xf numFmtId="0" fontId="3" fillId="0" borderId="0" xfId="0" applyFont="1" applyFill="1" applyBorder="1"/>
    <xf numFmtId="0" fontId="3" fillId="0" borderId="0" xfId="0" quotePrefix="1" applyFont="1" applyFill="1" applyBorder="1"/>
    <xf numFmtId="0" fontId="3" fillId="0" borderId="1" xfId="0" applyFont="1" applyBorder="1" applyAlignment="1">
      <alignment wrapText="1"/>
    </xf>
    <xf numFmtId="0" fontId="0" fillId="0" borderId="1" xfId="0" applyBorder="1" applyAlignment="1">
      <alignment wrapText="1"/>
    </xf>
    <xf numFmtId="0" fontId="3" fillId="0" borderId="1" xfId="0" quotePrefix="1" applyFont="1" applyBorder="1" applyAlignment="1">
      <alignment wrapText="1"/>
    </xf>
    <xf numFmtId="0" fontId="7" fillId="0" borderId="0" xfId="0" applyFont="1" applyBorder="1" applyAlignment="1">
      <alignment wrapText="1"/>
    </xf>
    <xf numFmtId="0" fontId="6" fillId="0" borderId="0" xfId="0" applyFont="1" applyFill="1"/>
    <xf numFmtId="0" fontId="7" fillId="0" borderId="0" xfId="0" applyFont="1" applyBorder="1" applyAlignment="1">
      <alignment horizontal="center" wrapText="1"/>
    </xf>
    <xf numFmtId="0" fontId="7" fillId="0" borderId="1" xfId="0" quotePrefix="1" applyFont="1" applyBorder="1" applyAlignment="1">
      <alignment wrapText="1"/>
    </xf>
    <xf numFmtId="0" fontId="10" fillId="0" borderId="1" xfId="0" applyFont="1" applyBorder="1" applyAlignment="1">
      <alignment wrapText="1"/>
    </xf>
    <xf numFmtId="0" fontId="3" fillId="0" borderId="0" xfId="0" quotePrefix="1" applyFont="1" applyFill="1"/>
    <xf numFmtId="17" fontId="0" fillId="0" borderId="0" xfId="0" quotePrefix="1" applyNumberFormat="1" applyFill="1"/>
    <xf numFmtId="0" fontId="7" fillId="0" borderId="0" xfId="0" applyFont="1" applyBorder="1" applyAlignment="1"/>
    <xf numFmtId="0" fontId="0" fillId="0" borderId="0" xfId="0" quotePrefix="1" applyAlignment="1">
      <alignment horizontal="center"/>
    </xf>
    <xf numFmtId="0" fontId="0" fillId="0" borderId="0" xfId="0" applyAlignment="1">
      <alignment horizontal="center"/>
    </xf>
    <xf numFmtId="0" fontId="0" fillId="0" borderId="0" xfId="0" quotePrefix="1" applyAlignment="1">
      <alignment horizontal="left"/>
    </xf>
    <xf numFmtId="0" fontId="0" fillId="0" borderId="0" xfId="0" quotePrefix="1" applyAlignment="1">
      <alignment horizontal="left" wrapText="1"/>
    </xf>
    <xf numFmtId="0" fontId="0" fillId="0" borderId="0" xfId="0" quotePrefix="1" applyFill="1" applyAlignment="1">
      <alignment horizontal="center"/>
    </xf>
    <xf numFmtId="0" fontId="0" fillId="0" borderId="0" xfId="0" applyBorder="1"/>
    <xf numFmtId="0" fontId="0" fillId="2" borderId="0" xfId="0" applyFill="1" applyBorder="1"/>
    <xf numFmtId="0" fontId="3" fillId="0" borderId="0" xfId="0" applyFont="1" applyBorder="1"/>
    <xf numFmtId="0" fontId="6" fillId="0" borderId="0" xfId="0" applyFont="1" applyBorder="1"/>
    <xf numFmtId="0" fontId="6" fillId="0" borderId="0" xfId="0" applyFont="1" applyBorder="1" applyAlignment="1">
      <alignment horizontal="left"/>
    </xf>
    <xf numFmtId="0" fontId="6" fillId="0" borderId="0" xfId="0" applyFont="1" applyAlignment="1">
      <alignment wrapText="1"/>
    </xf>
    <xf numFmtId="0" fontId="14" fillId="0" borderId="0" xfId="0" applyFont="1"/>
    <xf numFmtId="0" fontId="0" fillId="0" borderId="2" xfId="0" applyBorder="1"/>
    <xf numFmtId="0" fontId="3" fillId="3" borderId="3" xfId="0" applyFont="1" applyFill="1" applyBorder="1"/>
    <xf numFmtId="0" fontId="3" fillId="3" borderId="3" xfId="0" applyFont="1" applyFill="1" applyBorder="1" applyAlignment="1">
      <alignment wrapText="1"/>
    </xf>
    <xf numFmtId="0" fontId="0" fillId="3" borderId="3" xfId="0" applyFill="1" applyBorder="1"/>
    <xf numFmtId="0" fontId="3" fillId="0" borderId="1" xfId="0" quotePrefix="1" applyFont="1" applyFill="1" applyBorder="1"/>
    <xf numFmtId="0" fontId="7" fillId="0" borderId="0" xfId="0" applyFont="1" applyFill="1" applyBorder="1" applyAlignment="1">
      <alignment horizontal="center" wrapText="1"/>
    </xf>
    <xf numFmtId="0" fontId="7" fillId="0" borderId="0" xfId="0" applyFont="1" applyFill="1" applyBorder="1" applyAlignment="1"/>
    <xf numFmtId="0" fontId="7" fillId="0" borderId="1" xfId="0" applyFont="1" applyFill="1" applyBorder="1" applyAlignment="1">
      <alignment wrapText="1"/>
    </xf>
    <xf numFmtId="0" fontId="0" fillId="0" borderId="1" xfId="0" applyFill="1" applyBorder="1"/>
    <xf numFmtId="0" fontId="3" fillId="0" borderId="1" xfId="0" applyFont="1" applyFill="1" applyBorder="1"/>
    <xf numFmtId="0" fontId="3" fillId="2" borderId="0" xfId="0" applyFont="1" applyFill="1"/>
    <xf numFmtId="0" fontId="6" fillId="0" borderId="0" xfId="0" applyFont="1" applyFill="1" applyAlignment="1">
      <alignment wrapText="1"/>
    </xf>
    <xf numFmtId="0" fontId="3" fillId="0" borderId="0" xfId="0" quotePrefix="1" applyFont="1" applyAlignment="1">
      <alignment wrapText="1"/>
    </xf>
    <xf numFmtId="0" fontId="10" fillId="0" borderId="0" xfId="0" applyFont="1" applyBorder="1" applyAlignment="1">
      <alignment wrapText="1"/>
    </xf>
    <xf numFmtId="0" fontId="10" fillId="0" borderId="0" xfId="0" applyFont="1" applyBorder="1" applyAlignment="1">
      <alignment vertical="top" wrapText="1"/>
    </xf>
    <xf numFmtId="0" fontId="3" fillId="0" borderId="0" xfId="0" quotePrefix="1" applyFont="1" applyFill="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applyBorder="1" applyAlignment="1">
      <alignment vertical="top" wrapText="1"/>
    </xf>
    <xf numFmtId="0" fontId="6" fillId="0" borderId="0" xfId="0" applyFont="1" applyAlignment="1"/>
    <xf numFmtId="0" fontId="3" fillId="0" borderId="0" xfId="0" quotePrefix="1" applyFont="1" applyAlignment="1">
      <alignment horizontal="center"/>
    </xf>
    <xf numFmtId="0" fontId="0" fillId="2" borderId="3" xfId="0" applyFill="1" applyBorder="1"/>
    <xf numFmtId="0" fontId="0" fillId="3" borderId="3" xfId="0" applyFill="1" applyBorder="1" applyAlignment="1">
      <alignment horizontal="center"/>
    </xf>
    <xf numFmtId="0" fontId="3" fillId="3" borderId="4" xfId="0" applyFont="1" applyFill="1" applyBorder="1" applyAlignment="1">
      <alignment horizontal="center"/>
    </xf>
    <xf numFmtId="0" fontId="3" fillId="3" borderId="4" xfId="0" applyFont="1" applyFill="1" applyBorder="1" applyAlignment="1">
      <alignment horizontal="center" wrapText="1"/>
    </xf>
    <xf numFmtId="0" fontId="3" fillId="3" borderId="5" xfId="0" applyFont="1" applyFill="1" applyBorder="1"/>
    <xf numFmtId="0" fontId="0" fillId="3" borderId="5" xfId="0" applyFill="1" applyBorder="1"/>
    <xf numFmtId="0" fontId="3" fillId="3" borderId="6" xfId="0" applyFont="1" applyFill="1" applyBorder="1"/>
    <xf numFmtId="0" fontId="0" fillId="3" borderId="7" xfId="0" applyFill="1" applyBorder="1"/>
    <xf numFmtId="0" fontId="8" fillId="3" borderId="3" xfId="0" applyFont="1" applyFill="1" applyBorder="1" applyAlignment="1">
      <alignment wrapText="1"/>
    </xf>
    <xf numFmtId="1" fontId="0" fillId="3" borderId="3" xfId="0" applyNumberFormat="1" applyFill="1" applyBorder="1" applyAlignment="1">
      <alignment horizontal="center"/>
    </xf>
    <xf numFmtId="1" fontId="0" fillId="3" borderId="3" xfId="0" quotePrefix="1" applyNumberFormat="1" applyFill="1" applyBorder="1" applyAlignment="1">
      <alignment horizontal="center"/>
    </xf>
    <xf numFmtId="166" fontId="0" fillId="3" borderId="3" xfId="0" applyNumberFormat="1" applyFill="1" applyBorder="1" applyAlignment="1">
      <alignment horizontal="center"/>
    </xf>
    <xf numFmtId="0" fontId="0" fillId="0" borderId="8" xfId="0" applyFill="1" applyBorder="1"/>
    <xf numFmtId="0" fontId="3" fillId="0" borderId="8" xfId="0" applyFont="1" applyFill="1" applyBorder="1" applyAlignment="1">
      <alignment wrapText="1"/>
    </xf>
    <xf numFmtId="0" fontId="0" fillId="0" borderId="9" xfId="0" applyBorder="1" applyAlignment="1">
      <alignment wrapText="1"/>
    </xf>
    <xf numFmtId="0" fontId="0" fillId="0" borderId="8" xfId="0" applyBorder="1"/>
    <xf numFmtId="0" fontId="5" fillId="0" borderId="0" xfId="0" applyFont="1" applyFill="1" applyBorder="1"/>
    <xf numFmtId="0" fontId="3" fillId="0" borderId="0" xfId="0" applyFont="1" applyFill="1" applyBorder="1" applyAlignment="1">
      <alignment wrapText="1"/>
    </xf>
    <xf numFmtId="0" fontId="3" fillId="2" borderId="0" xfId="0" applyFont="1" applyFill="1" applyBorder="1"/>
    <xf numFmtId="0" fontId="0" fillId="0" borderId="0" xfId="0" quotePrefix="1" applyBorder="1"/>
    <xf numFmtId="0" fontId="0" fillId="0" borderId="0" xfId="0" applyBorder="1" applyAlignment="1">
      <alignment wrapText="1"/>
    </xf>
    <xf numFmtId="0" fontId="3" fillId="0" borderId="8" xfId="0" applyFont="1" applyBorder="1" applyAlignment="1">
      <alignment wrapText="1"/>
    </xf>
    <xf numFmtId="0" fontId="0" fillId="0" borderId="8" xfId="0" quotePrefix="1" applyBorder="1"/>
    <xf numFmtId="0" fontId="3" fillId="0" borderId="9" xfId="0" quotePrefix="1" applyFont="1" applyBorder="1" applyAlignment="1">
      <alignment wrapText="1"/>
    </xf>
    <xf numFmtId="0" fontId="3" fillId="0" borderId="0" xfId="0" applyFont="1" applyBorder="1" applyAlignment="1">
      <alignment wrapText="1"/>
    </xf>
    <xf numFmtId="0" fontId="0" fillId="0" borderId="10" xfId="0" applyFill="1" applyBorder="1"/>
    <xf numFmtId="43" fontId="0" fillId="0" borderId="0" xfId="1" applyFont="1"/>
    <xf numFmtId="0" fontId="3" fillId="3" borderId="0" xfId="0" applyFont="1" applyFill="1"/>
    <xf numFmtId="0" fontId="0" fillId="0" borderId="2" xfId="0" applyFill="1" applyBorder="1"/>
    <xf numFmtId="0" fontId="0" fillId="0" borderId="2" xfId="0" applyBorder="1" applyAlignment="1">
      <alignment wrapText="1"/>
    </xf>
    <xf numFmtId="0" fontId="0" fillId="0" borderId="2" xfId="0" quotePrefix="1" applyBorder="1"/>
    <xf numFmtId="0" fontId="7" fillId="0" borderId="11" xfId="0" applyFont="1" applyBorder="1" applyAlignment="1">
      <alignment wrapText="1"/>
    </xf>
    <xf numFmtId="0" fontId="3" fillId="0" borderId="11" xfId="0" quotePrefix="1" applyFont="1" applyBorder="1" applyAlignment="1">
      <alignment wrapText="1"/>
    </xf>
    <xf numFmtId="0" fontId="7" fillId="0" borderId="2" xfId="0" applyFont="1" applyFill="1" applyBorder="1" applyAlignment="1">
      <alignment vertical="top" wrapText="1"/>
    </xf>
    <xf numFmtId="0" fontId="3" fillId="0" borderId="11" xfId="0" applyFont="1" applyBorder="1" applyAlignment="1">
      <alignment wrapText="1"/>
    </xf>
    <xf numFmtId="0" fontId="3" fillId="2" borderId="3" xfId="0" applyFont="1" applyFill="1" applyBorder="1"/>
    <xf numFmtId="0" fontId="3" fillId="2" borderId="3" xfId="0" applyFont="1" applyFill="1" applyBorder="1" applyAlignment="1">
      <alignment wrapText="1"/>
    </xf>
    <xf numFmtId="0" fontId="6" fillId="3" borderId="3" xfId="0" applyFont="1" applyFill="1" applyBorder="1"/>
    <xf numFmtId="4" fontId="8" fillId="3" borderId="3" xfId="0" applyNumberFormat="1" applyFont="1" applyFill="1" applyBorder="1"/>
    <xf numFmtId="3" fontId="0" fillId="3" borderId="3" xfId="0" applyNumberFormat="1" applyFill="1" applyBorder="1"/>
    <xf numFmtId="4" fontId="0" fillId="3" borderId="3" xfId="0" applyNumberFormat="1" applyFill="1" applyBorder="1"/>
    <xf numFmtId="0" fontId="7" fillId="2" borderId="3" xfId="0" applyFont="1" applyFill="1" applyBorder="1" applyAlignment="1">
      <alignment horizontal="right" vertical="top" wrapText="1"/>
    </xf>
    <xf numFmtId="0" fontId="7" fillId="2" borderId="3" xfId="0" applyFont="1" applyFill="1" applyBorder="1" applyAlignment="1">
      <alignment horizontal="left" vertical="top" wrapText="1"/>
    </xf>
    <xf numFmtId="0" fontId="0" fillId="2" borderId="4" xfId="0" applyFill="1" applyBorder="1"/>
    <xf numFmtId="0" fontId="3" fillId="2" borderId="4" xfId="0" applyFont="1" applyFill="1" applyBorder="1"/>
    <xf numFmtId="0" fontId="6" fillId="3" borderId="4" xfId="0" applyFont="1" applyFill="1" applyBorder="1"/>
    <xf numFmtId="0" fontId="0" fillId="3" borderId="4" xfId="0" applyFill="1" applyBorder="1"/>
    <xf numFmtId="0" fontId="3" fillId="0" borderId="3" xfId="0" applyFont="1" applyBorder="1"/>
    <xf numFmtId="0" fontId="3" fillId="0" borderId="3" xfId="0" applyFont="1" applyBorder="1" applyAlignment="1">
      <alignment wrapText="1"/>
    </xf>
    <xf numFmtId="0" fontId="3" fillId="0" borderId="3" xfId="0" applyFont="1" applyFill="1" applyBorder="1"/>
    <xf numFmtId="0" fontId="3" fillId="0" borderId="3" xfId="0" applyFont="1" applyFill="1" applyBorder="1" applyAlignment="1">
      <alignment wrapText="1"/>
    </xf>
    <xf numFmtId="0" fontId="0" fillId="2" borderId="3" xfId="0" applyFill="1" applyBorder="1" applyAlignment="1">
      <alignment horizontal="center"/>
    </xf>
    <xf numFmtId="0" fontId="0" fillId="0" borderId="5" xfId="0" applyFill="1" applyBorder="1"/>
    <xf numFmtId="0" fontId="0" fillId="0" borderId="5" xfId="0" applyBorder="1"/>
    <xf numFmtId="0" fontId="7" fillId="2" borderId="3" xfId="0" applyFont="1" applyFill="1" applyBorder="1" applyAlignment="1">
      <alignment horizontal="center" vertical="top" wrapText="1"/>
    </xf>
    <xf numFmtId="0" fontId="7" fillId="2" borderId="3" xfId="0" applyFont="1" applyFill="1" applyBorder="1" applyAlignment="1">
      <alignment horizontal="center" wrapText="1"/>
    </xf>
    <xf numFmtId="0" fontId="0" fillId="2" borderId="4" xfId="0" applyFill="1" applyBorder="1" applyAlignment="1">
      <alignment horizontal="center"/>
    </xf>
    <xf numFmtId="4" fontId="8" fillId="3" borderId="4" xfId="0" applyNumberFormat="1" applyFont="1" applyFill="1" applyBorder="1"/>
    <xf numFmtId="0" fontId="3" fillId="0" borderId="5" xfId="0" applyFont="1" applyBorder="1" applyAlignment="1">
      <alignment wrapText="1"/>
    </xf>
    <xf numFmtId="0" fontId="3" fillId="0" borderId="6" xfId="0" applyFont="1" applyBorder="1"/>
    <xf numFmtId="0" fontId="3" fillId="0" borderId="2" xfId="0" applyFont="1" applyBorder="1" applyAlignment="1">
      <alignment wrapText="1"/>
    </xf>
    <xf numFmtId="0" fontId="3" fillId="0" borderId="2" xfId="0" applyFont="1" applyFill="1" applyBorder="1" applyAlignment="1">
      <alignment wrapText="1"/>
    </xf>
    <xf numFmtId="0" fontId="0" fillId="0" borderId="11" xfId="0" applyBorder="1" applyAlignment="1">
      <alignment wrapText="1"/>
    </xf>
    <xf numFmtId="0" fontId="3" fillId="0" borderId="2" xfId="0" applyFont="1" applyFill="1" applyBorder="1"/>
    <xf numFmtId="0" fontId="3" fillId="0" borderId="6" xfId="0" applyFont="1" applyBorder="1" applyAlignment="1">
      <alignment wrapText="1"/>
    </xf>
    <xf numFmtId="0" fontId="3" fillId="0" borderId="7" xfId="0" applyFont="1" applyBorder="1" applyAlignment="1">
      <alignment wrapText="1"/>
    </xf>
    <xf numFmtId="0" fontId="3" fillId="0" borderId="6" xfId="0" applyFont="1" applyFill="1" applyBorder="1"/>
    <xf numFmtId="0" fontId="3" fillId="0" borderId="5" xfId="0" applyFont="1" applyFill="1" applyBorder="1"/>
    <xf numFmtId="0" fontId="3" fillId="0" borderId="5" xfId="0" applyFont="1" applyBorder="1"/>
    <xf numFmtId="0" fontId="3" fillId="0" borderId="7" xfId="0" applyFont="1" applyFill="1" applyBorder="1"/>
    <xf numFmtId="0" fontId="3" fillId="0" borderId="6" xfId="0" applyFont="1" applyFill="1" applyBorder="1" applyAlignment="1">
      <alignment wrapText="1"/>
    </xf>
    <xf numFmtId="0" fontId="3" fillId="2" borderId="3" xfId="0" applyFont="1" applyFill="1" applyBorder="1" applyAlignment="1">
      <alignment horizontal="center"/>
    </xf>
    <xf numFmtId="0" fontId="3" fillId="2" borderId="3" xfId="0" applyFont="1" applyFill="1" applyBorder="1" applyAlignment="1">
      <alignment horizontal="center" wrapText="1"/>
    </xf>
    <xf numFmtId="0" fontId="0" fillId="0" borderId="2" xfId="0" quotePrefix="1" applyFill="1" applyBorder="1"/>
    <xf numFmtId="0" fontId="0" fillId="0" borderId="2" xfId="0" applyFill="1" applyBorder="1" applyAlignment="1">
      <alignment wrapText="1"/>
    </xf>
    <xf numFmtId="0" fontId="3" fillId="0" borderId="5" xfId="0" applyFont="1" applyFill="1" applyBorder="1" applyAlignment="1">
      <alignment wrapText="1"/>
    </xf>
    <xf numFmtId="0" fontId="5" fillId="0" borderId="2" xfId="0" applyFont="1" applyFill="1" applyBorder="1"/>
    <xf numFmtId="0" fontId="3" fillId="0" borderId="4" xfId="0" applyFont="1" applyFill="1" applyBorder="1"/>
    <xf numFmtId="0" fontId="3" fillId="0" borderId="4" xfId="0" applyFont="1" applyFill="1" applyBorder="1" applyAlignment="1">
      <alignment wrapText="1"/>
    </xf>
    <xf numFmtId="0" fontId="3" fillId="0" borderId="12" xfId="0" applyFont="1" applyFill="1" applyBorder="1"/>
    <xf numFmtId="0" fontId="3" fillId="0" borderId="11" xfId="0" applyFont="1" applyFill="1" applyBorder="1" applyAlignment="1">
      <alignment wrapText="1"/>
    </xf>
    <xf numFmtId="0" fontId="3" fillId="0" borderId="13" xfId="0" applyFont="1" applyBorder="1"/>
    <xf numFmtId="0" fontId="7" fillId="0" borderId="13" xfId="0" applyFont="1" applyBorder="1" applyAlignment="1">
      <alignment wrapText="1"/>
    </xf>
    <xf numFmtId="0" fontId="7" fillId="0" borderId="4" xfId="0" applyFont="1" applyBorder="1" applyAlignment="1">
      <alignment wrapText="1"/>
    </xf>
    <xf numFmtId="0" fontId="0" fillId="0" borderId="4" xfId="0" applyBorder="1"/>
    <xf numFmtId="0" fontId="6" fillId="0" borderId="2" xfId="0" applyFont="1" applyBorder="1" applyAlignment="1">
      <alignment wrapText="1"/>
    </xf>
    <xf numFmtId="0" fontId="0" fillId="0" borderId="11" xfId="0" applyBorder="1"/>
    <xf numFmtId="0" fontId="3" fillId="0" borderId="2" xfId="0" quotePrefix="1" applyFont="1" applyBorder="1" applyAlignment="1">
      <alignment wrapText="1"/>
    </xf>
    <xf numFmtId="0" fontId="3" fillId="0" borderId="11" xfId="0" quotePrefix="1" applyFont="1" applyBorder="1"/>
    <xf numFmtId="0" fontId="3" fillId="0" borderId="2" xfId="0" quotePrefix="1" applyFont="1" applyBorder="1"/>
    <xf numFmtId="17" fontId="7" fillId="2" borderId="3" xfId="0" applyNumberFormat="1" applyFont="1" applyFill="1" applyBorder="1" applyAlignment="1">
      <alignment horizontal="center" vertical="top" wrapText="1"/>
    </xf>
    <xf numFmtId="0" fontId="7" fillId="2" borderId="3" xfId="0" applyFont="1" applyFill="1" applyBorder="1" applyAlignment="1">
      <alignment horizontal="right" wrapText="1"/>
    </xf>
    <xf numFmtId="3" fontId="8" fillId="3" borderId="3" xfId="0" applyNumberFormat="1" applyFont="1" applyFill="1" applyBorder="1"/>
    <xf numFmtId="3" fontId="6" fillId="3" borderId="3" xfId="0" applyNumberFormat="1" applyFont="1" applyFill="1" applyBorder="1"/>
    <xf numFmtId="0" fontId="0" fillId="2" borderId="3" xfId="0" applyFill="1" applyBorder="1" applyAlignment="1">
      <alignment horizontal="right"/>
    </xf>
    <xf numFmtId="4" fontId="6" fillId="3" borderId="3" xfId="0" applyNumberFormat="1" applyFont="1" applyFill="1" applyBorder="1"/>
    <xf numFmtId="3" fontId="1" fillId="3" borderId="3" xfId="0" applyNumberFormat="1" applyFont="1" applyFill="1" applyBorder="1"/>
    <xf numFmtId="0" fontId="1" fillId="3" borderId="3" xfId="0" applyFont="1" applyFill="1" applyBorder="1"/>
    <xf numFmtId="0" fontId="3" fillId="0" borderId="11" xfId="0" applyFont="1" applyBorder="1"/>
    <xf numFmtId="0" fontId="3" fillId="0" borderId="2" xfId="0" quotePrefix="1" applyFont="1" applyFill="1" applyBorder="1" applyAlignment="1">
      <alignment wrapText="1"/>
    </xf>
    <xf numFmtId="0" fontId="12" fillId="0" borderId="2" xfId="0" applyFont="1" applyBorder="1" applyAlignment="1">
      <alignment wrapText="1"/>
    </xf>
    <xf numFmtId="4" fontId="8" fillId="0" borderId="2" xfId="0" applyNumberFormat="1" applyFont="1" applyFill="1" applyBorder="1"/>
    <xf numFmtId="0" fontId="3" fillId="0" borderId="2" xfId="0" quotePrefix="1" applyFont="1" applyFill="1" applyBorder="1"/>
    <xf numFmtId="0" fontId="0" fillId="2" borderId="3" xfId="0" quotePrefix="1" applyFill="1" applyBorder="1"/>
    <xf numFmtId="0" fontId="3" fillId="0" borderId="8" xfId="0" applyFont="1" applyBorder="1"/>
    <xf numFmtId="0" fontId="3" fillId="0" borderId="8" xfId="0" applyFont="1" applyFill="1" applyBorder="1"/>
    <xf numFmtId="0" fontId="3" fillId="0" borderId="9" xfId="0" applyFont="1" applyFill="1" applyBorder="1"/>
    <xf numFmtId="0" fontId="3" fillId="2" borderId="8" xfId="0" applyFont="1" applyFill="1" applyBorder="1"/>
    <xf numFmtId="0" fontId="8" fillId="3" borderId="8" xfId="0" applyFont="1" applyFill="1" applyBorder="1"/>
    <xf numFmtId="0" fontId="3" fillId="3" borderId="8" xfId="0" applyFont="1" applyFill="1" applyBorder="1"/>
    <xf numFmtId="0" fontId="3" fillId="0" borderId="2" xfId="0" applyFont="1" applyBorder="1"/>
    <xf numFmtId="0" fontId="0" fillId="0" borderId="5" xfId="0" applyBorder="1" applyAlignment="1">
      <alignment horizontal="center"/>
    </xf>
    <xf numFmtId="0" fontId="0" fillId="2" borderId="3" xfId="0" quotePrefix="1" applyFill="1" applyBorder="1" applyAlignment="1">
      <alignment horizontal="center"/>
    </xf>
    <xf numFmtId="0" fontId="15" fillId="3" borderId="3" xfId="0" applyFont="1" applyFill="1" applyBorder="1"/>
    <xf numFmtId="3" fontId="15" fillId="3" borderId="3" xfId="0" applyNumberFormat="1" applyFont="1" applyFill="1" applyBorder="1"/>
    <xf numFmtId="0" fontId="8" fillId="3" borderId="3" xfId="0" applyFont="1" applyFill="1" applyBorder="1"/>
    <xf numFmtId="0" fontId="7" fillId="2" borderId="3" xfId="0" quotePrefix="1" applyFont="1" applyFill="1" applyBorder="1" applyAlignment="1">
      <alignment horizontal="center" wrapText="1"/>
    </xf>
    <xf numFmtId="0" fontId="3" fillId="2" borderId="3" xfId="0" quotePrefix="1" applyFont="1" applyFill="1" applyBorder="1" applyAlignment="1">
      <alignment horizontal="center"/>
    </xf>
    <xf numFmtId="3" fontId="0" fillId="3" borderId="3" xfId="0" applyNumberFormat="1" applyFill="1" applyBorder="1" applyAlignment="1">
      <alignment horizontal="right"/>
    </xf>
    <xf numFmtId="0" fontId="0" fillId="0" borderId="0" xfId="0" applyFill="1" applyAlignment="1">
      <alignment horizontal="center"/>
    </xf>
    <xf numFmtId="0" fontId="8" fillId="0" borderId="0" xfId="0" applyFont="1" applyFill="1"/>
    <xf numFmtId="0" fontId="8" fillId="0" borderId="0" xfId="0" applyFont="1" applyFill="1" applyBorder="1"/>
    <xf numFmtId="4" fontId="8" fillId="0" borderId="0" xfId="0" applyNumberFormat="1" applyFont="1" applyFill="1" applyBorder="1"/>
    <xf numFmtId="4" fontId="8" fillId="3" borderId="3" xfId="0" applyNumberFormat="1" applyFont="1" applyFill="1" applyBorder="1" applyAlignment="1">
      <alignment horizontal="center"/>
    </xf>
    <xf numFmtId="4" fontId="8" fillId="3" borderId="3" xfId="0" quotePrefix="1" applyNumberFormat="1" applyFont="1" applyFill="1" applyBorder="1" applyAlignment="1">
      <alignment horizontal="center"/>
    </xf>
    <xf numFmtId="4" fontId="0" fillId="3" borderId="3" xfId="0" applyNumberFormat="1" applyFill="1" applyBorder="1" applyAlignment="1">
      <alignment horizontal="center"/>
    </xf>
    <xf numFmtId="0" fontId="7" fillId="2" borderId="3" xfId="0" applyFont="1" applyFill="1" applyBorder="1" applyAlignment="1">
      <alignment wrapText="1"/>
    </xf>
    <xf numFmtId="0" fontId="0" fillId="4" borderId="0" xfId="0" applyFill="1"/>
    <xf numFmtId="0" fontId="3" fillId="4" borderId="0" xfId="0" applyFont="1" applyFill="1" applyAlignment="1">
      <alignment horizontal="left" vertical="top" wrapText="1"/>
    </xf>
    <xf numFmtId="0" fontId="3" fillId="4" borderId="0" xfId="0" applyFont="1" applyFill="1" applyBorder="1" applyAlignment="1">
      <alignment horizontal="left" vertical="top" wrapText="1"/>
    </xf>
    <xf numFmtId="0" fontId="6" fillId="4" borderId="0" xfId="0" applyFont="1" applyFill="1" applyAlignment="1">
      <alignment horizontal="left" vertical="top" wrapText="1"/>
    </xf>
    <xf numFmtId="0" fontId="6" fillId="4" borderId="0" xfId="0" applyFont="1" applyFill="1" applyBorder="1"/>
    <xf numFmtId="0" fontId="0" fillId="4" borderId="0" xfId="0" applyFill="1" applyAlignment="1">
      <alignment horizontal="left" vertical="top" wrapText="1"/>
    </xf>
    <xf numFmtId="0" fontId="0" fillId="4" borderId="0" xfId="0" applyNumberFormat="1" applyFill="1" applyAlignment="1">
      <alignment horizontal="left" vertical="top" wrapText="1"/>
    </xf>
    <xf numFmtId="0" fontId="19" fillId="4" borderId="2" xfId="0" applyFont="1" applyFill="1" applyBorder="1" applyAlignment="1">
      <alignment horizontal="left" vertical="top" wrapText="1"/>
    </xf>
    <xf numFmtId="0" fontId="17" fillId="4" borderId="2" xfId="0" applyFont="1" applyFill="1" applyBorder="1" applyAlignment="1">
      <alignment horizontal="left" vertical="top" wrapText="1"/>
    </xf>
    <xf numFmtId="0" fontId="18" fillId="4" borderId="2" xfId="0" applyFont="1" applyFill="1" applyBorder="1" applyAlignment="1">
      <alignment horizontal="left" vertical="top" wrapText="1"/>
    </xf>
    <xf numFmtId="0" fontId="3" fillId="4" borderId="0" xfId="0" applyFont="1" applyFill="1" applyAlignment="1">
      <alignment wrapText="1"/>
    </xf>
    <xf numFmtId="0" fontId="6" fillId="4" borderId="0" xfId="0" applyFont="1" applyFill="1" applyAlignment="1">
      <alignment wrapText="1"/>
    </xf>
    <xf numFmtId="0" fontId="3" fillId="3" borderId="3" xfId="0" applyFont="1" applyFill="1" applyBorder="1" applyAlignment="1">
      <alignment horizontal="left" wrapText="1"/>
    </xf>
    <xf numFmtId="0" fontId="3" fillId="2" borderId="7" xfId="0" applyFont="1" applyFill="1" applyBorder="1" applyAlignment="1">
      <alignment wrapText="1"/>
    </xf>
    <xf numFmtId="0" fontId="6" fillId="2" borderId="3" xfId="0" applyFont="1" applyFill="1" applyBorder="1" applyAlignment="1">
      <alignment wrapText="1"/>
    </xf>
    <xf numFmtId="0" fontId="0" fillId="2" borderId="3" xfId="0" applyFill="1" applyBorder="1" applyAlignment="1">
      <alignment wrapText="1"/>
    </xf>
    <xf numFmtId="4" fontId="0" fillId="2" borderId="3" xfId="0" applyNumberFormat="1" applyFill="1" applyBorder="1" applyAlignment="1">
      <alignment wrapText="1"/>
    </xf>
    <xf numFmtId="0" fontId="3" fillId="3" borderId="14" xfId="0" applyFont="1" applyFill="1" applyBorder="1"/>
    <xf numFmtId="0" fontId="3" fillId="0" borderId="15" xfId="0" applyFont="1" applyBorder="1"/>
    <xf numFmtId="0" fontId="3" fillId="3" borderId="16" xfId="0" applyFont="1" applyFill="1" applyBorder="1"/>
    <xf numFmtId="0" fontId="3" fillId="3" borderId="15" xfId="0" applyFont="1" applyFill="1" applyBorder="1"/>
    <xf numFmtId="0" fontId="3" fillId="3" borderId="17" xfId="0" applyFont="1" applyFill="1" applyBorder="1"/>
    <xf numFmtId="0" fontId="3" fillId="2" borderId="17" xfId="0" applyFont="1" applyFill="1" applyBorder="1" applyAlignment="1">
      <alignment wrapText="1"/>
    </xf>
    <xf numFmtId="0" fontId="0" fillId="3" borderId="14" xfId="0" applyFill="1" applyBorder="1" applyAlignment="1">
      <alignment horizontal="center"/>
    </xf>
    <xf numFmtId="0" fontId="0" fillId="2" borderId="14" xfId="0" applyFill="1" applyBorder="1" applyAlignment="1">
      <alignment wrapText="1"/>
    </xf>
    <xf numFmtId="0" fontId="0" fillId="0" borderId="15" xfId="0" applyBorder="1"/>
    <xf numFmtId="0" fontId="3" fillId="3" borderId="17" xfId="0" quotePrefix="1" applyFont="1" applyFill="1" applyBorder="1" applyAlignment="1">
      <alignment horizontal="center"/>
    </xf>
    <xf numFmtId="0" fontId="0" fillId="0" borderId="0" xfId="0" applyAlignment="1"/>
    <xf numFmtId="0" fontId="1" fillId="0" borderId="0" xfId="0" applyFont="1"/>
    <xf numFmtId="0" fontId="1" fillId="0" borderId="0" xfId="0" applyFont="1" applyFill="1"/>
    <xf numFmtId="0" fontId="21" fillId="3" borderId="4" xfId="0" applyFont="1" applyFill="1" applyBorder="1"/>
    <xf numFmtId="3" fontId="21" fillId="3" borderId="3" xfId="0" applyNumberFormat="1" applyFont="1" applyFill="1" applyBorder="1"/>
    <xf numFmtId="0" fontId="21" fillId="3" borderId="3" xfId="0" applyFont="1" applyFill="1" applyBorder="1"/>
    <xf numFmtId="169" fontId="20" fillId="3" borderId="3" xfId="0" applyNumberFormat="1" applyFont="1" applyFill="1" applyBorder="1"/>
    <xf numFmtId="4" fontId="21" fillId="3" borderId="3" xfId="0" applyNumberFormat="1" applyFont="1" applyFill="1" applyBorder="1"/>
    <xf numFmtId="169" fontId="21" fillId="3" borderId="3" xfId="0" applyNumberFormat="1" applyFont="1" applyFill="1" applyBorder="1"/>
    <xf numFmtId="0" fontId="21" fillId="0" borderId="0" xfId="0" applyFont="1" applyFill="1"/>
    <xf numFmtId="0" fontId="21" fillId="0" borderId="0" xfId="0" applyFont="1"/>
    <xf numFmtId="0" fontId="22" fillId="3" borderId="3" xfId="0" applyFont="1" applyFill="1" applyBorder="1" applyAlignment="1">
      <alignment wrapText="1"/>
    </xf>
    <xf numFmtId="4" fontId="20" fillId="3" borderId="4" xfId="0" applyNumberFormat="1" applyFont="1" applyFill="1" applyBorder="1"/>
    <xf numFmtId="3" fontId="21" fillId="3" borderId="4" xfId="0" applyNumberFormat="1" applyFont="1" applyFill="1" applyBorder="1"/>
    <xf numFmtId="4" fontId="8" fillId="3" borderId="3" xfId="0" quotePrefix="1" applyNumberFormat="1" applyFont="1" applyFill="1" applyBorder="1"/>
    <xf numFmtId="0" fontId="20" fillId="2" borderId="3" xfId="0" applyFont="1" applyFill="1" applyBorder="1" applyAlignment="1">
      <alignment wrapText="1"/>
    </xf>
    <xf numFmtId="0" fontId="21" fillId="2" borderId="4" xfId="0" applyFont="1" applyFill="1" applyBorder="1"/>
    <xf numFmtId="0" fontId="21" fillId="2" borderId="3" xfId="0" applyFont="1" applyFill="1" applyBorder="1"/>
    <xf numFmtId="3" fontId="21" fillId="2" borderId="3" xfId="0" applyNumberFormat="1" applyFont="1" applyFill="1" applyBorder="1"/>
    <xf numFmtId="3" fontId="21" fillId="0" borderId="0" xfId="0" applyNumberFormat="1" applyFont="1" applyFill="1"/>
    <xf numFmtId="3" fontId="21" fillId="2" borderId="4" xfId="0" applyNumberFormat="1" applyFont="1" applyFill="1" applyBorder="1"/>
    <xf numFmtId="3" fontId="21" fillId="2" borderId="4" xfId="0" quotePrefix="1" applyNumberFormat="1" applyFont="1" applyFill="1" applyBorder="1" applyAlignment="1">
      <alignment horizontal="center"/>
    </xf>
    <xf numFmtId="3" fontId="21" fillId="2" borderId="3" xfId="0" quotePrefix="1" applyNumberFormat="1" applyFont="1" applyFill="1" applyBorder="1" applyAlignment="1">
      <alignment horizontal="center"/>
    </xf>
    <xf numFmtId="0" fontId="1" fillId="2" borderId="3" xfId="0" applyFont="1" applyFill="1" applyBorder="1"/>
    <xf numFmtId="3" fontId="1" fillId="2" borderId="3" xfId="0" applyNumberFormat="1" applyFont="1" applyFill="1" applyBorder="1"/>
    <xf numFmtId="0" fontId="20" fillId="0" borderId="0" xfId="0" applyFont="1" applyFill="1"/>
    <xf numFmtId="3" fontId="21" fillId="0" borderId="0" xfId="0" applyNumberFormat="1" applyFont="1" applyFill="1" applyBorder="1"/>
    <xf numFmtId="0" fontId="21" fillId="0" borderId="0" xfId="0" applyFont="1" applyFill="1" applyBorder="1"/>
    <xf numFmtId="0" fontId="20" fillId="0" borderId="8" xfId="0" applyFont="1" applyFill="1" applyBorder="1"/>
    <xf numFmtId="0" fontId="21" fillId="2" borderId="3" xfId="0" quotePrefix="1" applyFont="1" applyFill="1" applyBorder="1" applyAlignment="1">
      <alignment horizontal="center"/>
    </xf>
    <xf numFmtId="3" fontId="21" fillId="2" borderId="3" xfId="0" quotePrefix="1" applyNumberFormat="1" applyFont="1" applyFill="1" applyBorder="1"/>
    <xf numFmtId="3" fontId="21" fillId="2" borderId="3" xfId="0" applyNumberFormat="1" applyFont="1" applyFill="1" applyBorder="1" applyAlignment="1">
      <alignment horizontal="center"/>
    </xf>
    <xf numFmtId="0" fontId="0" fillId="6" borderId="0" xfId="0" applyFill="1"/>
    <xf numFmtId="0" fontId="0" fillId="6" borderId="3" xfId="0" applyFill="1" applyBorder="1" applyAlignment="1">
      <alignment wrapText="1"/>
    </xf>
    <xf numFmtId="0" fontId="6" fillId="6" borderId="3" xfId="0" applyFont="1" applyFill="1" applyBorder="1" applyAlignment="1">
      <alignment horizontal="center" wrapText="1"/>
    </xf>
    <xf numFmtId="0" fontId="3" fillId="6" borderId="3" xfId="0" applyFont="1" applyFill="1" applyBorder="1" applyAlignment="1">
      <alignment wrapText="1"/>
    </xf>
    <xf numFmtId="0" fontId="3" fillId="6" borderId="18" xfId="0" applyFont="1" applyFill="1" applyBorder="1" applyAlignment="1">
      <alignment horizontal="center"/>
    </xf>
    <xf numFmtId="0" fontId="6" fillId="6" borderId="18" xfId="0" applyFont="1" applyFill="1" applyBorder="1" applyAlignment="1">
      <alignment horizontal="center" wrapText="1"/>
    </xf>
    <xf numFmtId="0" fontId="0" fillId="6" borderId="3" xfId="0" applyFill="1" applyBorder="1" applyAlignment="1">
      <alignment horizontal="center" wrapText="1"/>
    </xf>
    <xf numFmtId="0" fontId="6" fillId="6" borderId="3" xfId="0" applyFont="1" applyFill="1" applyBorder="1" applyAlignment="1">
      <alignment horizontal="center"/>
    </xf>
    <xf numFmtId="0" fontId="0" fillId="6" borderId="6" xfId="0" applyFill="1" applyBorder="1" applyAlignment="1">
      <alignment wrapText="1"/>
    </xf>
    <xf numFmtId="0" fontId="0" fillId="6" borderId="7" xfId="0" applyFill="1" applyBorder="1" applyAlignment="1"/>
    <xf numFmtId="0" fontId="0" fillId="6" borderId="3" xfId="0" applyFill="1" applyBorder="1"/>
    <xf numFmtId="0" fontId="6" fillId="6" borderId="3" xfId="0" applyFont="1" applyFill="1" applyBorder="1"/>
    <xf numFmtId="0" fontId="6" fillId="6" borderId="0" xfId="0" applyFont="1" applyFill="1"/>
    <xf numFmtId="0" fontId="6" fillId="6" borderId="6" xfId="0" applyFont="1" applyFill="1" applyBorder="1" applyAlignment="1">
      <alignment wrapText="1"/>
    </xf>
    <xf numFmtId="3" fontId="6" fillId="7" borderId="3" xfId="0" applyNumberFormat="1" applyFont="1" applyFill="1" applyBorder="1" applyProtection="1">
      <protection locked="0"/>
    </xf>
    <xf numFmtId="0" fontId="6" fillId="2" borderId="3" xfId="0" applyFont="1" applyFill="1" applyBorder="1"/>
    <xf numFmtId="0" fontId="6" fillId="0" borderId="0" xfId="0" applyFont="1" applyFill="1" applyBorder="1"/>
    <xf numFmtId="169" fontId="0" fillId="6" borderId="3" xfId="0" applyNumberFormat="1" applyFill="1" applyBorder="1"/>
    <xf numFmtId="0" fontId="6" fillId="3" borderId="3" xfId="0" applyFont="1" applyFill="1" applyBorder="1" applyAlignment="1">
      <alignment wrapText="1"/>
    </xf>
    <xf numFmtId="0" fontId="6" fillId="3" borderId="14" xfId="0" applyFont="1" applyFill="1" applyBorder="1"/>
    <xf numFmtId="0" fontId="0" fillId="8" borderId="3" xfId="0" applyFill="1" applyBorder="1"/>
    <xf numFmtId="0" fontId="7" fillId="8" borderId="3" xfId="0" applyFont="1" applyFill="1" applyBorder="1" applyAlignment="1">
      <alignment horizontal="center" wrapText="1"/>
    </xf>
    <xf numFmtId="3" fontId="1" fillId="2" borderId="4" xfId="0" applyNumberFormat="1" applyFont="1" applyFill="1" applyBorder="1"/>
    <xf numFmtId="0" fontId="0" fillId="0" borderId="6" xfId="0" quotePrefix="1" applyBorder="1"/>
    <xf numFmtId="0" fontId="6" fillId="7" borderId="7" xfId="0" applyFont="1" applyFill="1" applyBorder="1"/>
    <xf numFmtId="0" fontId="0" fillId="2" borderId="18" xfId="0" applyFill="1" applyBorder="1"/>
    <xf numFmtId="0" fontId="1" fillId="2" borderId="18" xfId="0" applyFont="1" applyFill="1" applyBorder="1"/>
    <xf numFmtId="3" fontId="6" fillId="3" borderId="18" xfId="0" applyNumberFormat="1" applyFont="1" applyFill="1" applyBorder="1"/>
    <xf numFmtId="3" fontId="6" fillId="3" borderId="4" xfId="0" applyNumberFormat="1" applyFont="1" applyFill="1" applyBorder="1"/>
    <xf numFmtId="0" fontId="1" fillId="2" borderId="4" xfId="0" applyFont="1" applyFill="1" applyBorder="1"/>
    <xf numFmtId="0" fontId="0" fillId="0" borderId="6" xfId="0" applyFill="1" applyBorder="1"/>
    <xf numFmtId="0" fontId="6" fillId="0" borderId="5" xfId="0" applyFont="1" applyFill="1" applyBorder="1"/>
    <xf numFmtId="0" fontId="0" fillId="0" borderId="7" xfId="0" applyBorder="1"/>
    <xf numFmtId="0" fontId="7" fillId="8" borderId="3" xfId="0" applyFont="1" applyFill="1" applyBorder="1" applyAlignment="1">
      <alignment horizontal="right" wrapText="1"/>
    </xf>
    <xf numFmtId="0" fontId="0" fillId="8" borderId="3" xfId="0" applyFill="1" applyBorder="1" applyAlignment="1">
      <alignment horizontal="right"/>
    </xf>
    <xf numFmtId="3" fontId="6" fillId="8" borderId="3" xfId="0" applyNumberFormat="1" applyFont="1" applyFill="1" applyBorder="1"/>
    <xf numFmtId="0" fontId="6" fillId="0" borderId="0" xfId="0" applyFont="1" applyAlignment="1">
      <alignment horizontal="left" wrapText="1"/>
    </xf>
    <xf numFmtId="3" fontId="1" fillId="3" borderId="3" xfId="0" applyNumberFormat="1" applyFont="1" applyFill="1" applyBorder="1" applyAlignment="1">
      <alignment horizontal="right"/>
    </xf>
    <xf numFmtId="3" fontId="6" fillId="3" borderId="3" xfId="0" quotePrefix="1" applyNumberFormat="1" applyFont="1" applyFill="1" applyBorder="1" applyAlignment="1">
      <alignment horizontal="right"/>
    </xf>
    <xf numFmtId="3" fontId="0" fillId="3" borderId="3" xfId="0" quotePrefix="1" applyNumberFormat="1" applyFill="1" applyBorder="1" applyAlignment="1">
      <alignment horizontal="right"/>
    </xf>
    <xf numFmtId="3" fontId="8" fillId="3" borderId="3" xfId="0" applyNumberFormat="1" applyFont="1" applyFill="1" applyBorder="1" applyAlignment="1">
      <alignment horizontal="right"/>
    </xf>
    <xf numFmtId="0" fontId="0" fillId="7" borderId="3" xfId="0" applyFill="1" applyBorder="1" applyAlignment="1">
      <alignment horizontal="center" wrapText="1"/>
    </xf>
    <xf numFmtId="0" fontId="6" fillId="7" borderId="3" xfId="0" applyFont="1" applyFill="1" applyBorder="1"/>
    <xf numFmtId="0" fontId="0" fillId="7" borderId="3" xfId="0" applyFill="1" applyBorder="1"/>
    <xf numFmtId="0" fontId="38" fillId="0" borderId="0" xfId="0" applyFont="1"/>
    <xf numFmtId="0" fontId="6" fillId="7" borderId="3" xfId="0" applyFont="1" applyFill="1" applyBorder="1" applyAlignment="1">
      <alignment horizontal="center" wrapText="1"/>
    </xf>
    <xf numFmtId="4" fontId="39" fillId="3" borderId="3" xfId="0" applyNumberFormat="1" applyFont="1" applyFill="1" applyBorder="1"/>
    <xf numFmtId="43" fontId="6" fillId="0" borderId="0" xfId="1" applyNumberFormat="1" applyFont="1"/>
    <xf numFmtId="0" fontId="40" fillId="0" borderId="0" xfId="0" applyFont="1" applyBorder="1" applyAlignment="1">
      <alignment vertical="top" wrapText="1"/>
    </xf>
    <xf numFmtId="0" fontId="41" fillId="2" borderId="3" xfId="0" applyFont="1" applyFill="1" applyBorder="1"/>
    <xf numFmtId="0" fontId="42" fillId="0" borderId="0" xfId="0" applyFont="1" applyFill="1"/>
    <xf numFmtId="0" fontId="42" fillId="2" borderId="3" xfId="0" applyFont="1" applyFill="1" applyBorder="1"/>
    <xf numFmtId="3" fontId="42" fillId="2" borderId="3" xfId="0" applyNumberFormat="1" applyFont="1" applyFill="1" applyBorder="1"/>
    <xf numFmtId="0" fontId="39" fillId="0" borderId="0" xfId="0" applyFont="1"/>
    <xf numFmtId="0" fontId="39" fillId="0" borderId="0" xfId="0" applyFont="1" applyFill="1"/>
    <xf numFmtId="0" fontId="43" fillId="0" borderId="0" xfId="0" applyFont="1" applyBorder="1" applyAlignment="1">
      <alignment wrapText="1"/>
    </xf>
    <xf numFmtId="0" fontId="38" fillId="2" borderId="3" xfId="0" applyFont="1" applyFill="1" applyBorder="1"/>
    <xf numFmtId="0" fontId="39" fillId="2" borderId="3" xfId="0" applyFont="1" applyFill="1" applyBorder="1"/>
    <xf numFmtId="3" fontId="39" fillId="2" borderId="3" xfId="0" applyNumberFormat="1" applyFont="1" applyFill="1" applyBorder="1"/>
    <xf numFmtId="0" fontId="39" fillId="0" borderId="1" xfId="0" applyFont="1" applyBorder="1" applyAlignment="1">
      <alignment wrapText="1"/>
    </xf>
    <xf numFmtId="0" fontId="6" fillId="7" borderId="0" xfId="0" applyFont="1" applyFill="1"/>
    <xf numFmtId="3" fontId="6" fillId="2" borderId="3" xfId="0" applyNumberFormat="1" applyFont="1" applyFill="1" applyBorder="1"/>
    <xf numFmtId="0" fontId="21" fillId="2" borderId="18" xfId="0" applyFont="1" applyFill="1" applyBorder="1"/>
    <xf numFmtId="0" fontId="0" fillId="3" borderId="18" xfId="0" applyFill="1" applyBorder="1"/>
    <xf numFmtId="3" fontId="21" fillId="2" borderId="18" xfId="0" applyNumberFormat="1" applyFont="1" applyFill="1" applyBorder="1"/>
    <xf numFmtId="4" fontId="0" fillId="3" borderId="18" xfId="0" applyNumberFormat="1" applyFill="1" applyBorder="1"/>
    <xf numFmtId="0" fontId="6" fillId="0" borderId="8" xfId="0" applyFont="1" applyBorder="1"/>
    <xf numFmtId="0" fontId="3" fillId="0" borderId="9" xfId="0" applyFont="1" applyBorder="1"/>
    <xf numFmtId="4" fontId="0" fillId="2" borderId="3" xfId="0" applyNumberFormat="1" applyFill="1" applyBorder="1"/>
    <xf numFmtId="0" fontId="21" fillId="8" borderId="3" xfId="0" applyFont="1" applyFill="1" applyBorder="1"/>
    <xf numFmtId="3" fontId="21" fillId="8" borderId="3" xfId="0" applyNumberFormat="1" applyFont="1" applyFill="1" applyBorder="1"/>
    <xf numFmtId="0" fontId="0" fillId="0" borderId="0" xfId="0" applyFill="1" applyAlignment="1">
      <alignment wrapText="1"/>
    </xf>
    <xf numFmtId="4" fontId="38" fillId="3" borderId="3" xfId="0" applyNumberFormat="1" applyFont="1" applyFill="1" applyBorder="1" applyAlignment="1">
      <alignment horizontal="center"/>
    </xf>
    <xf numFmtId="0" fontId="6" fillId="8" borderId="3" xfId="0" applyFont="1" applyFill="1" applyBorder="1"/>
    <xf numFmtId="0" fontId="7" fillId="8" borderId="3" xfId="0" applyFont="1" applyFill="1" applyBorder="1" applyAlignment="1">
      <alignment horizontal="center" vertical="top" wrapText="1"/>
    </xf>
    <xf numFmtId="0" fontId="0" fillId="8" borderId="4" xfId="0" applyFill="1" applyBorder="1"/>
    <xf numFmtId="0" fontId="0" fillId="7" borderId="0" xfId="0" applyFill="1"/>
    <xf numFmtId="3" fontId="38" fillId="3" borderId="3" xfId="0" applyNumberFormat="1" applyFont="1" applyFill="1" applyBorder="1"/>
    <xf numFmtId="0" fontId="6" fillId="0" borderId="1" xfId="0" applyFont="1" applyBorder="1"/>
    <xf numFmtId="0" fontId="0" fillId="8" borderId="3" xfId="0" applyFill="1" applyBorder="1" applyAlignment="1">
      <alignment horizontal="center"/>
    </xf>
    <xf numFmtId="0" fontId="0" fillId="8" borderId="4" xfId="0" applyFill="1" applyBorder="1" applyAlignment="1">
      <alignment horizontal="center"/>
    </xf>
    <xf numFmtId="0" fontId="3" fillId="6" borderId="3" xfId="0" applyFont="1" applyFill="1" applyBorder="1" applyAlignment="1">
      <alignment horizontal="center"/>
    </xf>
    <xf numFmtId="0" fontId="6" fillId="6" borderId="7" xfId="0" applyFont="1" applyFill="1" applyBorder="1"/>
    <xf numFmtId="0" fontId="0" fillId="6" borderId="18" xfId="0" applyFill="1" applyBorder="1" applyAlignment="1">
      <alignment horizontal="center" wrapText="1"/>
    </xf>
    <xf numFmtId="3" fontId="6" fillId="6" borderId="18" xfId="0" applyNumberFormat="1" applyFont="1" applyFill="1" applyBorder="1" applyProtection="1">
      <protection locked="0"/>
    </xf>
    <xf numFmtId="0" fontId="6" fillId="6" borderId="7" xfId="0" applyFont="1" applyFill="1" applyBorder="1" applyAlignment="1"/>
    <xf numFmtId="0" fontId="0" fillId="6" borderId="4" xfId="0" applyFill="1" applyBorder="1" applyAlignment="1">
      <alignment horizontal="center" wrapText="1"/>
    </xf>
    <xf numFmtId="3" fontId="6" fillId="6" borderId="4" xfId="0" applyNumberFormat="1" applyFont="1" applyFill="1" applyBorder="1" applyProtection="1">
      <protection locked="0"/>
    </xf>
    <xf numFmtId="3" fontId="6" fillId="6" borderId="3" xfId="0" applyNumberFormat="1" applyFont="1" applyFill="1" applyBorder="1" applyAlignment="1">
      <alignment horizontal="center" wrapText="1"/>
    </xf>
    <xf numFmtId="169" fontId="6" fillId="6" borderId="3" xfId="0" applyNumberFormat="1" applyFont="1" applyFill="1" applyBorder="1" applyAlignment="1">
      <alignment horizontal="center"/>
    </xf>
    <xf numFmtId="169" fontId="6" fillId="6" borderId="3" xfId="0" applyNumberFormat="1" applyFont="1" applyFill="1" applyBorder="1" applyAlignment="1">
      <alignment horizontal="center" wrapText="1"/>
    </xf>
    <xf numFmtId="0" fontId="3" fillId="6" borderId="6" xfId="0" applyFont="1" applyFill="1" applyBorder="1" applyAlignment="1">
      <alignment wrapText="1"/>
    </xf>
    <xf numFmtId="0" fontId="0" fillId="6" borderId="7" xfId="0" applyFill="1" applyBorder="1"/>
    <xf numFmtId="0" fontId="3" fillId="7" borderId="0" xfId="0" applyFont="1" applyFill="1"/>
    <xf numFmtId="0" fontId="3" fillId="7" borderId="0" xfId="0" applyFont="1" applyFill="1" applyAlignment="1">
      <alignment horizontal="center"/>
    </xf>
    <xf numFmtId="0" fontId="6" fillId="7" borderId="0" xfId="0" applyFont="1" applyFill="1" applyBorder="1" applyAlignment="1">
      <alignment horizontal="left"/>
    </xf>
    <xf numFmtId="0" fontId="6" fillId="7" borderId="0" xfId="0" applyFont="1" applyFill="1" applyBorder="1" applyAlignment="1">
      <alignment horizontal="center"/>
    </xf>
    <xf numFmtId="0" fontId="0" fillId="7" borderId="0" xfId="0" applyFill="1" applyAlignment="1">
      <alignment horizontal="center"/>
    </xf>
    <xf numFmtId="0" fontId="0" fillId="7" borderId="0" xfId="0" applyFill="1" applyAlignment="1">
      <alignment wrapText="1"/>
    </xf>
    <xf numFmtId="0" fontId="7" fillId="8" borderId="3" xfId="0" applyFont="1" applyFill="1" applyBorder="1" applyAlignment="1">
      <alignment horizontal="right" vertical="top" wrapText="1"/>
    </xf>
    <xf numFmtId="0" fontId="0" fillId="0" borderId="6" xfId="0" applyBorder="1"/>
    <xf numFmtId="3" fontId="20" fillId="3" borderId="3" xfId="0" applyNumberFormat="1" applyFont="1" applyFill="1" applyBorder="1"/>
    <xf numFmtId="0" fontId="6" fillId="7" borderId="3" xfId="0" applyFont="1" applyFill="1" applyBorder="1" applyAlignment="1">
      <alignment horizontal="center"/>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6" borderId="3" xfId="0" applyFont="1" applyFill="1" applyBorder="1" applyAlignment="1">
      <alignment wrapText="1"/>
    </xf>
    <xf numFmtId="0" fontId="0" fillId="7" borderId="0" xfId="0" applyFill="1" applyAlignment="1">
      <alignment horizontal="left"/>
    </xf>
    <xf numFmtId="0" fontId="0" fillId="7" borderId="0" xfId="0" applyFill="1" applyBorder="1"/>
    <xf numFmtId="0" fontId="6" fillId="7" borderId="0" xfId="0" applyFont="1" applyFill="1" applyBorder="1"/>
    <xf numFmtId="0" fontId="0" fillId="7" borderId="3" xfId="0" applyFill="1" applyBorder="1" applyAlignment="1">
      <alignment wrapText="1"/>
    </xf>
    <xf numFmtId="0" fontId="3" fillId="7" borderId="3" xfId="0" applyFont="1" applyFill="1" applyBorder="1" applyAlignment="1">
      <alignment horizontal="center"/>
    </xf>
    <xf numFmtId="0" fontId="6" fillId="7" borderId="3" xfId="0" applyFont="1" applyFill="1" applyBorder="1" applyAlignment="1">
      <alignment wrapText="1"/>
    </xf>
    <xf numFmtId="0" fontId="3" fillId="6" borderId="3" xfId="0" applyFont="1" applyFill="1" applyBorder="1"/>
    <xf numFmtId="3" fontId="6" fillId="6" borderId="3" xfId="0" applyNumberFormat="1" applyFont="1" applyFill="1" applyBorder="1" applyProtection="1">
      <protection locked="0"/>
    </xf>
    <xf numFmtId="3" fontId="0" fillId="6" borderId="4" xfId="0" applyNumberFormat="1" applyFill="1" applyBorder="1"/>
    <xf numFmtId="3" fontId="6" fillId="7" borderId="21" xfId="0" applyNumberFormat="1" applyFont="1" applyFill="1" applyBorder="1" applyProtection="1">
      <protection locked="0"/>
    </xf>
    <xf numFmtId="3" fontId="6" fillId="7" borderId="23" xfId="0" applyNumberFormat="1" applyFont="1" applyFill="1" applyBorder="1" applyProtection="1">
      <protection locked="0"/>
    </xf>
    <xf numFmtId="3" fontId="0" fillId="7" borderId="23" xfId="0" applyNumberFormat="1" applyFill="1" applyBorder="1" applyProtection="1">
      <protection locked="0"/>
    </xf>
    <xf numFmtId="3" fontId="0" fillId="6" borderId="18" xfId="0" applyNumberFormat="1" applyFill="1" applyBorder="1"/>
    <xf numFmtId="3" fontId="6" fillId="7" borderId="24" xfId="0" applyNumberFormat="1" applyFont="1" applyFill="1" applyBorder="1" applyAlignment="1" applyProtection="1">
      <alignment horizontal="left" wrapText="1"/>
      <protection locked="0"/>
    </xf>
    <xf numFmtId="1" fontId="6" fillId="7" borderId="24" xfId="0" applyNumberFormat="1" applyFont="1" applyFill="1" applyBorder="1" applyAlignment="1" applyProtection="1">
      <alignment horizontal="left" wrapText="1"/>
      <protection locked="0"/>
    </xf>
    <xf numFmtId="3" fontId="6" fillId="7" borderId="25" xfId="0" applyNumberFormat="1" applyFont="1" applyFill="1" applyBorder="1" applyAlignment="1" applyProtection="1">
      <alignment horizontal="left" wrapText="1"/>
      <protection locked="0"/>
    </xf>
    <xf numFmtId="3" fontId="6" fillId="7" borderId="26" xfId="0" applyNumberFormat="1" applyFont="1" applyFill="1" applyBorder="1" applyAlignment="1" applyProtection="1">
      <alignment horizontal="left"/>
      <protection locked="0"/>
    </xf>
    <xf numFmtId="0" fontId="3" fillId="7" borderId="0" xfId="0" applyFont="1" applyFill="1" applyAlignment="1">
      <alignment horizontal="left"/>
    </xf>
    <xf numFmtId="0" fontId="3" fillId="7" borderId="0" xfId="0" applyFont="1" applyFill="1" applyBorder="1" applyAlignment="1"/>
    <xf numFmtId="0" fontId="3" fillId="7" borderId="0" xfId="0" applyFont="1" applyFill="1" applyBorder="1" applyAlignment="1">
      <alignment horizontal="left"/>
    </xf>
    <xf numFmtId="0" fontId="3" fillId="7" borderId="0" xfId="0" applyFont="1" applyFill="1" applyBorder="1" applyAlignment="1">
      <alignment horizontal="center"/>
    </xf>
    <xf numFmtId="0" fontId="3" fillId="7" borderId="3" xfId="0" applyFont="1" applyFill="1" applyBorder="1" applyAlignment="1">
      <alignment wrapText="1"/>
    </xf>
    <xf numFmtId="0" fontId="6" fillId="6" borderId="0" xfId="0" applyFont="1" applyFill="1" applyBorder="1"/>
    <xf numFmtId="0" fontId="0" fillId="6" borderId="0" xfId="0" applyFill="1" applyBorder="1"/>
    <xf numFmtId="0" fontId="3" fillId="6" borderId="0" xfId="0" applyFont="1" applyFill="1" applyBorder="1" applyAlignment="1">
      <alignment horizontal="center"/>
    </xf>
    <xf numFmtId="3" fontId="6" fillId="6" borderId="3" xfId="0" applyNumberFormat="1" applyFont="1" applyFill="1" applyBorder="1"/>
    <xf numFmtId="0" fontId="6" fillId="6" borderId="4" xfId="0" applyFont="1" applyFill="1" applyBorder="1"/>
    <xf numFmtId="3" fontId="6" fillId="6" borderId="4" xfId="0" applyNumberFormat="1" applyFont="1" applyFill="1" applyBorder="1"/>
    <xf numFmtId="3" fontId="6" fillId="7" borderId="27" xfId="0" applyNumberFormat="1" applyFont="1" applyFill="1" applyBorder="1" applyProtection="1">
      <protection locked="0"/>
    </xf>
    <xf numFmtId="0" fontId="0" fillId="6" borderId="13" xfId="0" applyFill="1" applyBorder="1" applyAlignment="1">
      <alignment horizontal="center" wrapText="1"/>
    </xf>
    <xf numFmtId="3" fontId="6" fillId="6" borderId="13" xfId="0" applyNumberFormat="1" applyFont="1" applyFill="1" applyBorder="1" applyProtection="1">
      <protection locked="0"/>
    </xf>
    <xf numFmtId="3" fontId="6" fillId="7" borderId="28" xfId="0" applyNumberFormat="1" applyFont="1" applyFill="1" applyBorder="1" applyProtection="1">
      <protection locked="0"/>
    </xf>
    <xf numFmtId="0" fontId="6" fillId="7" borderId="29" xfId="0" applyFont="1" applyFill="1" applyBorder="1" applyAlignment="1" applyProtection="1">
      <alignment horizontal="center" wrapText="1"/>
      <protection locked="0"/>
    </xf>
    <xf numFmtId="170" fontId="24" fillId="7" borderId="0" xfId="1" applyNumberFormat="1" applyFont="1" applyFill="1"/>
    <xf numFmtId="0" fontId="23" fillId="6" borderId="3" xfId="0" applyFont="1" applyFill="1" applyBorder="1" applyAlignment="1">
      <alignment wrapText="1"/>
    </xf>
    <xf numFmtId="169" fontId="25" fillId="6" borderId="3" xfId="0" applyNumberFormat="1" applyFont="1" applyFill="1" applyBorder="1" applyAlignment="1">
      <alignment horizontal="right"/>
    </xf>
    <xf numFmtId="169" fontId="6" fillId="6" borderId="3" xfId="0" applyNumberFormat="1" applyFont="1" applyFill="1" applyBorder="1"/>
    <xf numFmtId="0" fontId="25" fillId="6" borderId="3" xfId="0" applyFont="1" applyFill="1" applyBorder="1"/>
    <xf numFmtId="0" fontId="25" fillId="6" borderId="18" xfId="0" applyFont="1" applyFill="1" applyBorder="1" applyAlignment="1">
      <alignment horizontal="center"/>
    </xf>
    <xf numFmtId="3" fontId="25" fillId="6" borderId="18" xfId="0" applyNumberFormat="1" applyFont="1" applyFill="1" applyBorder="1"/>
    <xf numFmtId="0" fontId="0" fillId="6" borderId="4" xfId="0" applyFill="1" applyBorder="1"/>
    <xf numFmtId="0" fontId="23" fillId="6" borderId="6" xfId="0" applyFont="1" applyFill="1" applyBorder="1" applyAlignment="1">
      <alignment wrapText="1"/>
    </xf>
    <xf numFmtId="3" fontId="6" fillId="6" borderId="7" xfId="0" applyNumberFormat="1" applyFont="1" applyFill="1" applyBorder="1"/>
    <xf numFmtId="0" fontId="6" fillId="6" borderId="18" xfId="0" applyFont="1" applyFill="1" applyBorder="1" applyAlignment="1">
      <alignment horizontal="center"/>
    </xf>
    <xf numFmtId="0" fontId="25" fillId="7" borderId="30" xfId="0" applyFont="1" applyFill="1" applyBorder="1" applyAlignment="1" applyProtection="1">
      <alignment horizontal="center"/>
      <protection locked="0"/>
    </xf>
    <xf numFmtId="0" fontId="0" fillId="6" borderId="13" xfId="0" applyFill="1" applyBorder="1"/>
    <xf numFmtId="3" fontId="0" fillId="6" borderId="13" xfId="0" applyNumberFormat="1" applyFill="1" applyBorder="1"/>
    <xf numFmtId="3" fontId="23" fillId="6" borderId="18" xfId="0" applyNumberFormat="1" applyFont="1" applyFill="1" applyBorder="1"/>
    <xf numFmtId="3" fontId="6" fillId="6" borderId="13" xfId="0" applyNumberFormat="1" applyFont="1" applyFill="1" applyBorder="1" applyProtection="1"/>
    <xf numFmtId="0" fontId="6" fillId="6" borderId="4" xfId="0" applyFont="1" applyFill="1" applyBorder="1" applyAlignment="1" applyProtection="1">
      <alignment horizontal="center" wrapText="1"/>
    </xf>
    <xf numFmtId="3" fontId="6" fillId="6" borderId="3" xfId="0" applyNumberFormat="1" applyFont="1" applyFill="1" applyBorder="1" applyProtection="1"/>
    <xf numFmtId="0" fontId="6" fillId="6" borderId="3" xfId="0" applyFont="1" applyFill="1" applyBorder="1" applyAlignment="1" applyProtection="1">
      <alignment horizontal="center"/>
    </xf>
    <xf numFmtId="3" fontId="6" fillId="7" borderId="3" xfId="0" applyNumberFormat="1" applyFont="1" applyFill="1" applyBorder="1" applyAlignment="1">
      <alignment horizontal="center" wrapText="1"/>
    </xf>
    <xf numFmtId="3" fontId="0" fillId="7" borderId="3" xfId="0" applyNumberFormat="1" applyFill="1" applyBorder="1" applyAlignment="1">
      <alignment wrapText="1"/>
    </xf>
    <xf numFmtId="169" fontId="0" fillId="7" borderId="3" xfId="0" applyNumberFormat="1" applyFill="1" applyBorder="1" applyAlignment="1">
      <alignment horizontal="right" wrapText="1"/>
    </xf>
    <xf numFmtId="3" fontId="0" fillId="6" borderId="3" xfId="0" applyNumberFormat="1" applyFill="1" applyBorder="1" applyAlignment="1">
      <alignment wrapText="1"/>
    </xf>
    <xf numFmtId="169" fontId="0" fillId="6" borderId="3" xfId="0" applyNumberFormat="1" applyFill="1" applyBorder="1" applyAlignment="1">
      <alignment horizontal="right" wrapText="1"/>
    </xf>
    <xf numFmtId="0" fontId="3" fillId="6" borderId="3" xfId="0" applyFont="1" applyFill="1" applyBorder="1" applyAlignment="1">
      <alignment horizontal="center" wrapText="1"/>
    </xf>
    <xf numFmtId="3" fontId="3" fillId="6" borderId="3" xfId="0" applyNumberFormat="1" applyFont="1" applyFill="1" applyBorder="1" applyProtection="1">
      <protection locked="0"/>
    </xf>
    <xf numFmtId="3" fontId="3" fillId="6" borderId="3" xfId="0" applyNumberFormat="1" applyFont="1" applyFill="1" applyBorder="1"/>
    <xf numFmtId="0" fontId="0" fillId="6" borderId="10" xfId="0" applyFill="1" applyBorder="1"/>
    <xf numFmtId="0" fontId="0" fillId="6" borderId="18" xfId="0" applyFill="1" applyBorder="1" applyAlignment="1">
      <alignment wrapText="1"/>
    </xf>
    <xf numFmtId="0" fontId="0" fillId="8" borderId="18" xfId="0" applyFill="1" applyBorder="1" applyAlignment="1">
      <alignment horizontal="right"/>
    </xf>
    <xf numFmtId="0" fontId="7" fillId="8" borderId="3" xfId="0" quotePrefix="1" applyFont="1" applyFill="1" applyBorder="1" applyAlignment="1">
      <alignment horizontal="center" wrapText="1"/>
    </xf>
    <xf numFmtId="169" fontId="0" fillId="7" borderId="3" xfId="0" applyNumberFormat="1" applyFill="1" applyBorder="1" applyAlignment="1">
      <alignment horizontal="right"/>
    </xf>
    <xf numFmtId="169" fontId="3" fillId="6" borderId="3" xfId="0" applyNumberFormat="1" applyFont="1" applyFill="1" applyBorder="1" applyAlignment="1">
      <alignment horizontal="right"/>
    </xf>
    <xf numFmtId="3" fontId="0" fillId="6" borderId="3" xfId="0" applyNumberFormat="1" applyFill="1" applyBorder="1" applyAlignment="1">
      <alignment horizontal="right" wrapText="1"/>
    </xf>
    <xf numFmtId="3" fontId="0" fillId="7" borderId="3" xfId="0" applyNumberFormat="1" applyFill="1" applyBorder="1" applyAlignment="1">
      <alignment horizontal="right" wrapText="1"/>
    </xf>
    <xf numFmtId="0" fontId="7" fillId="0" borderId="0" xfId="0" applyFont="1" applyBorder="1" applyAlignment="1">
      <alignment horizontal="center" vertical="top" wrapText="1"/>
    </xf>
    <xf numFmtId="0" fontId="6" fillId="0" borderId="1" xfId="0" applyFont="1" applyBorder="1" applyAlignment="1">
      <alignment wrapText="1"/>
    </xf>
    <xf numFmtId="4" fontId="21" fillId="2" borderId="4" xfId="0" applyNumberFormat="1" applyFont="1" applyFill="1" applyBorder="1" applyAlignment="1">
      <alignment horizontal="center"/>
    </xf>
    <xf numFmtId="168" fontId="21" fillId="2" borderId="3" xfId="0" applyNumberFormat="1" applyFont="1" applyFill="1" applyBorder="1"/>
    <xf numFmtId="0" fontId="7" fillId="0" borderId="0" xfId="0" applyFont="1" applyBorder="1" applyAlignment="1">
      <alignment horizontal="center"/>
    </xf>
    <xf numFmtId="168" fontId="21" fillId="0" borderId="0" xfId="0" applyNumberFormat="1" applyFont="1" applyFill="1" applyBorder="1"/>
    <xf numFmtId="171" fontId="0" fillId="0" borderId="0" xfId="0" applyNumberFormat="1" applyFill="1" applyBorder="1"/>
    <xf numFmtId="0" fontId="0" fillId="0" borderId="0" xfId="0" applyAlignment="1">
      <alignment horizontal="left"/>
    </xf>
    <xf numFmtId="0" fontId="6" fillId="0" borderId="2" xfId="0" applyFont="1" applyBorder="1"/>
    <xf numFmtId="0" fontId="3" fillId="7" borderId="30" xfId="0" applyFont="1" applyFill="1" applyBorder="1" applyAlignment="1" applyProtection="1">
      <alignment horizontal="left" wrapText="1"/>
      <protection locked="0"/>
    </xf>
    <xf numFmtId="169" fontId="21" fillId="2" borderId="3" xfId="0" applyNumberFormat="1" applyFont="1" applyFill="1" applyBorder="1"/>
    <xf numFmtId="169" fontId="0" fillId="0" borderId="3" xfId="0" applyNumberFormat="1" applyFill="1" applyBorder="1" applyAlignment="1">
      <alignment horizontal="right" wrapText="1"/>
    </xf>
    <xf numFmtId="0" fontId="0" fillId="10" borderId="0" xfId="0" applyFill="1" applyAlignment="1">
      <alignment wrapText="1"/>
    </xf>
    <xf numFmtId="0" fontId="0" fillId="10" borderId="3" xfId="0" applyFill="1" applyBorder="1" applyAlignment="1">
      <alignment wrapText="1"/>
    </xf>
    <xf numFmtId="0" fontId="6" fillId="10" borderId="3" xfId="0" applyFont="1" applyFill="1" applyBorder="1" applyAlignment="1">
      <alignment wrapText="1"/>
    </xf>
    <xf numFmtId="3" fontId="0" fillId="7" borderId="0" xfId="0" applyNumberFormat="1" applyFill="1"/>
    <xf numFmtId="3" fontId="24" fillId="6" borderId="3" xfId="1" applyNumberFormat="1" applyFont="1" applyFill="1" applyBorder="1" applyAlignment="1"/>
    <xf numFmtId="3" fontId="24" fillId="6" borderId="0" xfId="1" applyNumberFormat="1" applyFont="1" applyFill="1" applyAlignment="1"/>
    <xf numFmtId="3" fontId="24" fillId="6" borderId="7" xfId="1" applyNumberFormat="1" applyFont="1" applyFill="1" applyBorder="1" applyAlignment="1"/>
    <xf numFmtId="3" fontId="6" fillId="6" borderId="3" xfId="1" applyNumberFormat="1" applyFont="1" applyFill="1" applyBorder="1" applyAlignment="1"/>
    <xf numFmtId="3" fontId="0" fillId="6" borderId="3" xfId="0" applyNumberFormat="1" applyFill="1" applyBorder="1" applyAlignment="1"/>
    <xf numFmtId="169" fontId="0" fillId="6" borderId="3" xfId="0" applyNumberFormat="1" applyFill="1" applyBorder="1" applyAlignment="1"/>
    <xf numFmtId="0" fontId="6" fillId="5" borderId="0" xfId="0" applyFont="1" applyFill="1" applyAlignment="1">
      <alignment wrapText="1"/>
    </xf>
    <xf numFmtId="0" fontId="0" fillId="7" borderId="0" xfId="0" applyFill="1" applyProtection="1">
      <protection locked="0"/>
    </xf>
    <xf numFmtId="0" fontId="6" fillId="7" borderId="0" xfId="0" applyFont="1" applyFill="1" applyProtection="1">
      <protection locked="0"/>
    </xf>
    <xf numFmtId="0" fontId="0" fillId="7" borderId="0" xfId="0" applyFill="1" applyBorder="1" applyProtection="1">
      <protection locked="0"/>
    </xf>
    <xf numFmtId="0" fontId="0" fillId="7" borderId="0" xfId="0" applyFill="1" applyAlignment="1" applyProtection="1">
      <alignment wrapText="1"/>
      <protection locked="0"/>
    </xf>
    <xf numFmtId="0" fontId="0" fillId="0" borderId="0" xfId="0" applyFill="1" applyProtection="1">
      <protection locked="0"/>
    </xf>
    <xf numFmtId="0" fontId="3" fillId="7" borderId="0" xfId="0" applyFont="1" applyFill="1" applyBorder="1" applyAlignment="1">
      <alignment wrapText="1"/>
    </xf>
    <xf numFmtId="169" fontId="3" fillId="7" borderId="0" xfId="0" applyNumberFormat="1" applyFont="1" applyFill="1" applyBorder="1"/>
    <xf numFmtId="3" fontId="0" fillId="0" borderId="3" xfId="0" applyNumberFormat="1" applyFill="1" applyBorder="1" applyAlignment="1">
      <alignment horizontal="right" wrapText="1"/>
    </xf>
    <xf numFmtId="9" fontId="28" fillId="7" borderId="3" xfId="3" applyFont="1" applyFill="1" applyBorder="1" applyAlignment="1">
      <alignment horizontal="right" wrapText="1"/>
    </xf>
    <xf numFmtId="9" fontId="3" fillId="6" borderId="3" xfId="3" applyFont="1" applyFill="1" applyBorder="1"/>
    <xf numFmtId="169" fontId="0" fillId="7" borderId="0" xfId="0" applyNumberFormat="1" applyFill="1"/>
    <xf numFmtId="166" fontId="0" fillId="7" borderId="0" xfId="0" applyNumberFormat="1" applyFill="1"/>
    <xf numFmtId="0" fontId="3" fillId="6" borderId="12" xfId="0" applyFont="1" applyFill="1" applyBorder="1" applyAlignment="1">
      <alignment horizontal="left"/>
    </xf>
    <xf numFmtId="0" fontId="3" fillId="6" borderId="31" xfId="0" applyFont="1" applyFill="1" applyBorder="1" applyAlignment="1">
      <alignment horizontal="left"/>
    </xf>
    <xf numFmtId="3" fontId="6" fillId="6" borderId="12" xfId="0" applyNumberFormat="1" applyFont="1" applyFill="1" applyBorder="1" applyAlignment="1">
      <alignment horizontal="left" wrapText="1"/>
    </xf>
    <xf numFmtId="3" fontId="3" fillId="6" borderId="31" xfId="0" applyNumberFormat="1" applyFont="1" applyFill="1" applyBorder="1" applyAlignment="1">
      <alignment horizontal="left"/>
    </xf>
    <xf numFmtId="0" fontId="0" fillId="6" borderId="12" xfId="0" applyFill="1" applyBorder="1" applyAlignment="1">
      <alignment horizontal="left"/>
    </xf>
    <xf numFmtId="0" fontId="3" fillId="6" borderId="31" xfId="0" applyFont="1" applyFill="1" applyBorder="1" applyAlignment="1">
      <alignment horizontal="center"/>
    </xf>
    <xf numFmtId="0" fontId="0" fillId="6" borderId="12" xfId="0" applyFill="1" applyBorder="1" applyAlignment="1">
      <alignment horizontal="center"/>
    </xf>
    <xf numFmtId="0" fontId="0" fillId="6" borderId="12" xfId="0" applyFill="1" applyBorder="1" applyAlignment="1">
      <alignment horizontal="center" wrapText="1"/>
    </xf>
    <xf numFmtId="0" fontId="0" fillId="6" borderId="31" xfId="0" applyFill="1" applyBorder="1" applyAlignment="1">
      <alignment horizontal="center" wrapText="1"/>
    </xf>
    <xf numFmtId="0" fontId="6" fillId="6" borderId="9" xfId="0" applyFont="1" applyFill="1" applyBorder="1" applyAlignment="1">
      <alignment wrapText="1"/>
    </xf>
    <xf numFmtId="0" fontId="3" fillId="6" borderId="1" xfId="0" applyFont="1" applyFill="1" applyBorder="1"/>
    <xf numFmtId="0" fontId="6" fillId="6" borderId="6" xfId="0" applyFont="1" applyFill="1" applyBorder="1" applyAlignment="1">
      <alignment horizontal="left"/>
    </xf>
    <xf numFmtId="0" fontId="6" fillId="6" borderId="2" xfId="0" applyFont="1" applyFill="1" applyBorder="1" applyAlignment="1">
      <alignment horizontal="center"/>
    </xf>
    <xf numFmtId="0" fontId="6" fillId="0" borderId="26" xfId="0" applyFont="1" applyFill="1" applyBorder="1" applyAlignment="1" applyProtection="1">
      <alignment horizontal="center" wrapText="1"/>
      <protection locked="0"/>
    </xf>
    <xf numFmtId="0" fontId="6" fillId="0" borderId="24" xfId="0" applyFont="1" applyFill="1" applyBorder="1" applyAlignment="1" applyProtection="1">
      <alignment horizontal="center" wrapText="1"/>
      <protection locked="0"/>
    </xf>
    <xf numFmtId="0" fontId="6" fillId="0" borderId="25" xfId="0" applyFont="1" applyFill="1" applyBorder="1" applyAlignment="1" applyProtection="1">
      <alignment horizontal="center" wrapText="1"/>
      <protection locked="0"/>
    </xf>
    <xf numFmtId="0" fontId="0" fillId="11" borderId="0" xfId="0" applyFill="1"/>
    <xf numFmtId="0" fontId="0" fillId="7" borderId="0" xfId="0" applyFill="1" applyBorder="1" applyAlignment="1"/>
    <xf numFmtId="1" fontId="6" fillId="0" borderId="0" xfId="0" applyNumberFormat="1" applyFont="1" applyFill="1" applyBorder="1"/>
    <xf numFmtId="171" fontId="6" fillId="0" borderId="0" xfId="0" applyNumberFormat="1" applyFont="1" applyFill="1" applyBorder="1"/>
    <xf numFmtId="166" fontId="6" fillId="0" borderId="0" xfId="0" applyNumberFormat="1" applyFont="1" applyFill="1" applyBorder="1"/>
    <xf numFmtId="169" fontId="6" fillId="6" borderId="7" xfId="0" applyNumberFormat="1" applyFont="1" applyFill="1" applyBorder="1"/>
    <xf numFmtId="165" fontId="6" fillId="6" borderId="7" xfId="0" applyNumberFormat="1" applyFont="1" applyFill="1" applyBorder="1" applyProtection="1"/>
    <xf numFmtId="0" fontId="0" fillId="6" borderId="12" xfId="0" applyFill="1" applyBorder="1"/>
    <xf numFmtId="3" fontId="6" fillId="6" borderId="4" xfId="0" applyNumberFormat="1" applyFont="1" applyFill="1" applyBorder="1" applyProtection="1"/>
    <xf numFmtId="167" fontId="0" fillId="7" borderId="0" xfId="0" applyNumberFormat="1" applyFill="1" applyAlignment="1">
      <alignment horizontal="left"/>
    </xf>
    <xf numFmtId="0" fontId="6" fillId="6" borderId="0" xfId="0" applyFont="1" applyFill="1" applyBorder="1" applyAlignment="1">
      <alignment wrapText="1"/>
    </xf>
    <xf numFmtId="1" fontId="0" fillId="3" borderId="3" xfId="0" applyNumberFormat="1" applyFill="1" applyBorder="1"/>
    <xf numFmtId="0" fontId="0" fillId="0" borderId="3" xfId="0" applyBorder="1"/>
    <xf numFmtId="0" fontId="0" fillId="0" borderId="0" xfId="0" applyAlignment="1">
      <alignment horizontal="right"/>
    </xf>
    <xf numFmtId="170" fontId="29" fillId="0" borderId="3" xfId="1" applyNumberFormat="1" applyFont="1" applyBorder="1" applyAlignment="1">
      <alignment horizontal="right" wrapText="1"/>
    </xf>
    <xf numFmtId="0" fontId="44" fillId="0" borderId="0" xfId="0" applyFont="1" applyAlignment="1">
      <alignment horizontal="left" vertical="top" wrapText="1"/>
    </xf>
    <xf numFmtId="0" fontId="16" fillId="0" borderId="0" xfId="2" applyAlignment="1" applyProtection="1">
      <alignment horizontal="left" vertical="top" wrapText="1"/>
    </xf>
    <xf numFmtId="15" fontId="44" fillId="0" borderId="0" xfId="0" applyNumberFormat="1" applyFont="1" applyAlignment="1">
      <alignment horizontal="left" vertical="top" wrapText="1"/>
    </xf>
    <xf numFmtId="0" fontId="44" fillId="0" borderId="3" xfId="0" applyFont="1" applyBorder="1" applyAlignment="1">
      <alignment horizontal="left" vertical="top" wrapText="1"/>
    </xf>
    <xf numFmtId="0" fontId="3" fillId="0" borderId="3" xfId="0" applyFont="1" applyBorder="1" applyAlignment="1">
      <alignment horizontal="left"/>
    </xf>
    <xf numFmtId="0" fontId="0" fillId="0" borderId="0" xfId="0" applyBorder="1" applyAlignment="1">
      <alignment horizontal="left"/>
    </xf>
    <xf numFmtId="0" fontId="3" fillId="0" borderId="3" xfId="0" applyFont="1" applyBorder="1" applyAlignment="1">
      <alignment horizontal="left" wrapText="1"/>
    </xf>
    <xf numFmtId="3" fontId="6" fillId="7" borderId="26" xfId="0" applyNumberFormat="1" applyFont="1" applyFill="1" applyBorder="1" applyAlignment="1" applyProtection="1">
      <alignment horizontal="left" wrapText="1"/>
      <protection locked="0"/>
    </xf>
    <xf numFmtId="3" fontId="41" fillId="3" borderId="3" xfId="0" applyNumberFormat="1" applyFont="1" applyFill="1" applyBorder="1"/>
    <xf numFmtId="0" fontId="39" fillId="6" borderId="3" xfId="0" applyFont="1" applyFill="1" applyBorder="1"/>
    <xf numFmtId="0" fontId="39" fillId="6" borderId="0" xfId="0" applyFont="1" applyFill="1" applyBorder="1" applyAlignment="1">
      <alignment wrapText="1"/>
    </xf>
    <xf numFmtId="0" fontId="6" fillId="0" borderId="0" xfId="0" applyFont="1" applyFill="1" applyBorder="1" applyAlignment="1">
      <alignment vertical="center"/>
    </xf>
    <xf numFmtId="170" fontId="29" fillId="0" borderId="3" xfId="1" applyNumberFormat="1" applyFont="1" applyFill="1" applyBorder="1" applyAlignment="1">
      <alignment horizontal="right" vertical="center" wrapText="1"/>
    </xf>
    <xf numFmtId="0" fontId="6" fillId="0" borderId="0" xfId="0" applyFont="1" applyFill="1" applyAlignment="1">
      <alignment vertical="center"/>
    </xf>
    <xf numFmtId="0" fontId="16" fillId="0" borderId="0" xfId="2" applyAlignment="1" applyProtection="1"/>
    <xf numFmtId="0" fontId="6" fillId="0" borderId="0" xfId="0" applyFont="1" applyAlignment="1">
      <alignment vertical="center"/>
    </xf>
    <xf numFmtId="0" fontId="6" fillId="0" borderId="3" xfId="0" applyFont="1" applyFill="1" applyBorder="1" applyAlignment="1">
      <alignment vertical="center"/>
    </xf>
    <xf numFmtId="0" fontId="6" fillId="0" borderId="3" xfId="0" applyFont="1" applyFill="1" applyBorder="1"/>
    <xf numFmtId="1" fontId="6" fillId="0" borderId="3" xfId="0" applyNumberFormat="1" applyFont="1" applyFill="1" applyBorder="1" applyAlignment="1">
      <alignment vertical="center"/>
    </xf>
    <xf numFmtId="171" fontId="6" fillId="0" borderId="3" xfId="0" applyNumberFormat="1" applyFont="1" applyFill="1" applyBorder="1"/>
    <xf numFmtId="1" fontId="6" fillId="0" borderId="3" xfId="0" applyNumberFormat="1" applyFont="1" applyFill="1" applyBorder="1"/>
    <xf numFmtId="3" fontId="6" fillId="0" borderId="3" xfId="0" applyNumberFormat="1" applyFont="1" applyFill="1" applyBorder="1"/>
    <xf numFmtId="0" fontId="45" fillId="0" borderId="3" xfId="0" applyFont="1" applyFill="1" applyBorder="1" applyAlignment="1">
      <alignment vertical="center"/>
    </xf>
    <xf numFmtId="170" fontId="29" fillId="0" borderId="3" xfId="1" applyNumberFormat="1" applyFont="1" applyFill="1" applyBorder="1" applyAlignment="1">
      <alignment horizontal="right" wrapText="1"/>
    </xf>
    <xf numFmtId="170" fontId="29" fillId="0" borderId="3" xfId="1" applyNumberFormat="1" applyFont="1" applyBorder="1"/>
    <xf numFmtId="2" fontId="6" fillId="0" borderId="3" xfId="0" applyNumberFormat="1" applyFont="1" applyFill="1" applyBorder="1"/>
    <xf numFmtId="1" fontId="3" fillId="0" borderId="3" xfId="0" applyNumberFormat="1" applyFont="1" applyFill="1" applyBorder="1" applyAlignment="1">
      <alignment horizontal="right"/>
    </xf>
    <xf numFmtId="0" fontId="3" fillId="0" borderId="0" xfId="0" applyFont="1" applyFill="1" applyAlignment="1">
      <alignment horizontal="right"/>
    </xf>
    <xf numFmtId="0" fontId="3" fillId="0" borderId="0" xfId="0" applyFont="1" applyFill="1" applyAlignment="1">
      <alignment horizontal="left"/>
    </xf>
    <xf numFmtId="1" fontId="0" fillId="0" borderId="0" xfId="0" applyNumberFormat="1"/>
    <xf numFmtId="1" fontId="0" fillId="0" borderId="3" xfId="0" applyNumberFormat="1" applyBorder="1"/>
    <xf numFmtId="0" fontId="6" fillId="0" borderId="3" xfId="0" applyFont="1" applyBorder="1" applyAlignment="1">
      <alignment horizontal="left" wrapText="1"/>
    </xf>
    <xf numFmtId="1" fontId="6" fillId="0" borderId="3" xfId="0" applyNumberFormat="1" applyFont="1" applyBorder="1"/>
    <xf numFmtId="0" fontId="3" fillId="6" borderId="3" xfId="0" applyFont="1" applyFill="1" applyBorder="1" applyAlignment="1" applyProtection="1"/>
    <xf numFmtId="0" fontId="6" fillId="6" borderId="3" xfId="0" applyFont="1" applyFill="1" applyBorder="1" applyAlignment="1" applyProtection="1">
      <alignment wrapText="1"/>
    </xf>
    <xf numFmtId="3" fontId="6" fillId="6" borderId="3" xfId="0" applyNumberFormat="1" applyFont="1" applyFill="1" applyBorder="1" applyAlignment="1" applyProtection="1">
      <alignment horizontal="right"/>
    </xf>
    <xf numFmtId="167" fontId="6" fillId="6" borderId="3" xfId="0" applyNumberFormat="1" applyFont="1" applyFill="1" applyBorder="1" applyAlignment="1" applyProtection="1">
      <alignment horizontal="right" wrapText="1"/>
    </xf>
    <xf numFmtId="3" fontId="6" fillId="6" borderId="3" xfId="0" applyNumberFormat="1" applyFont="1" applyFill="1" applyBorder="1" applyAlignment="1" applyProtection="1">
      <alignment horizontal="right" wrapText="1"/>
    </xf>
    <xf numFmtId="0" fontId="38" fillId="7" borderId="0" xfId="0" applyFont="1" applyFill="1"/>
    <xf numFmtId="0" fontId="0" fillId="6" borderId="22" xfId="0" applyFill="1" applyBorder="1" applyAlignment="1">
      <alignment wrapText="1"/>
    </xf>
    <xf numFmtId="0" fontId="0" fillId="6" borderId="20" xfId="0" applyFill="1" applyBorder="1" applyAlignment="1">
      <alignment wrapText="1"/>
    </xf>
    <xf numFmtId="0" fontId="0" fillId="6" borderId="14" xfId="0" applyFill="1" applyBorder="1" applyAlignment="1">
      <alignment wrapText="1"/>
    </xf>
    <xf numFmtId="0" fontId="0" fillId="6" borderId="19" xfId="0" applyFill="1" applyBorder="1" applyAlignment="1">
      <alignment wrapText="1"/>
    </xf>
    <xf numFmtId="0" fontId="0" fillId="6" borderId="32" xfId="0" applyFill="1" applyBorder="1" applyAlignment="1">
      <alignment wrapText="1"/>
    </xf>
    <xf numFmtId="0" fontId="0" fillId="6" borderId="34" xfId="0" applyFill="1" applyBorder="1"/>
    <xf numFmtId="0" fontId="6" fillId="6" borderId="14" xfId="0" applyFont="1" applyFill="1" applyBorder="1" applyAlignment="1">
      <alignment horizontal="center" wrapText="1"/>
    </xf>
    <xf numFmtId="0" fontId="6" fillId="6" borderId="14" xfId="0" applyFont="1" applyFill="1" applyBorder="1" applyAlignment="1">
      <alignment horizontal="center"/>
    </xf>
    <xf numFmtId="0" fontId="0" fillId="6" borderId="14" xfId="0" applyFill="1" applyBorder="1"/>
    <xf numFmtId="0" fontId="6" fillId="6" borderId="22" xfId="0" applyFont="1" applyFill="1" applyBorder="1" applyAlignment="1">
      <alignment wrapText="1"/>
    </xf>
    <xf numFmtId="0" fontId="6" fillId="6" borderId="20" xfId="0" applyFont="1" applyFill="1" applyBorder="1" applyAlignment="1">
      <alignment wrapText="1"/>
    </xf>
    <xf numFmtId="0" fontId="6" fillId="6" borderId="14" xfId="0" applyFont="1" applyFill="1" applyBorder="1" applyAlignment="1">
      <alignment wrapText="1"/>
    </xf>
    <xf numFmtId="3" fontId="3" fillId="6" borderId="3" xfId="0" applyNumberFormat="1" applyFont="1" applyFill="1" applyBorder="1" applyAlignment="1">
      <alignment wrapText="1"/>
    </xf>
    <xf numFmtId="169" fontId="3" fillId="6" borderId="3" xfId="0" applyNumberFormat="1" applyFont="1" applyFill="1" applyBorder="1" applyAlignment="1">
      <alignment horizontal="right" wrapText="1"/>
    </xf>
    <xf numFmtId="3" fontId="6" fillId="0" borderId="3" xfId="0" applyNumberFormat="1" applyFont="1" applyFill="1" applyBorder="1" applyAlignment="1" applyProtection="1">
      <alignment horizontal="right" wrapText="1"/>
      <protection locked="0"/>
    </xf>
    <xf numFmtId="0" fontId="6" fillId="6" borderId="7" xfId="0" applyFont="1" applyFill="1" applyBorder="1" applyAlignment="1">
      <alignment horizontal="center" wrapText="1"/>
    </xf>
    <xf numFmtId="0" fontId="6" fillId="6" borderId="7" xfId="0" applyFont="1" applyFill="1" applyBorder="1" applyAlignment="1">
      <alignment wrapText="1"/>
    </xf>
    <xf numFmtId="0" fontId="0" fillId="6" borderId="7" xfId="0" applyFill="1" applyBorder="1" applyAlignment="1">
      <alignment wrapText="1"/>
    </xf>
    <xf numFmtId="0" fontId="39" fillId="7" borderId="0" xfId="0" applyFont="1" applyFill="1"/>
    <xf numFmtId="170" fontId="30" fillId="7" borderId="0" xfId="1" applyNumberFormat="1" applyFont="1" applyFill="1"/>
    <xf numFmtId="169" fontId="0" fillId="0" borderId="3" xfId="0" applyNumberFormat="1" applyFill="1" applyBorder="1" applyAlignment="1">
      <alignment horizontal="right"/>
    </xf>
    <xf numFmtId="169" fontId="39" fillId="7" borderId="0" xfId="0" applyNumberFormat="1" applyFont="1" applyFill="1"/>
    <xf numFmtId="0" fontId="6" fillId="0" borderId="0" xfId="0" quotePrefix="1" applyFont="1"/>
    <xf numFmtId="0" fontId="39" fillId="0" borderId="0" xfId="0" applyFont="1" applyAlignment="1">
      <alignment wrapText="1"/>
    </xf>
    <xf numFmtId="0" fontId="6" fillId="0" borderId="0" xfId="0" quotePrefix="1" applyFont="1" applyFill="1"/>
    <xf numFmtId="17" fontId="6" fillId="0" borderId="0" xfId="0" quotePrefix="1" applyNumberFormat="1" applyFont="1"/>
    <xf numFmtId="0" fontId="6" fillId="0" borderId="6" xfId="0" quotePrefix="1" applyFont="1" applyBorder="1"/>
    <xf numFmtId="2" fontId="6" fillId="6" borderId="7" xfId="0" applyNumberFormat="1" applyFont="1" applyFill="1" applyBorder="1"/>
    <xf numFmtId="0" fontId="6" fillId="0" borderId="0" xfId="0" applyFont="1" applyFill="1" applyBorder="1" applyAlignment="1">
      <alignment wrapText="1"/>
    </xf>
    <xf numFmtId="165" fontId="0" fillId="0" borderId="0" xfId="0" applyNumberFormat="1" applyFill="1" applyBorder="1"/>
    <xf numFmtId="165" fontId="6" fillId="0" borderId="0" xfId="0" applyNumberFormat="1" applyFont="1" applyFill="1" applyBorder="1"/>
    <xf numFmtId="0" fontId="46" fillId="0" borderId="0" xfId="0" applyFont="1" applyFill="1" applyBorder="1" applyAlignment="1">
      <alignment horizontal="right" wrapText="1"/>
    </xf>
    <xf numFmtId="0" fontId="47" fillId="0" borderId="0" xfId="0" applyFont="1" applyFill="1" applyBorder="1" applyAlignment="1">
      <alignment horizontal="right" wrapText="1"/>
    </xf>
    <xf numFmtId="0" fontId="48" fillId="0" borderId="0" xfId="0" applyFont="1" applyFill="1" applyBorder="1" applyAlignment="1">
      <alignment horizontal="center" wrapText="1"/>
    </xf>
    <xf numFmtId="0" fontId="46" fillId="0" borderId="0" xfId="0" applyFont="1" applyFill="1" applyBorder="1" applyAlignment="1">
      <alignment horizontal="left" wrapText="1"/>
    </xf>
    <xf numFmtId="0" fontId="38" fillId="12" borderId="7" xfId="0" applyFont="1" applyFill="1" applyBorder="1" applyAlignment="1">
      <alignment horizontal="center" wrapText="1"/>
    </xf>
    <xf numFmtId="170" fontId="6" fillId="12" borderId="7" xfId="1" applyNumberFormat="1" applyFont="1" applyFill="1" applyBorder="1"/>
    <xf numFmtId="170" fontId="31" fillId="12" borderId="7" xfId="1" applyNumberFormat="1" applyFont="1" applyFill="1" applyBorder="1"/>
    <xf numFmtId="170" fontId="6" fillId="0" borderId="26" xfId="1" applyNumberFormat="1" applyFont="1" applyFill="1" applyBorder="1" applyAlignment="1" applyProtection="1">
      <alignment horizontal="center" wrapText="1"/>
      <protection locked="0"/>
    </xf>
    <xf numFmtId="170" fontId="6" fillId="0" borderId="35" xfId="1" applyNumberFormat="1" applyFont="1" applyFill="1" applyBorder="1" applyAlignment="1" applyProtection="1">
      <alignment horizontal="center" wrapText="1"/>
      <protection locked="0"/>
    </xf>
    <xf numFmtId="170" fontId="6" fillId="0" borderId="24" xfId="1" applyNumberFormat="1" applyFont="1" applyFill="1" applyBorder="1" applyAlignment="1" applyProtection="1">
      <alignment horizontal="center" wrapText="1"/>
      <protection locked="0"/>
    </xf>
    <xf numFmtId="170" fontId="6" fillId="0" borderId="25" xfId="1" applyNumberFormat="1" applyFont="1" applyFill="1" applyBorder="1" applyAlignment="1" applyProtection="1">
      <alignment horizontal="center" wrapText="1"/>
      <protection locked="0"/>
    </xf>
    <xf numFmtId="0" fontId="6" fillId="7" borderId="0" xfId="0" applyFont="1" applyFill="1" applyBorder="1" applyAlignment="1">
      <alignment wrapText="1"/>
    </xf>
    <xf numFmtId="0" fontId="6" fillId="7" borderId="0" xfId="0" applyFont="1" applyFill="1" applyBorder="1" applyAlignment="1" applyProtection="1">
      <alignment horizontal="center" wrapText="1"/>
      <protection locked="0"/>
    </xf>
    <xf numFmtId="0" fontId="0" fillId="7" borderId="0" xfId="0" applyFill="1" applyBorder="1" applyAlignment="1">
      <alignment wrapText="1"/>
    </xf>
    <xf numFmtId="0" fontId="46" fillId="7" borderId="0" xfId="0" applyFont="1" applyFill="1" applyBorder="1" applyAlignment="1">
      <alignment horizontal="right" wrapText="1"/>
    </xf>
    <xf numFmtId="0" fontId="47" fillId="7" borderId="0" xfId="0" applyFont="1" applyFill="1" applyBorder="1" applyAlignment="1">
      <alignment horizontal="right" wrapText="1"/>
    </xf>
    <xf numFmtId="0" fontId="48" fillId="7" borderId="0" xfId="0" applyFont="1" applyFill="1" applyBorder="1" applyAlignment="1">
      <alignment horizontal="center" wrapText="1"/>
    </xf>
    <xf numFmtId="170" fontId="46" fillId="7" borderId="0" xfId="1" applyNumberFormat="1" applyFont="1" applyFill="1" applyBorder="1" applyAlignment="1">
      <alignment horizontal="right" wrapText="1"/>
    </xf>
    <xf numFmtId="165" fontId="0" fillId="7" borderId="0" xfId="0" applyNumberFormat="1" applyFill="1" applyBorder="1"/>
    <xf numFmtId="171" fontId="0" fillId="7" borderId="0" xfId="0" applyNumberFormat="1" applyFill="1" applyBorder="1"/>
    <xf numFmtId="165" fontId="6" fillId="7" borderId="0" xfId="0" applyNumberFormat="1" applyFont="1" applyFill="1" applyBorder="1"/>
    <xf numFmtId="171" fontId="6" fillId="7" borderId="0" xfId="0" applyNumberFormat="1" applyFont="1" applyFill="1" applyBorder="1"/>
    <xf numFmtId="170" fontId="31" fillId="7" borderId="0" xfId="1" applyNumberFormat="1" applyFont="1" applyFill="1" applyBorder="1"/>
    <xf numFmtId="170" fontId="47" fillId="7" borderId="0" xfId="1" applyNumberFormat="1" applyFont="1" applyFill="1" applyBorder="1" applyAlignment="1">
      <alignment horizontal="right" wrapText="1"/>
    </xf>
    <xf numFmtId="0" fontId="46" fillId="7" borderId="0" xfId="0" applyFont="1" applyFill="1" applyBorder="1" applyAlignment="1">
      <alignment wrapText="1"/>
    </xf>
    <xf numFmtId="0" fontId="46" fillId="7" borderId="0" xfId="0" applyFont="1" applyFill="1" applyBorder="1" applyAlignment="1">
      <alignment horizontal="left" wrapText="1"/>
    </xf>
    <xf numFmtId="2" fontId="0" fillId="7" borderId="0" xfId="0" applyNumberFormat="1" applyFill="1" applyBorder="1"/>
    <xf numFmtId="0" fontId="46" fillId="7" borderId="0" xfId="0" applyFont="1" applyFill="1" applyBorder="1"/>
    <xf numFmtId="173" fontId="6" fillId="7" borderId="0" xfId="0" applyNumberFormat="1" applyFont="1" applyFill="1" applyBorder="1"/>
    <xf numFmtId="166" fontId="0" fillId="7" borderId="0" xfId="0" applyNumberFormat="1" applyFill="1" applyBorder="1"/>
    <xf numFmtId="2" fontId="0" fillId="2" borderId="3" xfId="0" applyNumberFormat="1" applyFill="1" applyBorder="1"/>
    <xf numFmtId="0" fontId="37" fillId="3" borderId="3" xfId="0" applyFont="1" applyFill="1" applyBorder="1" applyAlignment="1">
      <alignment wrapText="1"/>
    </xf>
    <xf numFmtId="0" fontId="0" fillId="11" borderId="3" xfId="0" applyFill="1" applyBorder="1" applyAlignment="1">
      <alignment wrapText="1"/>
    </xf>
    <xf numFmtId="0" fontId="38" fillId="0" borderId="0" xfId="0" applyFont="1" applyAlignment="1">
      <alignment wrapText="1"/>
    </xf>
    <xf numFmtId="172" fontId="0" fillId="0" borderId="0" xfId="0" applyNumberFormat="1" applyFont="1"/>
    <xf numFmtId="0" fontId="36" fillId="0" borderId="0" xfId="0" applyFont="1" applyAlignment="1">
      <alignment wrapText="1"/>
    </xf>
    <xf numFmtId="0" fontId="0" fillId="0" borderId="0" xfId="0" applyFont="1" applyAlignment="1">
      <alignment wrapText="1"/>
    </xf>
    <xf numFmtId="0" fontId="35" fillId="0" borderId="0" xfId="0" applyFont="1" applyAlignment="1">
      <alignment wrapText="1"/>
    </xf>
    <xf numFmtId="170" fontId="0" fillId="0" borderId="0" xfId="1" applyNumberFormat="1" applyFont="1"/>
    <xf numFmtId="0" fontId="45" fillId="0" borderId="0" xfId="0" applyFont="1"/>
    <xf numFmtId="0" fontId="45" fillId="0" borderId="0" xfId="0" applyFont="1" applyAlignment="1">
      <alignment wrapText="1"/>
    </xf>
    <xf numFmtId="0" fontId="49" fillId="3" borderId="3" xfId="0" applyFont="1" applyFill="1" applyBorder="1" applyAlignment="1">
      <alignment wrapText="1"/>
    </xf>
    <xf numFmtId="3" fontId="0" fillId="0" borderId="0" xfId="0" applyNumberFormat="1"/>
    <xf numFmtId="3" fontId="6" fillId="0" borderId="28" xfId="0" applyNumberFormat="1" applyFont="1" applyFill="1" applyBorder="1" applyProtection="1">
      <protection locked="0"/>
    </xf>
    <xf numFmtId="3" fontId="0" fillId="7" borderId="3" xfId="0" applyNumberFormat="1" applyFill="1" applyBorder="1" applyAlignment="1">
      <alignment horizontal="right"/>
    </xf>
    <xf numFmtId="0" fontId="39" fillId="7" borderId="0" xfId="0" applyFont="1" applyFill="1" applyAlignment="1">
      <alignment horizontal="center"/>
    </xf>
    <xf numFmtId="0" fontId="50" fillId="7" borderId="0" xfId="0" applyFont="1" applyFill="1"/>
    <xf numFmtId="0" fontId="45" fillId="7" borderId="0" xfId="0" applyFont="1" applyFill="1"/>
    <xf numFmtId="0" fontId="1" fillId="7" borderId="0" xfId="0" applyFont="1" applyFill="1"/>
    <xf numFmtId="0" fontId="1" fillId="6" borderId="6" xfId="0" applyFont="1" applyFill="1" applyBorder="1" applyAlignment="1">
      <alignment wrapText="1"/>
    </xf>
    <xf numFmtId="0" fontId="0" fillId="7" borderId="33" xfId="0" applyFill="1" applyBorder="1" applyProtection="1">
      <protection locked="0"/>
    </xf>
    <xf numFmtId="0" fontId="0" fillId="7" borderId="6" xfId="0" applyFill="1" applyBorder="1" applyProtection="1">
      <protection locked="0"/>
    </xf>
    <xf numFmtId="0" fontId="0" fillId="7" borderId="38" xfId="0" applyFill="1" applyBorder="1" applyProtection="1">
      <protection locked="0"/>
    </xf>
    <xf numFmtId="0" fontId="6" fillId="6" borderId="38" xfId="0" applyFont="1" applyFill="1" applyBorder="1" applyAlignment="1">
      <alignment wrapText="1"/>
    </xf>
    <xf numFmtId="0" fontId="0" fillId="6" borderId="39" xfId="0" applyFill="1" applyBorder="1" applyAlignment="1">
      <alignment wrapText="1"/>
    </xf>
    <xf numFmtId="0" fontId="0" fillId="6" borderId="40" xfId="0" applyFill="1" applyBorder="1" applyAlignment="1">
      <alignment wrapText="1"/>
    </xf>
    <xf numFmtId="0" fontId="0" fillId="6" borderId="41" xfId="0" applyFill="1" applyBorder="1" applyAlignment="1">
      <alignment wrapText="1"/>
    </xf>
    <xf numFmtId="3" fontId="0" fillId="6" borderId="39" xfId="0" applyNumberFormat="1" applyFill="1" applyBorder="1" applyAlignment="1">
      <alignment wrapText="1"/>
    </xf>
    <xf numFmtId="0" fontId="0" fillId="7" borderId="21" xfId="0" applyFill="1" applyBorder="1" applyProtection="1">
      <protection locked="0"/>
    </xf>
    <xf numFmtId="0" fontId="0" fillId="7" borderId="23" xfId="0" applyFill="1" applyBorder="1" applyProtection="1">
      <protection locked="0"/>
    </xf>
    <xf numFmtId="3" fontId="6" fillId="0" borderId="14" xfId="0" applyNumberFormat="1" applyFont="1" applyFill="1" applyBorder="1" applyAlignment="1" applyProtection="1">
      <alignment horizontal="right" wrapText="1"/>
      <protection locked="0"/>
    </xf>
    <xf numFmtId="0" fontId="0" fillId="7" borderId="27" xfId="0" applyFill="1" applyBorder="1" applyProtection="1">
      <protection locked="0"/>
    </xf>
    <xf numFmtId="0" fontId="6" fillId="6" borderId="42" xfId="0" applyFont="1" applyFill="1" applyBorder="1" applyAlignment="1">
      <alignment wrapText="1"/>
    </xf>
    <xf numFmtId="0" fontId="0" fillId="6" borderId="18" xfId="0" applyFill="1" applyBorder="1"/>
    <xf numFmtId="3" fontId="6" fillId="0" borderId="18" xfId="0" applyNumberFormat="1" applyFont="1" applyFill="1" applyBorder="1" applyAlignment="1" applyProtection="1">
      <alignment horizontal="right" wrapText="1"/>
      <protection locked="0"/>
    </xf>
    <xf numFmtId="0" fontId="0" fillId="7" borderId="9" xfId="0" applyFill="1" applyBorder="1" applyProtection="1">
      <protection locked="0"/>
    </xf>
    <xf numFmtId="0" fontId="3" fillId="6" borderId="19" xfId="0" applyFont="1" applyFill="1" applyBorder="1"/>
    <xf numFmtId="0" fontId="3" fillId="6" borderId="32" xfId="0" applyFont="1" applyFill="1" applyBorder="1"/>
    <xf numFmtId="0" fontId="0" fillId="6" borderId="32" xfId="0" applyFill="1" applyBorder="1"/>
    <xf numFmtId="0" fontId="1" fillId="7" borderId="19" xfId="0" applyFont="1" applyFill="1" applyBorder="1" applyAlignment="1" applyProtection="1">
      <alignment horizontal="center" wrapText="1"/>
      <protection locked="0"/>
    </xf>
    <xf numFmtId="0" fontId="1" fillId="7" borderId="20" xfId="0" applyFont="1" applyFill="1" applyBorder="1" applyAlignment="1" applyProtection="1">
      <alignment horizontal="center" wrapText="1"/>
      <protection locked="0"/>
    </xf>
    <xf numFmtId="0" fontId="1" fillId="7" borderId="22" xfId="0" applyFont="1" applyFill="1" applyBorder="1" applyAlignment="1" applyProtection="1">
      <alignment horizontal="center" wrapText="1"/>
      <protection locked="0"/>
    </xf>
    <xf numFmtId="0" fontId="1" fillId="7" borderId="29" xfId="0" applyFont="1" applyFill="1" applyBorder="1" applyAlignment="1" applyProtection="1">
      <alignment horizontal="center" wrapText="1"/>
      <protection locked="0"/>
    </xf>
    <xf numFmtId="0" fontId="1" fillId="0" borderId="19" xfId="0" applyFont="1" applyFill="1" applyBorder="1" applyAlignment="1" applyProtection="1">
      <alignment horizontal="center" wrapText="1"/>
      <protection locked="0"/>
    </xf>
    <xf numFmtId="0" fontId="1" fillId="0" borderId="22" xfId="0" applyFont="1" applyFill="1" applyBorder="1" applyAlignment="1" applyProtection="1">
      <alignment horizontal="center" wrapText="1"/>
      <protection locked="0"/>
    </xf>
    <xf numFmtId="0" fontId="1" fillId="0" borderId="20" xfId="0" applyFont="1" applyFill="1" applyBorder="1" applyAlignment="1" applyProtection="1">
      <alignment horizontal="center" wrapText="1"/>
      <protection locked="0"/>
    </xf>
    <xf numFmtId="0" fontId="6" fillId="0" borderId="0" xfId="0" applyFont="1" applyAlignment="1">
      <alignment wrapText="1"/>
    </xf>
    <xf numFmtId="0" fontId="1" fillId="0" borderId="1" xfId="0" applyFont="1" applyBorder="1" applyAlignment="1">
      <alignment wrapText="1"/>
    </xf>
    <xf numFmtId="0" fontId="1" fillId="0" borderId="8" xfId="0" applyFont="1" applyFill="1" applyBorder="1"/>
    <xf numFmtId="0" fontId="3" fillId="0" borderId="31" xfId="0" applyFont="1" applyBorder="1" applyAlignment="1">
      <alignment wrapText="1"/>
    </xf>
    <xf numFmtId="3" fontId="1" fillId="2" borderId="3" xfId="0" quotePrefix="1" applyNumberFormat="1" applyFont="1" applyFill="1" applyBorder="1" applyAlignment="1">
      <alignment horizontal="center"/>
    </xf>
    <xf numFmtId="4" fontId="1" fillId="3" borderId="3" xfId="0" applyNumberFormat="1" applyFont="1" applyFill="1" applyBorder="1"/>
    <xf numFmtId="0" fontId="51" fillId="0" borderId="0" xfId="0" quotePrefix="1" applyFont="1" applyFill="1" applyAlignment="1">
      <alignment wrapText="1"/>
    </xf>
    <xf numFmtId="0" fontId="1" fillId="0" borderId="0" xfId="0" quotePrefix="1" applyFont="1" applyFill="1"/>
    <xf numFmtId="0" fontId="45" fillId="0" borderId="0" xfId="0" applyFont="1" applyFill="1"/>
    <xf numFmtId="0" fontId="1" fillId="8" borderId="3" xfId="0" applyFont="1" applyFill="1" applyBorder="1"/>
    <xf numFmtId="170" fontId="1" fillId="2" borderId="3" xfId="1" applyNumberFormat="1" applyFont="1" applyFill="1" applyBorder="1"/>
    <xf numFmtId="3" fontId="51" fillId="3" borderId="3" xfId="0" applyNumberFormat="1" applyFont="1" applyFill="1" applyBorder="1"/>
    <xf numFmtId="0" fontId="45" fillId="0" borderId="0" xfId="0" quotePrefix="1" applyFont="1" applyFill="1"/>
    <xf numFmtId="0" fontId="45" fillId="0" borderId="0" xfId="0" applyFont="1" applyFill="1" applyAlignment="1">
      <alignment wrapText="1"/>
    </xf>
    <xf numFmtId="0" fontId="45" fillId="8" borderId="3" xfId="0" applyFont="1" applyFill="1" applyBorder="1"/>
    <xf numFmtId="3" fontId="45" fillId="3" borderId="3" xfId="0" applyNumberFormat="1" applyFont="1" applyFill="1" applyBorder="1"/>
    <xf numFmtId="165" fontId="45" fillId="8" borderId="3" xfId="0" applyNumberFormat="1" applyFont="1" applyFill="1" applyBorder="1"/>
    <xf numFmtId="170" fontId="45" fillId="2" borderId="3" xfId="1" applyNumberFormat="1" applyFont="1" applyFill="1" applyBorder="1"/>
    <xf numFmtId="0" fontId="1" fillId="0" borderId="0" xfId="0" applyFont="1" applyFill="1" applyAlignment="1">
      <alignment wrapText="1"/>
    </xf>
    <xf numFmtId="3" fontId="3" fillId="3" borderId="3" xfId="0" applyNumberFormat="1" applyFont="1" applyFill="1" applyBorder="1"/>
    <xf numFmtId="4" fontId="38" fillId="3" borderId="3" xfId="0" applyNumberFormat="1" applyFont="1" applyFill="1" applyBorder="1"/>
    <xf numFmtId="0" fontId="0" fillId="0" borderId="5" xfId="0" applyFill="1" applyBorder="1" applyAlignment="1">
      <alignment wrapText="1"/>
    </xf>
    <xf numFmtId="0" fontId="0" fillId="0" borderId="5" xfId="0" applyBorder="1" applyAlignment="1">
      <alignment wrapText="1"/>
    </xf>
    <xf numFmtId="2" fontId="38" fillId="3" borderId="3" xfId="0" applyNumberFormat="1" applyFont="1" applyFill="1" applyBorder="1"/>
    <xf numFmtId="169" fontId="45" fillId="3" borderId="3" xfId="0" applyNumberFormat="1" applyFont="1" applyFill="1" applyBorder="1"/>
    <xf numFmtId="3" fontId="0" fillId="6" borderId="18" xfId="0" applyNumberFormat="1" applyFill="1" applyBorder="1" applyAlignment="1"/>
    <xf numFmtId="169" fontId="0" fillId="6" borderId="18" xfId="0" applyNumberFormat="1" applyFill="1" applyBorder="1" applyAlignment="1"/>
    <xf numFmtId="0" fontId="6" fillId="6" borderId="3" xfId="0" applyFont="1" applyFill="1" applyBorder="1" applyAlignment="1" applyProtection="1">
      <alignment horizontal="center" wrapText="1"/>
      <protection locked="0"/>
    </xf>
    <xf numFmtId="0" fontId="6" fillId="6" borderId="4" xfId="0" applyFont="1" applyFill="1" applyBorder="1" applyAlignment="1" applyProtection="1">
      <alignment horizontal="center" wrapText="1"/>
      <protection locked="0"/>
    </xf>
    <xf numFmtId="0" fontId="6" fillId="6" borderId="18" xfId="0" applyFont="1" applyFill="1" applyBorder="1" applyAlignment="1" applyProtection="1">
      <alignment horizontal="center" wrapText="1"/>
      <protection locked="0"/>
    </xf>
    <xf numFmtId="0" fontId="1" fillId="6" borderId="4" xfId="0" applyFont="1" applyFill="1" applyBorder="1" applyAlignment="1" applyProtection="1">
      <alignment horizontal="center" wrapText="1"/>
      <protection locked="0"/>
    </xf>
    <xf numFmtId="0" fontId="1" fillId="6" borderId="18" xfId="0" applyFont="1" applyFill="1" applyBorder="1" applyAlignment="1" applyProtection="1">
      <alignment horizontal="center" wrapText="1"/>
      <protection locked="0"/>
    </xf>
    <xf numFmtId="0" fontId="39" fillId="6" borderId="6" xfId="0" quotePrefix="1" applyFont="1" applyFill="1" applyBorder="1" applyAlignment="1">
      <alignment wrapText="1"/>
    </xf>
    <xf numFmtId="0" fontId="52" fillId="6" borderId="3" xfId="0" quotePrefix="1" applyFont="1" applyFill="1" applyBorder="1" applyAlignment="1">
      <alignment horizontal="left" vertical="top" wrapText="1"/>
    </xf>
    <xf numFmtId="0" fontId="52" fillId="6" borderId="6" xfId="0" quotePrefix="1" applyFont="1" applyFill="1" applyBorder="1" applyAlignment="1">
      <alignment wrapText="1"/>
    </xf>
    <xf numFmtId="0" fontId="52" fillId="6" borderId="3" xfId="0" applyFont="1" applyFill="1" applyBorder="1" applyAlignment="1">
      <alignment wrapText="1"/>
    </xf>
    <xf numFmtId="0" fontId="52" fillId="6" borderId="3" xfId="0" quotePrefix="1" applyFont="1" applyFill="1" applyBorder="1" applyAlignment="1">
      <alignment horizontal="right" wrapText="1"/>
    </xf>
    <xf numFmtId="0" fontId="1" fillId="0" borderId="0" xfId="0" quotePrefix="1" applyFont="1" applyFill="1" applyAlignment="1">
      <alignment wrapText="1"/>
    </xf>
    <xf numFmtId="0" fontId="6" fillId="6" borderId="31" xfId="0" applyFont="1" applyFill="1" applyBorder="1" applyAlignment="1"/>
    <xf numFmtId="0" fontId="6" fillId="6" borderId="18" xfId="0" applyFont="1" applyFill="1" applyBorder="1"/>
    <xf numFmtId="0" fontId="1" fillId="0" borderId="39" xfId="0" applyFont="1" applyFill="1" applyBorder="1" applyAlignment="1" applyProtection="1">
      <alignment horizontal="center"/>
      <protection locked="0"/>
    </xf>
    <xf numFmtId="0" fontId="52" fillId="6" borderId="3" xfId="0" applyFont="1" applyFill="1" applyBorder="1" applyAlignment="1" applyProtection="1">
      <alignment wrapText="1"/>
      <protection locked="0"/>
    </xf>
    <xf numFmtId="169" fontId="52" fillId="6" borderId="3" xfId="0" quotePrefix="1" applyNumberFormat="1" applyFont="1" applyFill="1" applyBorder="1" applyAlignment="1">
      <alignment horizontal="right" wrapText="1"/>
    </xf>
    <xf numFmtId="169" fontId="1" fillId="6" borderId="3" xfId="0" applyNumberFormat="1" applyFont="1" applyFill="1" applyBorder="1"/>
    <xf numFmtId="0" fontId="1" fillId="6" borderId="3" xfId="0" applyFont="1" applyFill="1" applyBorder="1" applyAlignment="1">
      <alignment wrapText="1"/>
    </xf>
    <xf numFmtId="0" fontId="1" fillId="7" borderId="30" xfId="0" applyFont="1" applyFill="1" applyBorder="1" applyAlignment="1" applyProtection="1">
      <alignment horizontal="center" wrapText="1"/>
      <protection locked="0"/>
    </xf>
    <xf numFmtId="0" fontId="52" fillId="6" borderId="0" xfId="0" applyFont="1" applyFill="1" applyBorder="1" applyAlignment="1">
      <alignment horizontal="left"/>
    </xf>
    <xf numFmtId="0" fontId="1" fillId="0" borderId="30"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7" borderId="30" xfId="0" applyFont="1" applyFill="1" applyBorder="1" applyAlignment="1" applyProtection="1">
      <alignment horizontal="center"/>
      <protection locked="0"/>
    </xf>
    <xf numFmtId="0" fontId="1" fillId="6" borderId="7" xfId="0" applyFont="1" applyFill="1" applyBorder="1" applyAlignment="1"/>
    <xf numFmtId="0" fontId="1" fillId="6" borderId="7" xfId="0" applyFont="1" applyFill="1" applyBorder="1" applyAlignment="1">
      <alignment wrapText="1"/>
    </xf>
    <xf numFmtId="169" fontId="0" fillId="6" borderId="18" xfId="0" applyNumberFormat="1" applyFill="1" applyBorder="1"/>
    <xf numFmtId="170" fontId="21" fillId="2" borderId="3" xfId="1" applyNumberFormat="1" applyFont="1" applyFill="1" applyBorder="1"/>
    <xf numFmtId="0" fontId="6" fillId="6" borderId="4" xfId="0" applyFont="1" applyFill="1" applyBorder="1" applyAlignment="1">
      <alignment wrapText="1"/>
    </xf>
    <xf numFmtId="0" fontId="52" fillId="6" borderId="4" xfId="0" quotePrefix="1" applyFont="1" applyFill="1" applyBorder="1" applyAlignment="1">
      <alignment horizontal="left" vertical="top" wrapText="1"/>
    </xf>
    <xf numFmtId="0" fontId="1" fillId="6" borderId="0" xfId="0" applyFont="1" applyFill="1" applyBorder="1" applyAlignment="1">
      <alignment horizontal="center"/>
    </xf>
    <xf numFmtId="170" fontId="1" fillId="6" borderId="0" xfId="1" applyNumberFormat="1" applyFont="1" applyFill="1" applyBorder="1" applyAlignment="1">
      <alignment horizontal="center"/>
    </xf>
    <xf numFmtId="0" fontId="1" fillId="6" borderId="8" xfId="0" applyFont="1" applyFill="1" applyBorder="1" applyAlignment="1">
      <alignment horizontal="center"/>
    </xf>
    <xf numFmtId="0" fontId="1" fillId="6" borderId="8" xfId="0" applyFont="1" applyFill="1" applyBorder="1"/>
    <xf numFmtId="0" fontId="0" fillId="6" borderId="8" xfId="0" applyFill="1" applyBorder="1"/>
    <xf numFmtId="0" fontId="0" fillId="6" borderId="31" xfId="0" applyFill="1" applyBorder="1"/>
    <xf numFmtId="0" fontId="53" fillId="6" borderId="1" xfId="0" applyFont="1" applyFill="1" applyBorder="1" applyAlignment="1">
      <alignment wrapText="1"/>
    </xf>
    <xf numFmtId="0" fontId="53" fillId="6" borderId="11" xfId="0" applyFont="1" applyFill="1" applyBorder="1" applyAlignment="1">
      <alignment wrapText="1"/>
    </xf>
    <xf numFmtId="0" fontId="0" fillId="6" borderId="2" xfId="0" applyFill="1" applyBorder="1" applyAlignment="1">
      <alignment horizontal="center"/>
    </xf>
    <xf numFmtId="0" fontId="0" fillId="6" borderId="2" xfId="0" applyFill="1" applyBorder="1"/>
    <xf numFmtId="0" fontId="54" fillId="6" borderId="9" xfId="0" applyFont="1" applyFill="1" applyBorder="1"/>
    <xf numFmtId="174" fontId="7" fillId="9" borderId="3" xfId="1" applyNumberFormat="1" applyFont="1" applyFill="1" applyBorder="1" applyAlignment="1">
      <alignment horizontal="center" wrapText="1"/>
    </xf>
    <xf numFmtId="0" fontId="1" fillId="10" borderId="3" xfId="0" applyFont="1" applyFill="1" applyBorder="1" applyAlignment="1">
      <alignment wrapText="1"/>
    </xf>
    <xf numFmtId="0" fontId="1" fillId="7" borderId="3" xfId="0" applyFont="1" applyFill="1" applyBorder="1" applyAlignment="1">
      <alignment wrapText="1"/>
    </xf>
    <xf numFmtId="0" fontId="3" fillId="13" borderId="3" xfId="0" applyFont="1" applyFill="1" applyBorder="1" applyProtection="1"/>
    <xf numFmtId="0" fontId="0" fillId="13" borderId="3" xfId="0" applyFill="1" applyBorder="1" applyProtection="1"/>
    <xf numFmtId="0" fontId="1" fillId="13" borderId="3" xfId="0" applyFont="1" applyFill="1" applyBorder="1" applyAlignment="1" applyProtection="1">
      <alignment wrapText="1"/>
    </xf>
    <xf numFmtId="2" fontId="0" fillId="13" borderId="3" xfId="0" applyNumberFormat="1" applyFill="1" applyBorder="1" applyProtection="1"/>
    <xf numFmtId="0" fontId="0" fillId="13" borderId="3" xfId="0" applyFill="1" applyBorder="1" applyAlignment="1" applyProtection="1">
      <alignment wrapText="1"/>
    </xf>
    <xf numFmtId="170" fontId="0" fillId="13" borderId="3" xfId="0" applyNumberFormat="1" applyFill="1" applyBorder="1" applyProtection="1"/>
    <xf numFmtId="0" fontId="1" fillId="13" borderId="3" xfId="0" applyFont="1" applyFill="1" applyBorder="1" applyProtection="1"/>
    <xf numFmtId="0" fontId="52" fillId="6" borderId="3" xfId="0" applyFont="1" applyFill="1" applyBorder="1"/>
    <xf numFmtId="0" fontId="0" fillId="6" borderId="0" xfId="0" applyFill="1" applyAlignment="1">
      <alignment wrapText="1"/>
    </xf>
    <xf numFmtId="0" fontId="0" fillId="12" borderId="3" xfId="0" applyFill="1" applyBorder="1" applyAlignment="1">
      <alignment wrapText="1"/>
    </xf>
    <xf numFmtId="0" fontId="3" fillId="12" borderId="3" xfId="0" applyFont="1" applyFill="1" applyBorder="1" applyAlignment="1">
      <alignment wrapText="1"/>
    </xf>
    <xf numFmtId="0" fontId="52" fillId="6" borderId="3" xfId="0" applyFont="1" applyFill="1" applyBorder="1" applyAlignment="1"/>
    <xf numFmtId="0" fontId="39" fillId="7" borderId="0" xfId="0" applyFont="1" applyFill="1" applyAlignment="1">
      <alignment wrapText="1"/>
    </xf>
    <xf numFmtId="0" fontId="55" fillId="7" borderId="0" xfId="0" applyFont="1" applyFill="1"/>
    <xf numFmtId="0" fontId="55" fillId="7" borderId="0" xfId="0" applyFont="1" applyFill="1" applyAlignment="1"/>
    <xf numFmtId="0" fontId="6" fillId="6" borderId="3" xfId="0" applyFont="1" applyFill="1" applyBorder="1" applyAlignment="1">
      <alignment horizontal="center" wrapText="1"/>
    </xf>
    <xf numFmtId="0" fontId="1" fillId="6" borderId="4" xfId="0" quotePrefix="1" applyFont="1" applyFill="1" applyBorder="1" applyAlignment="1">
      <alignment horizontal="left" vertical="top"/>
    </xf>
    <xf numFmtId="0" fontId="1" fillId="6" borderId="3" xfId="0" quotePrefix="1" applyFont="1" applyFill="1" applyBorder="1" applyAlignment="1">
      <alignment horizontal="left" vertical="top"/>
    </xf>
    <xf numFmtId="0" fontId="0" fillId="6" borderId="11" xfId="0" applyFill="1" applyBorder="1" applyAlignment="1">
      <alignment wrapText="1"/>
    </xf>
    <xf numFmtId="0" fontId="0" fillId="6" borderId="9" xfId="0" applyFill="1" applyBorder="1" applyAlignment="1">
      <alignment wrapText="1"/>
    </xf>
    <xf numFmtId="0" fontId="1" fillId="0" borderId="29" xfId="0" applyFont="1" applyFill="1" applyBorder="1" applyAlignment="1" applyProtection="1">
      <alignment horizontal="center" wrapText="1"/>
      <protection locked="0"/>
    </xf>
    <xf numFmtId="0" fontId="1" fillId="6" borderId="9" xfId="0" applyFont="1" applyFill="1" applyBorder="1" applyAlignment="1">
      <alignment wrapText="1"/>
    </xf>
    <xf numFmtId="0" fontId="0" fillId="6" borderId="4" xfId="0" applyFill="1" applyBorder="1" applyAlignment="1">
      <alignment wrapText="1"/>
    </xf>
    <xf numFmtId="169" fontId="25" fillId="6" borderId="3" xfId="0" applyNumberFormat="1" applyFont="1" applyFill="1" applyBorder="1" applyAlignment="1">
      <alignment horizontal="left"/>
    </xf>
    <xf numFmtId="0" fontId="3" fillId="14" borderId="3" xfId="0" applyFont="1" applyFill="1" applyBorder="1"/>
    <xf numFmtId="0" fontId="3" fillId="14" borderId="31" xfId="0" applyFont="1" applyFill="1" applyBorder="1" applyAlignment="1">
      <alignment horizontal="center"/>
    </xf>
    <xf numFmtId="0" fontId="3" fillId="14" borderId="3" xfId="0" applyFont="1" applyFill="1" applyBorder="1" applyAlignment="1">
      <alignment wrapText="1"/>
    </xf>
    <xf numFmtId="0" fontId="3" fillId="14" borderId="3" xfId="0" applyFont="1" applyFill="1" applyBorder="1" applyAlignment="1">
      <alignment horizontal="center" wrapText="1"/>
    </xf>
    <xf numFmtId="0" fontId="3" fillId="14" borderId="6" xfId="0" applyFont="1" applyFill="1" applyBorder="1" applyAlignment="1">
      <alignment wrapText="1"/>
    </xf>
    <xf numFmtId="0" fontId="3" fillId="14" borderId="18" xfId="0" applyFont="1" applyFill="1" applyBorder="1" applyAlignment="1">
      <alignment horizontal="center" wrapText="1"/>
    </xf>
    <xf numFmtId="0" fontId="3" fillId="14" borderId="3" xfId="0" applyFont="1" applyFill="1" applyBorder="1" applyAlignment="1">
      <alignment horizontal="left" wrapText="1"/>
    </xf>
    <xf numFmtId="0" fontId="3" fillId="14" borderId="3" xfId="0" applyFont="1" applyFill="1" applyBorder="1" applyAlignment="1">
      <alignment horizontal="center"/>
    </xf>
    <xf numFmtId="0" fontId="3" fillId="14" borderId="18" xfId="0" applyFont="1" applyFill="1" applyBorder="1" applyAlignment="1">
      <alignment horizontal="center"/>
    </xf>
    <xf numFmtId="0" fontId="6" fillId="14" borderId="3" xfId="0" applyFont="1" applyFill="1" applyBorder="1"/>
    <xf numFmtId="0" fontId="0" fillId="14" borderId="3" xfId="0" applyFill="1" applyBorder="1"/>
    <xf numFmtId="170" fontId="3" fillId="14" borderId="6" xfId="1" applyNumberFormat="1" applyFont="1" applyFill="1" applyBorder="1" applyAlignment="1">
      <alignment horizontal="center" wrapText="1"/>
    </xf>
    <xf numFmtId="170" fontId="3" fillId="14" borderId="3" xfId="1" applyNumberFormat="1" applyFont="1" applyFill="1" applyBorder="1" applyAlignment="1">
      <alignment horizontal="center" wrapText="1"/>
    </xf>
    <xf numFmtId="0" fontId="1" fillId="4" borderId="0" xfId="0" applyFont="1" applyFill="1" applyAlignment="1">
      <alignment wrapText="1"/>
    </xf>
    <xf numFmtId="0" fontId="3" fillId="14" borderId="6" xfId="0" applyFont="1" applyFill="1" applyBorder="1" applyAlignment="1">
      <alignment horizontal="center" wrapText="1"/>
    </xf>
    <xf numFmtId="0" fontId="3" fillId="14" borderId="7" xfId="0" applyFont="1" applyFill="1" applyBorder="1" applyAlignment="1">
      <alignment horizontal="center" wrapText="1"/>
    </xf>
    <xf numFmtId="0" fontId="3" fillId="14" borderId="3" xfId="0" applyFont="1" applyFill="1" applyBorder="1" applyAlignment="1">
      <alignment horizontal="center" wrapText="1"/>
    </xf>
    <xf numFmtId="0" fontId="1" fillId="6" borderId="6" xfId="0" applyFont="1" applyFill="1" applyBorder="1" applyAlignment="1">
      <alignment horizontal="left" wrapText="1"/>
    </xf>
    <xf numFmtId="0" fontId="1" fillId="6" borderId="6" xfId="0" applyFont="1" applyFill="1" applyBorder="1"/>
    <xf numFmtId="0" fontId="1" fillId="6" borderId="3" xfId="0" applyFont="1" applyFill="1" applyBorder="1" applyAlignment="1" applyProtection="1">
      <alignment wrapText="1"/>
    </xf>
    <xf numFmtId="0" fontId="3" fillId="14" borderId="6" xfId="0" applyFont="1" applyFill="1" applyBorder="1" applyAlignment="1">
      <alignment horizontal="center" wrapText="1"/>
    </xf>
    <xf numFmtId="0" fontId="3" fillId="14" borderId="5" xfId="0" applyFont="1" applyFill="1" applyBorder="1" applyAlignment="1">
      <alignment horizontal="center" wrapText="1"/>
    </xf>
    <xf numFmtId="0" fontId="3" fillId="14" borderId="7" xfId="0" applyFont="1" applyFill="1" applyBorder="1" applyAlignment="1">
      <alignment horizontal="center" wrapText="1"/>
    </xf>
    <xf numFmtId="0" fontId="3" fillId="14" borderId="3" xfId="0" applyFont="1" applyFill="1" applyBorder="1" applyAlignment="1">
      <alignment horizontal="center" wrapText="1"/>
    </xf>
    <xf numFmtId="0" fontId="6" fillId="6" borderId="6" xfId="0" applyFont="1" applyFill="1" applyBorder="1" applyAlignment="1">
      <alignment horizontal="center" wrapText="1"/>
    </xf>
    <xf numFmtId="0" fontId="1" fillId="6" borderId="7" xfId="0" applyFont="1" applyFill="1" applyBorder="1"/>
    <xf numFmtId="0" fontId="39" fillId="6" borderId="11" xfId="0" quotePrefix="1" applyFont="1" applyFill="1" applyBorder="1" applyAlignment="1">
      <alignment wrapText="1"/>
    </xf>
    <xf numFmtId="0" fontId="3" fillId="15" borderId="3" xfId="0" applyFont="1" applyFill="1" applyBorder="1" applyAlignment="1">
      <alignment horizontal="left" wrapText="1"/>
    </xf>
    <xf numFmtId="0" fontId="1" fillId="6" borderId="44" xfId="0" applyFont="1" applyFill="1" applyBorder="1" applyAlignment="1">
      <alignment wrapText="1"/>
    </xf>
    <xf numFmtId="0" fontId="1" fillId="6" borderId="45" xfId="0" applyFont="1" applyFill="1" applyBorder="1" applyAlignment="1">
      <alignment horizontal="center" wrapText="1"/>
    </xf>
    <xf numFmtId="0" fontId="1" fillId="6" borderId="31" xfId="0" applyFont="1" applyFill="1" applyBorder="1" applyAlignment="1">
      <alignment wrapText="1"/>
    </xf>
    <xf numFmtId="0" fontId="1" fillId="6" borderId="31" xfId="0" applyFont="1" applyFill="1" applyBorder="1"/>
    <xf numFmtId="0" fontId="38" fillId="6" borderId="13" xfId="0" applyFont="1" applyFill="1" applyBorder="1" applyAlignment="1">
      <alignment wrapText="1"/>
    </xf>
    <xf numFmtId="0" fontId="56" fillId="0" borderId="0" xfId="0" applyFont="1"/>
    <xf numFmtId="0" fontId="3" fillId="14" borderId="3" xfId="0" applyFont="1" applyFill="1" applyBorder="1" applyAlignment="1">
      <alignment horizontal="center" wrapText="1"/>
    </xf>
    <xf numFmtId="0" fontId="45" fillId="7" borderId="0" xfId="0" applyFont="1" applyFill="1" applyAlignment="1">
      <alignment wrapText="1"/>
    </xf>
    <xf numFmtId="0" fontId="1" fillId="0" borderId="3" xfId="0" applyFont="1" applyFill="1" applyBorder="1" applyAlignment="1">
      <alignment vertical="center"/>
    </xf>
    <xf numFmtId="0" fontId="1" fillId="6" borderId="3" xfId="0" applyFont="1" applyFill="1" applyBorder="1" applyAlignment="1" applyProtection="1">
      <alignment wrapText="1"/>
      <protection locked="0"/>
    </xf>
    <xf numFmtId="0" fontId="57" fillId="0" borderId="0" xfId="0" applyFont="1"/>
    <xf numFmtId="0" fontId="1" fillId="0" borderId="3" xfId="0" applyFont="1" applyFill="1" applyBorder="1" applyAlignment="1" applyProtection="1">
      <alignment wrapText="1"/>
    </xf>
    <xf numFmtId="0" fontId="1" fillId="0" borderId="0" xfId="0" applyFont="1" applyFill="1" applyProtection="1">
      <protection locked="0"/>
    </xf>
    <xf numFmtId="0" fontId="0" fillId="16" borderId="3" xfId="0" applyFill="1" applyBorder="1"/>
    <xf numFmtId="0" fontId="0" fillId="6" borderId="33" xfId="0" applyFill="1" applyBorder="1" applyAlignment="1">
      <alignment wrapText="1"/>
    </xf>
    <xf numFmtId="0" fontId="1" fillId="6" borderId="40" xfId="0" applyFont="1" applyFill="1" applyBorder="1" applyAlignment="1">
      <alignment wrapText="1"/>
    </xf>
    <xf numFmtId="0" fontId="45" fillId="6" borderId="30" xfId="0" applyFont="1" applyFill="1" applyBorder="1" applyAlignment="1">
      <alignment wrapText="1"/>
    </xf>
    <xf numFmtId="0" fontId="1" fillId="6" borderId="14" xfId="0" applyFont="1" applyFill="1" applyBorder="1" applyAlignment="1">
      <alignment horizontal="center" wrapText="1"/>
    </xf>
    <xf numFmtId="0" fontId="1" fillId="6" borderId="33" xfId="0" applyFont="1" applyFill="1" applyBorder="1" applyAlignment="1">
      <alignment horizontal="center" wrapText="1"/>
    </xf>
    <xf numFmtId="0" fontId="0" fillId="6" borderId="33" xfId="0" applyFill="1" applyBorder="1" applyProtection="1">
      <protection locked="0"/>
    </xf>
    <xf numFmtId="0" fontId="1" fillId="0" borderId="0" xfId="0" applyFont="1" applyAlignment="1">
      <alignment vertical="center"/>
    </xf>
    <xf numFmtId="0" fontId="1" fillId="0" borderId="0" xfId="0" applyFont="1" applyFill="1" applyBorder="1" applyAlignment="1">
      <alignment vertical="center"/>
    </xf>
    <xf numFmtId="0" fontId="16" fillId="0" borderId="0" xfId="2" applyFill="1" applyBorder="1" applyAlignment="1" applyProtection="1"/>
    <xf numFmtId="0" fontId="0" fillId="7" borderId="0" xfId="0" applyFill="1" applyBorder="1" applyAlignment="1">
      <alignment horizontal="center"/>
    </xf>
    <xf numFmtId="3" fontId="0" fillId="7" borderId="21" xfId="0" applyNumberFormat="1" applyFill="1" applyBorder="1" applyProtection="1">
      <protection locked="0"/>
    </xf>
    <xf numFmtId="0" fontId="1" fillId="6" borderId="5" xfId="0" applyFont="1" applyFill="1" applyBorder="1" applyAlignment="1">
      <alignment wrapText="1"/>
    </xf>
    <xf numFmtId="3" fontId="1" fillId="7" borderId="21" xfId="0" applyNumberFormat="1" applyFont="1" applyFill="1" applyBorder="1" applyProtection="1">
      <protection locked="0"/>
    </xf>
    <xf numFmtId="3" fontId="1" fillId="7" borderId="23" xfId="0" applyNumberFormat="1" applyFont="1" applyFill="1" applyBorder="1" applyProtection="1">
      <protection locked="0"/>
    </xf>
    <xf numFmtId="3" fontId="1" fillId="7" borderId="27" xfId="0" applyNumberFormat="1" applyFont="1" applyFill="1" applyBorder="1" applyProtection="1">
      <protection locked="0"/>
    </xf>
    <xf numFmtId="3" fontId="1" fillId="6" borderId="4" xfId="0" applyNumberFormat="1" applyFont="1" applyFill="1" applyBorder="1" applyProtection="1">
      <protection locked="0"/>
    </xf>
    <xf numFmtId="3" fontId="1" fillId="6" borderId="18" xfId="0" applyNumberFormat="1" applyFont="1" applyFill="1" applyBorder="1" applyProtection="1">
      <protection locked="0"/>
    </xf>
    <xf numFmtId="0" fontId="1" fillId="7" borderId="0" xfId="0" applyFont="1" applyFill="1" applyAlignment="1">
      <alignment wrapText="1"/>
    </xf>
    <xf numFmtId="0" fontId="58" fillId="0" borderId="0" xfId="0" applyFont="1" applyAlignment="1">
      <alignment vertical="center"/>
    </xf>
    <xf numFmtId="0" fontId="1" fillId="6" borderId="3" xfId="0" applyFont="1" applyFill="1" applyBorder="1"/>
    <xf numFmtId="0" fontId="0" fillId="0" borderId="3" xfId="0" applyFill="1" applyBorder="1"/>
    <xf numFmtId="0" fontId="0" fillId="0" borderId="3" xfId="0" applyFill="1" applyBorder="1" applyAlignment="1">
      <alignment wrapText="1"/>
    </xf>
    <xf numFmtId="165" fontId="0" fillId="6" borderId="3" xfId="0" applyNumberFormat="1" applyFill="1" applyBorder="1"/>
    <xf numFmtId="0" fontId="59" fillId="0" borderId="0" xfId="0" applyFont="1" applyFill="1"/>
    <xf numFmtId="0" fontId="1" fillId="0" borderId="0" xfId="0" quotePrefix="1" applyFont="1"/>
    <xf numFmtId="169" fontId="3" fillId="7" borderId="0" xfId="0" applyNumberFormat="1" applyFont="1" applyFill="1"/>
    <xf numFmtId="4" fontId="6" fillId="6" borderId="7" xfId="1" applyNumberFormat="1" applyFont="1" applyFill="1" applyBorder="1"/>
    <xf numFmtId="0" fontId="1" fillId="6" borderId="7" xfId="6" applyFill="1" applyBorder="1" applyAlignment="1">
      <alignment wrapText="1"/>
    </xf>
    <xf numFmtId="170" fontId="1" fillId="0" borderId="24" xfId="1" applyNumberFormat="1" applyFont="1" applyFill="1" applyBorder="1" applyAlignment="1" applyProtection="1">
      <alignment horizontal="center" wrapText="1"/>
      <protection locked="0"/>
    </xf>
    <xf numFmtId="0" fontId="3" fillId="14" borderId="6" xfId="0" applyFont="1" applyFill="1" applyBorder="1" applyAlignment="1">
      <alignment horizontal="center" wrapText="1"/>
    </xf>
    <xf numFmtId="0" fontId="3" fillId="14" borderId="5" xfId="0" applyFont="1" applyFill="1" applyBorder="1" applyAlignment="1">
      <alignment horizontal="center" wrapText="1"/>
    </xf>
    <xf numFmtId="0" fontId="3" fillId="14" borderId="7" xfId="0" applyFont="1" applyFill="1" applyBorder="1" applyAlignment="1">
      <alignment horizontal="center" wrapText="1"/>
    </xf>
    <xf numFmtId="0" fontId="3" fillId="7" borderId="6" xfId="0" applyFont="1" applyFill="1" applyBorder="1" applyAlignment="1">
      <alignment horizontal="left" wrapText="1"/>
    </xf>
    <xf numFmtId="0" fontId="3" fillId="7" borderId="5" xfId="0" applyFont="1" applyFill="1" applyBorder="1" applyAlignment="1">
      <alignment horizontal="left" wrapText="1"/>
    </xf>
    <xf numFmtId="0" fontId="3" fillId="7" borderId="7" xfId="0" applyFont="1" applyFill="1" applyBorder="1" applyAlignment="1">
      <alignment horizontal="left" wrapText="1"/>
    </xf>
    <xf numFmtId="0" fontId="38" fillId="6" borderId="43" xfId="0" applyFont="1" applyFill="1" applyBorder="1" applyAlignment="1">
      <alignment wrapText="1"/>
    </xf>
    <xf numFmtId="0" fontId="39" fillId="0" borderId="7" xfId="0" applyFont="1" applyBorder="1" applyAlignment="1">
      <alignment wrapText="1"/>
    </xf>
    <xf numFmtId="0" fontId="1" fillId="5" borderId="3" xfId="0" applyFont="1" applyFill="1" applyBorder="1" applyAlignment="1">
      <alignment horizontal="center" wrapText="1"/>
    </xf>
    <xf numFmtId="0" fontId="6" fillId="5" borderId="3" xfId="0" applyFont="1" applyFill="1" applyBorder="1" applyAlignment="1">
      <alignment horizontal="center" wrapText="1"/>
    </xf>
    <xf numFmtId="3" fontId="0" fillId="5" borderId="6" xfId="0" applyNumberFormat="1" applyFill="1" applyBorder="1" applyAlignment="1">
      <alignment horizontal="left"/>
    </xf>
    <xf numFmtId="3" fontId="0" fillId="5" borderId="5" xfId="0" applyNumberFormat="1" applyFill="1" applyBorder="1" applyAlignment="1">
      <alignment horizontal="left"/>
    </xf>
    <xf numFmtId="3" fontId="0" fillId="5" borderId="7" xfId="0" applyNumberFormat="1" applyFill="1" applyBorder="1" applyAlignment="1">
      <alignment horizontal="left"/>
    </xf>
    <xf numFmtId="3" fontId="0" fillId="5" borderId="6" xfId="0" applyNumberFormat="1" applyFill="1" applyBorder="1" applyAlignment="1">
      <alignment horizontal="left" wrapText="1"/>
    </xf>
    <xf numFmtId="3" fontId="0" fillId="5" borderId="5" xfId="0" applyNumberFormat="1" applyFill="1" applyBorder="1" applyAlignment="1">
      <alignment horizontal="left" wrapText="1"/>
    </xf>
    <xf numFmtId="3" fontId="0" fillId="5" borderId="7" xfId="0" applyNumberFormat="1" applyFill="1" applyBorder="1" applyAlignment="1">
      <alignment horizontal="left" wrapText="1"/>
    </xf>
    <xf numFmtId="0" fontId="0" fillId="6" borderId="3" xfId="0" applyFill="1" applyBorder="1" applyAlignment="1">
      <alignment horizontal="left"/>
    </xf>
    <xf numFmtId="0" fontId="1" fillId="6" borderId="33" xfId="0" applyFont="1" applyFill="1" applyBorder="1" applyAlignment="1">
      <alignment horizontal="center" wrapText="1"/>
    </xf>
    <xf numFmtId="0" fontId="6" fillId="6" borderId="36" xfId="0" applyFont="1" applyFill="1" applyBorder="1" applyAlignment="1">
      <alignment horizontal="center" wrapText="1"/>
    </xf>
    <xf numFmtId="0" fontId="6" fillId="6" borderId="37" xfId="0" applyFont="1" applyFill="1" applyBorder="1" applyAlignment="1">
      <alignment horizontal="center" wrapText="1"/>
    </xf>
    <xf numFmtId="0" fontId="6" fillId="6" borderId="18" xfId="0" applyFont="1" applyFill="1" applyBorder="1" applyAlignment="1">
      <alignment horizontal="center" vertical="top" wrapText="1"/>
    </xf>
    <xf numFmtId="0" fontId="6" fillId="6" borderId="4" xfId="0" applyFont="1" applyFill="1" applyBorder="1" applyAlignment="1">
      <alignment horizontal="center" vertical="top" wrapText="1"/>
    </xf>
    <xf numFmtId="0" fontId="6" fillId="6" borderId="6" xfId="0" applyFont="1" applyFill="1" applyBorder="1" applyAlignment="1">
      <alignment horizontal="center" vertical="top" wrapText="1"/>
    </xf>
    <xf numFmtId="0" fontId="6" fillId="6" borderId="5" xfId="0" applyFont="1" applyFill="1" applyBorder="1" applyAlignment="1">
      <alignment horizontal="center" vertical="top" wrapText="1"/>
    </xf>
    <xf numFmtId="0" fontId="6" fillId="6" borderId="7" xfId="0" applyFont="1" applyFill="1" applyBorder="1" applyAlignment="1">
      <alignment horizontal="center" vertical="top" wrapText="1"/>
    </xf>
    <xf numFmtId="0" fontId="6" fillId="6" borderId="6" xfId="0" applyFont="1" applyFill="1" applyBorder="1" applyAlignment="1">
      <alignment horizontal="center" wrapText="1"/>
    </xf>
    <xf numFmtId="0" fontId="6" fillId="6" borderId="5" xfId="0" applyFont="1" applyFill="1" applyBorder="1" applyAlignment="1">
      <alignment horizontal="center" wrapText="1"/>
    </xf>
    <xf numFmtId="0" fontId="6" fillId="6" borderId="7" xfId="0" applyFont="1" applyFill="1" applyBorder="1" applyAlignment="1">
      <alignment horizontal="center" wrapText="1"/>
    </xf>
    <xf numFmtId="0" fontId="6" fillId="0" borderId="0" xfId="0" applyFont="1" applyAlignment="1">
      <alignment wrapText="1"/>
    </xf>
  </cellXfs>
  <cellStyles count="7">
    <cellStyle name="Comma" xfId="1" builtinId="3"/>
    <cellStyle name="Comma 2" xfId="5" xr:uid="{00000000-0005-0000-0000-000001000000}"/>
    <cellStyle name="Hyperlink" xfId="2" builtinId="8"/>
    <cellStyle name="Normal" xfId="0" builtinId="0"/>
    <cellStyle name="Normal 2" xfId="6" xr:uid="{00000000-0005-0000-0000-000004000000}"/>
    <cellStyle name="Normal 3" xfId="4" xr:uid="{00000000-0005-0000-0000-000005000000}"/>
    <cellStyle name="Percent" xfId="3" builtinId="5"/>
  </cellStyles>
  <dxfs count="140">
    <dxf>
      <font>
        <color theme="1"/>
      </font>
      <fill>
        <patternFill>
          <bgColor theme="6" tint="0.39994506668294322"/>
        </patternFill>
      </fill>
    </dxf>
    <dxf>
      <font>
        <color rgb="FF00B050"/>
      </font>
    </dxf>
    <dxf>
      <font>
        <color rgb="FF00B050"/>
      </font>
    </dxf>
    <dxf>
      <font>
        <color rgb="FFFF0000"/>
      </font>
    </dxf>
    <dxf>
      <fill>
        <patternFill>
          <bgColor rgb="FFFF0000"/>
        </patternFill>
      </fill>
    </dxf>
    <dxf>
      <fill>
        <patternFill>
          <bgColor rgb="FFFF0000"/>
        </patternFill>
      </fill>
    </dxf>
    <dxf>
      <font>
        <color theme="1"/>
      </font>
      <fill>
        <patternFill>
          <bgColor theme="8" tint="0.39994506668294322"/>
        </patternFill>
      </fill>
    </dxf>
    <dxf>
      <font>
        <color rgb="FFFF0000"/>
      </font>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b/>
        <i val="0"/>
        <color theme="1"/>
      </font>
      <fill>
        <patternFill>
          <bgColor rgb="FFFFC000"/>
        </patternFill>
      </fill>
    </dxf>
    <dxf>
      <font>
        <b/>
        <i val="0"/>
        <color theme="1"/>
      </font>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b/>
        <i val="0"/>
        <color theme="1"/>
      </font>
      <fill>
        <patternFill>
          <bgColor rgb="FFFFC000"/>
        </patternFill>
      </fill>
    </dxf>
    <dxf>
      <font>
        <color theme="1"/>
      </font>
      <fill>
        <patternFill>
          <bgColor theme="6" tint="0.39994506668294322"/>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22594142259417"/>
          <c:y val="2.4263431542461005E-2"/>
          <c:w val="0.53417015341701535"/>
          <c:h val="0.84402079722703638"/>
        </c:manualLayout>
      </c:layout>
      <c:barChart>
        <c:barDir val="bar"/>
        <c:grouping val="clustered"/>
        <c:varyColors val="0"/>
        <c:ser>
          <c:idx val="0"/>
          <c:order val="0"/>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1-Graphiques'!$B$8:$B$24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B9A3-44FB-81C3-F8EBA2BF6DA7}"/>
            </c:ext>
          </c:extLst>
        </c:ser>
        <c:dLbls>
          <c:showLegendKey val="0"/>
          <c:showVal val="0"/>
          <c:showCatName val="0"/>
          <c:showSerName val="0"/>
          <c:showPercent val="0"/>
          <c:showBubbleSize val="0"/>
        </c:dLbls>
        <c:gapWidth val="150"/>
        <c:axId val="281449056"/>
        <c:axId val="284179944"/>
      </c:barChart>
      <c:catAx>
        <c:axId val="2814490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9944"/>
        <c:crosses val="autoZero"/>
        <c:auto val="1"/>
        <c:lblAlgn val="ctr"/>
        <c:lblOffset val="100"/>
        <c:noMultiLvlLbl val="0"/>
      </c:catAx>
      <c:valAx>
        <c:axId val="284179944"/>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Apports de mercure estimés (Kg Hg/an)</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1449056"/>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307371349095967"/>
          <c:y val="2.2690437601296597E-2"/>
          <c:w val="0.54381084840055638"/>
          <c:h val="0.85413290113452189"/>
        </c:manualLayout>
      </c:layout>
      <c:barChart>
        <c:barDir val="bar"/>
        <c:grouping val="clustered"/>
        <c:varyColors val="0"/>
        <c:ser>
          <c:idx val="1"/>
          <c:order val="0"/>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1-Graphiques'!$C$8:$C$24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891F-4BF5-B96C-426E1FA68C5C}"/>
            </c:ext>
          </c:extLst>
        </c:ser>
        <c:dLbls>
          <c:showLegendKey val="0"/>
          <c:showVal val="0"/>
          <c:showCatName val="0"/>
          <c:showSerName val="0"/>
          <c:showPercent val="0"/>
          <c:showBubbleSize val="0"/>
        </c:dLbls>
        <c:gapWidth val="150"/>
        <c:axId val="284184648"/>
        <c:axId val="284184256"/>
      </c:barChart>
      <c:catAx>
        <c:axId val="2841846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256"/>
        <c:crosses val="autoZero"/>
        <c:auto val="1"/>
        <c:lblAlgn val="ctr"/>
        <c:lblOffset val="100"/>
        <c:noMultiLvlLbl val="0"/>
      </c:catAx>
      <c:valAx>
        <c:axId val="28418425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Emissions de mercury dans</a:t>
                </a:r>
                <a:r>
                  <a:rPr lang="da-DK" baseline="0"/>
                  <a:t> l'air estimées (Kg Hg/an)</a:t>
                </a:r>
                <a:endParaRPr lang="da-DK"/>
              </a:p>
            </c:rich>
          </c:tx>
          <c:layout>
            <c:manualLayout>
              <c:xMode val="edge"/>
              <c:yMode val="edge"/>
              <c:x val="0.3495483301026871"/>
              <c:y val="0.92093007822968642"/>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64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249999999999998"/>
          <c:y val="2.113821138211382E-2"/>
          <c:w val="0.5444444444444444"/>
          <c:h val="0.8552845528455284"/>
        </c:manualLayout>
      </c:layout>
      <c:barChart>
        <c:barDir val="bar"/>
        <c:grouping val="clustered"/>
        <c:varyColors val="0"/>
        <c:ser>
          <c:idx val="0"/>
          <c:order val="0"/>
          <c:spPr>
            <a:solidFill>
              <a:srgbClr val="9BBB59">
                <a:lumMod val="75000"/>
              </a:srgbClr>
            </a:solidFill>
          </c:spPr>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1-Graphiques'!$E$8:$E$24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24BE-4A61-AC97-73B05527A4BD}"/>
            </c:ext>
          </c:extLst>
        </c:ser>
        <c:dLbls>
          <c:showLegendKey val="0"/>
          <c:showVal val="0"/>
          <c:showCatName val="0"/>
          <c:showSerName val="0"/>
          <c:showPercent val="0"/>
          <c:showBubbleSize val="0"/>
        </c:dLbls>
        <c:gapWidth val="150"/>
        <c:axId val="284183864"/>
        <c:axId val="284180336"/>
      </c:barChart>
      <c:catAx>
        <c:axId val="2841838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336"/>
        <c:crosses val="autoZero"/>
        <c:auto val="1"/>
        <c:lblAlgn val="ctr"/>
        <c:lblOffset val="100"/>
        <c:noMultiLvlLbl val="0"/>
      </c:catAx>
      <c:valAx>
        <c:axId val="28418033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Rejets de mercure dans le sol estimés</a:t>
                </a:r>
                <a:r>
                  <a:rPr lang="da-DK" baseline="0"/>
                  <a:t> (Kg Hg/an)</a:t>
                </a:r>
                <a:endParaRPr lang="da-DK"/>
              </a:p>
            </c:rich>
          </c:tx>
          <c:layout>
            <c:manualLayout>
              <c:xMode val="edge"/>
              <c:yMode val="edge"/>
              <c:x val="0.34954841061533976"/>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386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113821138211382E-2"/>
          <c:w val="0.53675450762829402"/>
          <c:h val="0.8552845528455284"/>
        </c:manualLayout>
      </c:layout>
      <c:barChart>
        <c:barDir val="bar"/>
        <c:grouping val="clustered"/>
        <c:varyColors val="0"/>
        <c:ser>
          <c:idx val="1"/>
          <c:order val="0"/>
          <c:spPr>
            <a:solidFill>
              <a:schemeClr val="bg2">
                <a:lumMod val="50000"/>
              </a:schemeClr>
            </a:solidFill>
          </c:spPr>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2A3B-4A50-9ABA-50188ECAC1E1}"/>
            </c:ext>
          </c:extLst>
        </c:ser>
        <c:dLbls>
          <c:showLegendKey val="0"/>
          <c:showVal val="0"/>
          <c:showCatName val="0"/>
          <c:showSerName val="0"/>
          <c:showPercent val="0"/>
          <c:showBubbleSize val="0"/>
        </c:dLbls>
        <c:gapWidth val="150"/>
        <c:axId val="284180728"/>
        <c:axId val="284182688"/>
      </c:barChart>
      <c:catAx>
        <c:axId val="2841807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2688"/>
        <c:crosses val="autoZero"/>
        <c:auto val="1"/>
        <c:lblAlgn val="ctr"/>
        <c:lblOffset val="100"/>
        <c:noMultiLvlLbl val="0"/>
      </c:catAx>
      <c:valAx>
        <c:axId val="284182688"/>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Rejets de mercure</a:t>
                </a:r>
                <a:r>
                  <a:rPr lang="da-DK" baseline="0"/>
                  <a:t> dans l'eau estimés (Kg Hg/an)</a:t>
                </a:r>
                <a:endParaRPr lang="da-DK"/>
              </a:p>
            </c:rich>
          </c:tx>
          <c:layout>
            <c:manualLayout>
              <c:xMode val="edge"/>
              <c:yMode val="edge"/>
              <c:x val="0.33623466969541432"/>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7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179620034542316E-2"/>
          <c:w val="0.5409153952843273"/>
          <c:h val="0.79447322970639034"/>
        </c:manualLayout>
      </c:layout>
      <c:barChart>
        <c:barDir val="bar"/>
        <c:grouping val="clustered"/>
        <c:varyColors val="0"/>
        <c:ser>
          <c:idx val="1"/>
          <c:order val="0"/>
          <c:spPr>
            <a:solidFill>
              <a:srgbClr val="F79646">
                <a:lumMod val="75000"/>
              </a:srgbClr>
            </a:solidFill>
          </c:spPr>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1-Graphiques'!$F$8:$F$24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D27C-4E0E-B107-2C5A8C20D48B}"/>
            </c:ext>
          </c:extLst>
        </c:ser>
        <c:dLbls>
          <c:showLegendKey val="0"/>
          <c:showVal val="0"/>
          <c:showCatName val="0"/>
          <c:showSerName val="0"/>
          <c:showPercent val="0"/>
          <c:showBubbleSize val="0"/>
        </c:dLbls>
        <c:gapWidth val="150"/>
        <c:axId val="284177984"/>
        <c:axId val="284177592"/>
      </c:barChart>
      <c:catAx>
        <c:axId val="2841779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592"/>
        <c:crosses val="autoZero"/>
        <c:auto val="1"/>
        <c:lblAlgn val="ctr"/>
        <c:lblOffset val="100"/>
        <c:noMultiLvlLbl val="0"/>
      </c:catAx>
      <c:valAx>
        <c:axId val="2841775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Rejets de mercure estimés</a:t>
                </a:r>
                <a:r>
                  <a:rPr lang="da-DK" baseline="0"/>
                  <a:t> dans les produits dérivés et les impuretés </a:t>
                </a:r>
                <a:r>
                  <a:rPr lang="da-DK"/>
                  <a:t>(Kg Hg/)</a:t>
                </a:r>
              </a:p>
            </c:rich>
          </c:tx>
          <c:layout>
            <c:manualLayout>
              <c:xMode val="edge"/>
              <c:yMode val="edge"/>
              <c:x val="0.32594741191331666"/>
              <c:y val="0.8899824568561054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98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347826086956521E-2"/>
          <c:w val="0.5409153952843273"/>
          <c:h val="0.84347826086956523"/>
        </c:manualLayout>
      </c:layout>
      <c:barChart>
        <c:barDir val="bar"/>
        <c:grouping val="clustered"/>
        <c:varyColors val="0"/>
        <c:ser>
          <c:idx val="0"/>
          <c:order val="0"/>
          <c:spPr>
            <a:solidFill>
              <a:srgbClr val="6C4B7B"/>
            </a:solidFill>
          </c:spPr>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1-Graphiques'!$G$8:$G$24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2B04-47FD-A2FB-F8FFDB5347B5}"/>
            </c:ext>
          </c:extLst>
        </c:ser>
        <c:dLbls>
          <c:showLegendKey val="0"/>
          <c:showVal val="0"/>
          <c:showCatName val="0"/>
          <c:showSerName val="0"/>
          <c:showPercent val="0"/>
          <c:showBubbleSize val="0"/>
        </c:dLbls>
        <c:gapWidth val="150"/>
        <c:axId val="285433568"/>
        <c:axId val="285435920"/>
      </c:barChart>
      <c:catAx>
        <c:axId val="28543356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920"/>
        <c:crosses val="autoZero"/>
        <c:auto val="1"/>
        <c:lblAlgn val="ctr"/>
        <c:lblOffset val="100"/>
        <c:noMultiLvlLbl val="0"/>
      </c:catAx>
      <c:valAx>
        <c:axId val="285435920"/>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Rejets de mercure estimés</a:t>
                </a:r>
                <a:r>
                  <a:rPr lang="da-DK" baseline="0"/>
                  <a:t> dans les déchets généraux </a:t>
                </a:r>
              </a:p>
              <a:p>
                <a:pPr>
                  <a:defRPr sz="1800" b="1" i="0" u="none" strike="noStrike" baseline="0">
                    <a:solidFill>
                      <a:srgbClr val="000000"/>
                    </a:solidFill>
                    <a:latin typeface="Calibri"/>
                    <a:ea typeface="Calibri"/>
                    <a:cs typeface="Calibri"/>
                  </a:defRPr>
                </a:pPr>
                <a:r>
                  <a:rPr lang="da-DK"/>
                  <a:t>(Kg Hg/an)</a:t>
                </a:r>
              </a:p>
            </c:rich>
          </c:tx>
          <c:layout>
            <c:manualLayout>
              <c:xMode val="edge"/>
              <c:yMode val="edge"/>
              <c:x val="0.23388891922490271"/>
              <c:y val="0.8932195823348169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356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64788732394366E-2"/>
          <c:w val="0.5409153952843273"/>
          <c:h val="0.84154929577464788"/>
        </c:manualLayout>
      </c:layout>
      <c:barChart>
        <c:barDir val="bar"/>
        <c:grouping val="clustered"/>
        <c:varyColors val="0"/>
        <c:ser>
          <c:idx val="0"/>
          <c:order val="0"/>
          <c:spPr>
            <a:solidFill>
              <a:schemeClr val="bg1">
                <a:lumMod val="65000"/>
              </a:schemeClr>
            </a:solidFill>
          </c:spPr>
          <c:invertIfNegative val="0"/>
          <c:cat>
            <c:strRef>
              <c:f>'Niveau 1-Graphiques'!$A$8:$A$24</c:f>
              <c:strCache>
                <c:ptCount val="17"/>
                <c:pt idx="0">
                  <c:v>Combustion du charbon et autres utilisations du charbon</c:v>
                </c:pt>
                <c:pt idx="1">
                  <c:v>Combustion d'autres combustibles fossiles et de biomasse*4</c:v>
                </c:pt>
                <c:pt idx="2">
                  <c:v>production d'huile et de gaz</c:v>
                </c:pt>
                <c:pt idx="3">
                  <c:v>Production primaire de métal (à l'exception de la production d'or par amalgamation)</c:v>
                </c:pt>
                <c:pt idx="4">
                  <c:v>Extraction de l'or par amalgamation au mercure</c:v>
                </c:pt>
                <c:pt idx="5">
                  <c:v>Autres productions de matériaux*5</c:v>
                </c:pt>
                <c:pt idx="6">
                  <c:v>Production de chlore et de soude caustique avec cellules à mercure</c:v>
                </c:pt>
                <c:pt idx="7">
                  <c:v>Production d'autres produits chimiques et polymères*6</c:v>
                </c:pt>
                <c:pt idx="8">
                  <c:v>Production de produits avec des teneurs en mercure</c:v>
                </c:pt>
                <c:pt idx="9">
                  <c:v>Utilisation et élimination d'amalgames dentaires</c:v>
                </c:pt>
                <c:pt idx="10">
                  <c:v>Utilisation et élimination d'autres produits*7</c:v>
                </c:pt>
                <c:pt idx="11">
                  <c:v>Production de métaux recyclés</c:v>
                </c:pt>
                <c:pt idx="12">
                  <c:v>Incinération et brûlage à l'air libre de déchets*1</c:v>
                </c:pt>
                <c:pt idx="13">
                  <c:v>Dépôt de déchets*1</c:v>
                </c:pt>
                <c:pt idx="14">
                  <c:v>Dépôt informel de déchets généraux *1*2</c:v>
                </c:pt>
                <c:pt idx="15">
                  <c:v>Circuit d'évacuation/traitement des eaux usées *3</c:v>
                </c:pt>
                <c:pt idx="16">
                  <c:v>Crématoriums et cimetières</c:v>
                </c:pt>
              </c:strCache>
            </c:strRef>
          </c:cat>
          <c:val>
            <c:numRef>
              <c:f>'Niveau 1-Graphiques'!$H$8:$H$24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7433-4341-86B9-F95098CCBCEA}"/>
            </c:ext>
          </c:extLst>
        </c:ser>
        <c:dLbls>
          <c:showLegendKey val="0"/>
          <c:showVal val="0"/>
          <c:showCatName val="0"/>
          <c:showSerName val="0"/>
          <c:showPercent val="0"/>
          <c:showBubbleSize val="0"/>
        </c:dLbls>
        <c:gapWidth val="150"/>
        <c:axId val="285435528"/>
        <c:axId val="285432392"/>
      </c:barChart>
      <c:catAx>
        <c:axId val="2854355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2392"/>
        <c:crosses val="autoZero"/>
        <c:auto val="1"/>
        <c:lblAlgn val="ctr"/>
        <c:lblOffset val="100"/>
        <c:noMultiLvlLbl val="0"/>
      </c:catAx>
      <c:valAx>
        <c:axId val="2854323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a:t>Rejets de mercure</a:t>
                </a:r>
                <a:r>
                  <a:rPr lang="da-DK" baseline="0"/>
                  <a:t> estimés dans les déchets par secteur </a:t>
                </a:r>
                <a:r>
                  <a:rPr lang="da-DK"/>
                  <a:t>(Kg Hg/an)</a:t>
                </a:r>
              </a:p>
            </c:rich>
          </c:tx>
          <c:layout>
            <c:manualLayout>
              <c:xMode val="edge"/>
              <c:yMode val="edge"/>
              <c:x val="0.20236708275543228"/>
              <c:y val="0.893219659162322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5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66675</xdr:rowOff>
    </xdr:from>
    <xdr:to>
      <xdr:col>4</xdr:col>
      <xdr:colOff>666750</xdr:colOff>
      <xdr:row>79</xdr:row>
      <xdr:rowOff>57150</xdr:rowOff>
    </xdr:to>
    <xdr:graphicFrame macro="">
      <xdr:nvGraphicFramePr>
        <xdr:cNvPr id="6572851" name="Chart 2">
          <a:extLst>
            <a:ext uri="{FF2B5EF4-FFF2-40B4-BE49-F238E27FC236}">
              <a16:creationId xmlns:a16="http://schemas.microsoft.com/office/drawing/2014/main" id="{00000000-0008-0000-1600-000033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81</xdr:row>
      <xdr:rowOff>9525</xdr:rowOff>
    </xdr:from>
    <xdr:to>
      <xdr:col>4</xdr:col>
      <xdr:colOff>685800</xdr:colOff>
      <xdr:row>117</xdr:row>
      <xdr:rowOff>57150</xdr:rowOff>
    </xdr:to>
    <xdr:graphicFrame macro="">
      <xdr:nvGraphicFramePr>
        <xdr:cNvPr id="6572852" name="Chart 3">
          <a:extLst>
            <a:ext uri="{FF2B5EF4-FFF2-40B4-BE49-F238E27FC236}">
              <a16:creationId xmlns:a16="http://schemas.microsoft.com/office/drawing/2014/main" id="{00000000-0008-0000-1600-000034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157</xdr:row>
      <xdr:rowOff>38100</xdr:rowOff>
    </xdr:from>
    <xdr:to>
      <xdr:col>4</xdr:col>
      <xdr:colOff>695325</xdr:colOff>
      <xdr:row>193</xdr:row>
      <xdr:rowOff>66675</xdr:rowOff>
    </xdr:to>
    <xdr:graphicFrame macro="">
      <xdr:nvGraphicFramePr>
        <xdr:cNvPr id="6572853" name="Chart 9">
          <a:extLst>
            <a:ext uri="{FF2B5EF4-FFF2-40B4-BE49-F238E27FC236}">
              <a16:creationId xmlns:a16="http://schemas.microsoft.com/office/drawing/2014/main" id="{00000000-0008-0000-1600-000035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119</xdr:row>
      <xdr:rowOff>66675</xdr:rowOff>
    </xdr:from>
    <xdr:to>
      <xdr:col>4</xdr:col>
      <xdr:colOff>704850</xdr:colOff>
      <xdr:row>155</xdr:row>
      <xdr:rowOff>95250</xdr:rowOff>
    </xdr:to>
    <xdr:graphicFrame macro="">
      <xdr:nvGraphicFramePr>
        <xdr:cNvPr id="6572854" name="Chart 10">
          <a:extLst>
            <a:ext uri="{FF2B5EF4-FFF2-40B4-BE49-F238E27FC236}">
              <a16:creationId xmlns:a16="http://schemas.microsoft.com/office/drawing/2014/main" id="{00000000-0008-0000-1600-000036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195</xdr:row>
      <xdr:rowOff>114300</xdr:rowOff>
    </xdr:from>
    <xdr:to>
      <xdr:col>4</xdr:col>
      <xdr:colOff>704850</xdr:colOff>
      <xdr:row>229</xdr:row>
      <xdr:rowOff>123825</xdr:rowOff>
    </xdr:to>
    <xdr:graphicFrame macro="">
      <xdr:nvGraphicFramePr>
        <xdr:cNvPr id="6572855" name="Chart 16">
          <a:extLst>
            <a:ext uri="{FF2B5EF4-FFF2-40B4-BE49-F238E27FC236}">
              <a16:creationId xmlns:a16="http://schemas.microsoft.com/office/drawing/2014/main" id="{00000000-0008-0000-1600-000037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231</xdr:row>
      <xdr:rowOff>152400</xdr:rowOff>
    </xdr:from>
    <xdr:to>
      <xdr:col>4</xdr:col>
      <xdr:colOff>704850</xdr:colOff>
      <xdr:row>265</xdr:row>
      <xdr:rowOff>123825</xdr:rowOff>
    </xdr:to>
    <xdr:graphicFrame macro="">
      <xdr:nvGraphicFramePr>
        <xdr:cNvPr id="6572856" name="Chart 17">
          <a:extLst>
            <a:ext uri="{FF2B5EF4-FFF2-40B4-BE49-F238E27FC236}">
              <a16:creationId xmlns:a16="http://schemas.microsoft.com/office/drawing/2014/main" id="{00000000-0008-0000-1600-000038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267</xdr:row>
      <xdr:rowOff>66675</xdr:rowOff>
    </xdr:from>
    <xdr:to>
      <xdr:col>4</xdr:col>
      <xdr:colOff>704850</xdr:colOff>
      <xdr:row>300</xdr:row>
      <xdr:rowOff>133350</xdr:rowOff>
    </xdr:to>
    <xdr:graphicFrame macro="">
      <xdr:nvGraphicFramePr>
        <xdr:cNvPr id="6572857" name="Chart 17">
          <a:extLst>
            <a:ext uri="{FF2B5EF4-FFF2-40B4-BE49-F238E27FC236}">
              <a16:creationId xmlns:a16="http://schemas.microsoft.com/office/drawing/2014/main" id="{00000000-0008-0000-1600-000039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Ronkainen/Downloads/Hg-Toolkit-Inventory%20Level%20%201-Calculation-Spreadsheet-January2017%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1-Country data"/>
      <sheetName val="Step2-Energy"/>
      <sheetName val="5-1 Fuels"/>
      <sheetName val="Step3-Metals-RawMat"/>
      <sheetName val="5-2 Prim metal"/>
      <sheetName val="5-3 Other min + mat"/>
      <sheetName val="Step4-Industrial Hg use"/>
      <sheetName val="5-4 Int Hg in Industry"/>
      <sheetName val="Step5-Waste treatment+recycling"/>
      <sheetName val="5-8 Waste incin"/>
      <sheetName val="5-9 Waste depo and water treatm"/>
      <sheetName val="5-7 Recycl metals"/>
      <sheetName val="Step6-Hg products-substances"/>
      <sheetName val="Countrydata"/>
      <sheetName val="5-5 Cons prod"/>
      <sheetName val="5-6 Other int use"/>
      <sheetName val="Step7-Crematoria-cemetaries"/>
      <sheetName val="Step8-Miscellannous Hg sources"/>
      <sheetName val="Insert IL2 results"/>
      <sheetName val="Range-thresholds"/>
      <sheetName val="Unit conversion"/>
      <sheetName val="Level 1-ExecSummary"/>
      <sheetName val="Level 1-Charts"/>
      <sheetName val="Level 1- Hg sources identified"/>
      <sheetName val="Level 1-summary of Hg inputs"/>
      <sheetName val="Level 1-summary of releases"/>
      <sheetName val="Level 1- total summary"/>
      <sheetName val="Level 2-introduction"/>
      <sheetName val="Level 2-summary"/>
      <sheetName val="Controls defaults"/>
      <sheetName val="Translation note"/>
      <sheetName val="5-10 Cremat and cem"/>
    </sheetNames>
    <sheetDataSet>
      <sheetData sheetId="0" refreshError="1"/>
      <sheetData sheetId="1" refreshError="1"/>
      <sheetData sheetId="2" refreshError="1"/>
      <sheetData sheetId="3" refreshError="1"/>
      <sheetData sheetId="4" refreshError="1"/>
      <sheetData sheetId="5" refreshError="1"/>
      <sheetData sheetId="6"/>
      <sheetData sheetId="7">
        <row r="10">
          <cell r="U10">
            <v>0.6</v>
          </cell>
        </row>
      </sheetData>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B4" t="str">
            <v>Y</v>
          </cell>
        </row>
        <row r="5">
          <cell r="B5" t="str">
            <v>N</v>
          </cell>
        </row>
        <row r="6">
          <cell r="B6" t="str">
            <v>?</v>
          </cell>
        </row>
      </sheetData>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www.reegle.info/countries" TargetMode="External"/><Relationship Id="rId7" Type="http://schemas.openxmlformats.org/officeDocument/2006/relationships/hyperlink" Target="https://population.un.org/wpp/DataQuery/" TargetMode="External"/><Relationship Id="rId2" Type="http://schemas.openxmlformats.org/officeDocument/2006/relationships/hyperlink" Target="http://www.reeep.org/file_upload/296_tmpphpW16ncV.pdf" TargetMode="External"/><Relationship Id="rId1" Type="http://schemas.openxmlformats.org/officeDocument/2006/relationships/hyperlink" Target="http://datamarket.com/data/set/1459/household-electrification-rate-of-households" TargetMode="External"/><Relationship Id="rId6" Type="http://schemas.openxmlformats.org/officeDocument/2006/relationships/hyperlink" Target="http://www.who.int/whr/2006/annex/en/index.html" TargetMode="External"/><Relationship Id="rId5" Type="http://schemas.openxmlformats.org/officeDocument/2006/relationships/hyperlink" Target="http://www.worldenergyoutlook.org/resources/energydevelopment/accesstoelectricity/" TargetMode="External"/><Relationship Id="rId4" Type="http://schemas.openxmlformats.org/officeDocument/2006/relationships/hyperlink" Target="http://www.ngdc.noaa.gov/dmsp/pubs/Elvidge_WINTD_20091022.pdf"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39"/>
  <sheetViews>
    <sheetView tabSelected="1" workbookViewId="0">
      <selection activeCell="A23" sqref="A23"/>
    </sheetView>
  </sheetViews>
  <sheetFormatPr defaultColWidth="9.1796875" defaultRowHeight="12.5"/>
  <cols>
    <col min="1" max="1" width="41.81640625" style="338" customWidth="1"/>
    <col min="2" max="2" width="70" style="368" customWidth="1"/>
    <col min="3" max="3" width="15.453125" style="338" customWidth="1"/>
    <col min="4" max="4" width="14.1796875" style="338" customWidth="1"/>
    <col min="5" max="5" width="10.81640625" style="338" customWidth="1"/>
    <col min="6" max="6" width="10.453125" style="338" customWidth="1"/>
    <col min="7" max="7" width="10.36328125" style="338" customWidth="1"/>
    <col min="8" max="8" width="11" style="338" customWidth="1"/>
    <col min="9" max="9" width="9.1796875" style="338"/>
    <col min="10" max="10" width="16.1796875" style="338" customWidth="1"/>
    <col min="11" max="11" width="11" style="338" customWidth="1"/>
    <col min="12" max="12" width="5.36328125" style="338" customWidth="1"/>
    <col min="13" max="16384" width="9.1796875" style="338"/>
  </cols>
  <sheetData>
    <row r="1" spans="1:39" ht="18">
      <c r="A1" s="1" t="s">
        <v>1114</v>
      </c>
    </row>
    <row r="2" spans="1:39" ht="13" thickBot="1"/>
    <row r="3" spans="1:39" ht="26.5" thickBot="1">
      <c r="A3" s="353" t="s">
        <v>833</v>
      </c>
      <c r="B3" s="445"/>
    </row>
    <row r="4" spans="1:39" ht="13">
      <c r="A4" s="265"/>
      <c r="B4" s="471"/>
    </row>
    <row r="5" spans="1:39" ht="13.5" thickBot="1">
      <c r="A5" s="265" t="s">
        <v>834</v>
      </c>
      <c r="B5" s="472"/>
    </row>
    <row r="6" spans="1:39" ht="25">
      <c r="A6" s="692" t="s">
        <v>835</v>
      </c>
      <c r="B6" s="509">
        <f>B23</f>
        <v>0</v>
      </c>
      <c r="C6" s="732" t="s">
        <v>828</v>
      </c>
      <c r="D6" s="731"/>
      <c r="E6" s="731"/>
      <c r="F6" s="731"/>
    </row>
    <row r="7" spans="1:39" s="487" customFormat="1" ht="25">
      <c r="A7" s="692" t="s">
        <v>836</v>
      </c>
      <c r="B7" s="382"/>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row>
    <row r="8" spans="1:39">
      <c r="A8" s="621" t="s">
        <v>837</v>
      </c>
      <c r="B8" s="381"/>
    </row>
    <row r="9" spans="1:39">
      <c r="A9" s="621" t="s">
        <v>838</v>
      </c>
      <c r="B9" s="382"/>
    </row>
    <row r="10" spans="1:39" ht="25.5" thickBot="1">
      <c r="A10" s="621" t="s">
        <v>839</v>
      </c>
      <c r="B10" s="383"/>
    </row>
    <row r="11" spans="1:39">
      <c r="A11" s="367"/>
      <c r="B11" s="473"/>
    </row>
    <row r="12" spans="1:39" ht="13.5" thickBot="1">
      <c r="A12" s="265" t="s">
        <v>840</v>
      </c>
      <c r="B12" s="474"/>
      <c r="C12" s="369"/>
      <c r="D12" s="369"/>
      <c r="E12" s="369"/>
      <c r="F12" s="369"/>
      <c r="G12" s="369"/>
      <c r="H12" s="369"/>
      <c r="I12" s="369"/>
      <c r="J12" s="369"/>
      <c r="K12" s="369"/>
      <c r="L12" s="369"/>
    </row>
    <row r="13" spans="1:39">
      <c r="A13" s="621" t="s">
        <v>841</v>
      </c>
      <c r="B13" s="384"/>
      <c r="C13" s="370"/>
      <c r="D13" s="369"/>
      <c r="E13" s="369"/>
      <c r="F13" s="369"/>
      <c r="G13" s="369"/>
      <c r="H13" s="369"/>
      <c r="I13" s="369"/>
      <c r="J13" s="369"/>
      <c r="K13" s="369"/>
      <c r="L13" s="369"/>
    </row>
    <row r="14" spans="1:39">
      <c r="A14" s="621" t="s">
        <v>842</v>
      </c>
      <c r="B14" s="381"/>
      <c r="C14" s="370"/>
      <c r="D14" s="369"/>
      <c r="E14" s="369"/>
      <c r="F14" s="369"/>
      <c r="G14" s="369"/>
      <c r="H14" s="369"/>
      <c r="I14" s="369"/>
      <c r="J14" s="369"/>
      <c r="K14" s="369"/>
      <c r="L14" s="369"/>
    </row>
    <row r="15" spans="1:39">
      <c r="A15" s="621" t="s">
        <v>843</v>
      </c>
      <c r="B15" s="381"/>
      <c r="C15" s="370"/>
      <c r="D15" s="369"/>
      <c r="E15" s="369"/>
      <c r="F15" s="369"/>
      <c r="G15" s="369"/>
      <c r="H15" s="369"/>
      <c r="I15" s="369"/>
      <c r="J15" s="369"/>
      <c r="K15" s="369"/>
      <c r="L15" s="369"/>
    </row>
    <row r="16" spans="1:39">
      <c r="A16" s="759" t="s">
        <v>844</v>
      </c>
      <c r="B16" s="381"/>
      <c r="C16" s="369"/>
      <c r="D16" s="369"/>
      <c r="E16" s="369"/>
      <c r="F16" s="369"/>
      <c r="G16" s="369"/>
      <c r="H16" s="369"/>
      <c r="I16" s="369"/>
      <c r="J16" s="369"/>
      <c r="K16" s="369"/>
      <c r="L16" s="369"/>
    </row>
    <row r="17" spans="1:4">
      <c r="A17" s="621" t="s">
        <v>845</v>
      </c>
      <c r="B17" s="381"/>
    </row>
    <row r="18" spans="1:4" ht="13" thickBot="1">
      <c r="A18" s="760" t="s">
        <v>846</v>
      </c>
      <c r="B18" s="383"/>
    </row>
    <row r="19" spans="1:4">
      <c r="A19" s="272"/>
      <c r="B19" s="475"/>
    </row>
    <row r="21" spans="1:4" ht="13">
      <c r="A21" s="535" t="s">
        <v>847</v>
      </c>
      <c r="B21" s="536"/>
      <c r="C21" s="536"/>
      <c r="D21" s="536"/>
    </row>
    <row r="22" spans="1:4" ht="75">
      <c r="A22" s="761" t="s">
        <v>701</v>
      </c>
      <c r="B22" s="761" t="s">
        <v>1220</v>
      </c>
      <c r="C22" s="761" t="s">
        <v>848</v>
      </c>
      <c r="D22" s="761" t="s">
        <v>849</v>
      </c>
    </row>
    <row r="23" spans="1:4">
      <c r="A23" s="779" t="s">
        <v>1117</v>
      </c>
      <c r="B23" s="537">
        <f>IF(ISERROR(INDEX(Countrydata!B$8:B$206,MATCH($A$23,Country,0))),"Select country",INDEX(Countrydata!B$8:B$206,MATCH($A$23,Country,0)))</f>
        <v>0</v>
      </c>
      <c r="C23" s="538">
        <f>IF(ISERROR(INDEX(Countrydata!D$8:D$206,MATCH('Etape 1-Données pays'!$A$23,Country,0))),"Select country",INDEX(Countrydata!D$8:D$206,MATCH('Etape 1-Données pays'!$A$23,Country,0)))</f>
        <v>0.82919079065322876</v>
      </c>
      <c r="D23" s="539">
        <f>IF(ISERROR(INDEX(Countrydata!C$8:C$206,MATCH('Etape 1-Données pays'!$A$23,Country,0))),"Select country",INDEX(Countrydata!C$8:C$206,MATCH('Etape 1-Données pays'!$A$23,Country,0)))</f>
        <v>100</v>
      </c>
    </row>
    <row r="24" spans="1:4">
      <c r="A24" s="322" t="s">
        <v>850</v>
      </c>
      <c r="B24" s="338"/>
    </row>
    <row r="25" spans="1:4">
      <c r="A25" s="338" t="s">
        <v>851</v>
      </c>
    </row>
    <row r="27" spans="1:4">
      <c r="A27" s="322" t="s">
        <v>858</v>
      </c>
    </row>
    <row r="28" spans="1:4">
      <c r="A28" s="322" t="s">
        <v>852</v>
      </c>
    </row>
    <row r="30" spans="1:4">
      <c r="A30" s="322" t="s">
        <v>853</v>
      </c>
    </row>
    <row r="31" spans="1:4">
      <c r="C31" s="469"/>
    </row>
    <row r="32" spans="1:4" ht="13">
      <c r="A32" s="213" t="s">
        <v>854</v>
      </c>
      <c r="B32" s="496"/>
    </row>
    <row r="33" spans="1:1" ht="150">
      <c r="A33" s="214" t="s">
        <v>855</v>
      </c>
    </row>
    <row r="34" spans="1:1" ht="175">
      <c r="A34" s="755" t="s">
        <v>856</v>
      </c>
    </row>
    <row r="36" spans="1:1" ht="13">
      <c r="A36" s="355" t="s">
        <v>857</v>
      </c>
    </row>
    <row r="37" spans="1:1">
      <c r="A37" s="316" t="s">
        <v>859</v>
      </c>
    </row>
    <row r="39" spans="1:1">
      <c r="A39" s="780" t="s">
        <v>1118</v>
      </c>
    </row>
  </sheetData>
  <conditionalFormatting sqref="C6">
    <cfRule type="expression" dxfId="139" priority="6">
      <formula>AND($B$6=0,$B$23&lt;&gt;0)</formula>
    </cfRule>
  </conditionalFormatting>
  <conditionalFormatting sqref="D6">
    <cfRule type="expression" dxfId="138" priority="3">
      <formula>AND($B$6=0,$B$23&lt;&gt;0)</formula>
    </cfRule>
  </conditionalFormatting>
  <conditionalFormatting sqref="F6">
    <cfRule type="expression" dxfId="137" priority="2">
      <formula>AND($B$6=0,$B$23&lt;&gt;0)</formula>
    </cfRule>
  </conditionalFormatting>
  <conditionalFormatting sqref="E6">
    <cfRule type="expression" dxfId="136" priority="1">
      <formula>AND($B$6=0,$B$23&lt;&gt;0)</formula>
    </cfRule>
  </conditionalFormatting>
  <dataValidations xWindow="173" yWindow="795" count="3">
    <dataValidation type="list" allowBlank="1" showErrorMessage="1" errorTitle="Select country" error="Select country" promptTitle="Country" prompt="Select country from drop-down list" sqref="A23" xr:uid="{00000000-0002-0000-0000-000000000000}">
      <formula1>Country</formula1>
    </dataValidation>
    <dataValidation allowBlank="1" showInputMessage="1" showErrorMessage="1" errorTitle="Input error" error="Use digits and decimal mark only." sqref="B7:B10" xr:uid="{00000000-0002-0000-0000-000001000000}"/>
    <dataValidation type="decimal" allowBlank="1" showInputMessage="1" showErrorMessage="1" errorTitle="Input error" error="Use digits and decimal mark only in this cell." promptTitle="Input cell" prompt="Use digits and decimal mark only in this cell. _x000a__x000a_Note: If you enter a value here, and later want to use pre-entered population data (by selecting country below), you must re-establish the link here to cell B23 (enter =B23)." sqref="B6" xr:uid="{00000000-0002-0000-0000-000002000000}">
      <formula1>-999999999999999000</formula1>
      <formula2>999999999999999000</formula2>
    </dataValidation>
  </dataValidation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T31"/>
  <sheetViews>
    <sheetView topLeftCell="A18" zoomScale="150" zoomScaleNormal="70" workbookViewId="0">
      <selection activeCell="E26" sqref="E26:G26"/>
    </sheetView>
  </sheetViews>
  <sheetFormatPr defaultColWidth="8.81640625" defaultRowHeight="12.5"/>
  <cols>
    <col min="1" max="1" width="3" customWidth="1"/>
    <col min="2" max="2" width="6.1796875" customWidth="1"/>
    <col min="3" max="3" width="31.1796875" customWidth="1"/>
    <col min="4" max="4" width="8.1796875" customWidth="1"/>
    <col min="5" max="5" width="14.453125" customWidth="1"/>
    <col min="6" max="6" width="12" style="9" customWidth="1"/>
    <col min="7" max="7" width="10.36328125" customWidth="1"/>
    <col min="8" max="8" width="11.453125" style="9" customWidth="1"/>
    <col min="9" max="9" width="12.453125" style="240" customWidth="1"/>
    <col min="10" max="10" width="11.453125" style="9" customWidth="1"/>
    <col min="11" max="11" width="11.36328125" customWidth="1"/>
    <col min="12" max="12" width="11.453125" customWidth="1"/>
    <col min="13" max="13" width="25.6328125" style="13" customWidth="1"/>
    <col min="14" max="14" width="9.1796875" style="240"/>
    <col min="16" max="16" width="4.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765</v>
      </c>
      <c r="I1" s="231"/>
      <c r="N1" s="231"/>
    </row>
    <row r="2" spans="1:28" ht="14">
      <c r="A2" s="54" t="s">
        <v>313</v>
      </c>
      <c r="I2" s="231"/>
      <c r="N2" s="231"/>
    </row>
    <row r="3" spans="1:28" s="5" customFormat="1" ht="13">
      <c r="C3" s="7"/>
      <c r="D3" s="7"/>
      <c r="E3" s="7"/>
      <c r="F3" s="26"/>
      <c r="G3" s="7"/>
      <c r="H3" s="26"/>
      <c r="I3" s="255"/>
      <c r="J3" s="26"/>
      <c r="K3" s="7"/>
      <c r="L3" s="7"/>
      <c r="M3" s="64"/>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51" t="s">
        <v>35</v>
      </c>
      <c r="G4" s="112" t="s">
        <v>37</v>
      </c>
      <c r="H4" s="151" t="s">
        <v>35</v>
      </c>
      <c r="I4" s="245" t="s">
        <v>51</v>
      </c>
      <c r="J4" s="134" t="s">
        <v>35</v>
      </c>
      <c r="K4" s="84" t="s">
        <v>61</v>
      </c>
      <c r="L4" s="143"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194</v>
      </c>
      <c r="C5" s="134" t="s">
        <v>195</v>
      </c>
      <c r="D5" s="111"/>
      <c r="F5" s="669"/>
      <c r="G5" s="76"/>
      <c r="H5" s="669"/>
      <c r="I5" s="247"/>
      <c r="J5" s="670"/>
      <c r="K5" s="113"/>
      <c r="L5" s="128"/>
      <c r="M5" s="135"/>
      <c r="N5" s="247"/>
      <c r="O5" s="128"/>
      <c r="P5" s="76"/>
      <c r="Q5" s="76"/>
      <c r="R5" s="76"/>
      <c r="S5" s="76"/>
      <c r="T5" s="76"/>
      <c r="U5" s="76"/>
      <c r="V5" s="58"/>
      <c r="W5" s="58"/>
      <c r="X5" s="58"/>
      <c r="Y5" s="58"/>
      <c r="Z5" s="58"/>
      <c r="AA5" s="58"/>
      <c r="AB5" s="76"/>
    </row>
    <row r="6" spans="1:28" ht="26">
      <c r="B6" s="3" t="s">
        <v>196</v>
      </c>
      <c r="C6" s="12" t="s">
        <v>197</v>
      </c>
      <c r="D6" s="111"/>
      <c r="F6" s="333"/>
      <c r="G6" s="76"/>
      <c r="H6" s="333"/>
      <c r="I6" s="247"/>
      <c r="K6" s="168"/>
      <c r="L6" s="3"/>
      <c r="M6" s="14"/>
      <c r="N6" s="247"/>
      <c r="O6" s="3"/>
      <c r="P6" s="76"/>
      <c r="Q6" s="76"/>
      <c r="R6" s="76"/>
      <c r="S6" s="76"/>
      <c r="T6" s="76"/>
      <c r="U6" s="76"/>
      <c r="V6" s="114">
        <f t="shared" ref="V6:Z6" si="0">SUM(V7:V10)</f>
        <v>0</v>
      </c>
      <c r="W6" s="114">
        <f t="shared" si="0"/>
        <v>0</v>
      </c>
      <c r="X6" s="114">
        <f t="shared" si="0"/>
        <v>0</v>
      </c>
      <c r="Y6" s="114">
        <f t="shared" si="0"/>
        <v>0</v>
      </c>
      <c r="Z6" s="114">
        <f t="shared" si="0"/>
        <v>0</v>
      </c>
      <c r="AA6" s="114">
        <f>SUM(AA7:AA10)</f>
        <v>0</v>
      </c>
      <c r="AB6" s="76"/>
    </row>
    <row r="7" spans="1:28" ht="25.5">
      <c r="A7" s="3"/>
      <c r="C7" s="9"/>
      <c r="D7" s="76"/>
      <c r="E7" s="808" t="s">
        <v>1238</v>
      </c>
      <c r="F7" s="9" t="s">
        <v>336</v>
      </c>
      <c r="G7" s="76">
        <v>1</v>
      </c>
      <c r="H7" s="333" t="s">
        <v>336</v>
      </c>
      <c r="I7" s="260">
        <f>'Etape5-Trait.+recyclage déchets'!C13</f>
        <v>0</v>
      </c>
      <c r="J7" s="333" t="s">
        <v>337</v>
      </c>
      <c r="K7" s="115">
        <f>G7*I7/1000</f>
        <v>0</v>
      </c>
      <c r="L7" s="3" t="s">
        <v>36</v>
      </c>
      <c r="M7" s="15" t="s">
        <v>201</v>
      </c>
      <c r="N7" s="248">
        <f>$K$7*'Etape5-Trait.+recyclage déchets'!G15/100</f>
        <v>0</v>
      </c>
      <c r="O7" s="3" t="s">
        <v>36</v>
      </c>
      <c r="P7" s="202">
        <v>1</v>
      </c>
      <c r="Q7" s="202"/>
      <c r="R7" s="202"/>
      <c r="S7" s="202"/>
      <c r="T7" s="202"/>
      <c r="U7" s="202"/>
      <c r="V7" s="116">
        <f>$N7*P7</f>
        <v>0</v>
      </c>
      <c r="W7" s="116">
        <f t="shared" ref="V7:AA10" si="1">$N7*Q7</f>
        <v>0</v>
      </c>
      <c r="X7" s="116">
        <f t="shared" si="1"/>
        <v>0</v>
      </c>
      <c r="Y7" s="116">
        <f t="shared" si="1"/>
        <v>0</v>
      </c>
      <c r="Z7" s="116">
        <f t="shared" si="1"/>
        <v>0</v>
      </c>
      <c r="AA7" s="116">
        <f t="shared" si="1"/>
        <v>0</v>
      </c>
      <c r="AB7" s="76"/>
    </row>
    <row r="8" spans="1:28" ht="13">
      <c r="A8" s="3"/>
      <c r="B8" s="3"/>
      <c r="C8" s="9"/>
      <c r="D8" s="76"/>
      <c r="E8" s="6"/>
      <c r="F8" s="333"/>
      <c r="G8" s="76"/>
      <c r="H8" s="333"/>
      <c r="I8" s="248"/>
      <c r="K8" s="115"/>
      <c r="L8" s="3"/>
      <c r="M8" s="15" t="s">
        <v>202</v>
      </c>
      <c r="N8" s="248">
        <f>$K$7*'Etape5-Trait.+recyclage déchets'!H15/100</f>
        <v>0</v>
      </c>
      <c r="O8" s="3" t="s">
        <v>36</v>
      </c>
      <c r="P8" s="202">
        <v>0.9</v>
      </c>
      <c r="Q8" s="202"/>
      <c r="R8" s="202"/>
      <c r="S8" s="202"/>
      <c r="T8" s="202"/>
      <c r="U8" s="202">
        <v>0.1</v>
      </c>
      <c r="V8" s="116">
        <f>$N8*P8</f>
        <v>0</v>
      </c>
      <c r="W8" s="116">
        <f t="shared" si="1"/>
        <v>0</v>
      </c>
      <c r="X8" s="116">
        <f t="shared" si="1"/>
        <v>0</v>
      </c>
      <c r="Y8" s="116">
        <f t="shared" si="1"/>
        <v>0</v>
      </c>
      <c r="Z8" s="116">
        <f t="shared" si="1"/>
        <v>0</v>
      </c>
      <c r="AA8" s="116">
        <f t="shared" si="1"/>
        <v>0</v>
      </c>
      <c r="AB8" s="76"/>
    </row>
    <row r="9" spans="1:28" ht="52">
      <c r="A9" s="3"/>
      <c r="B9" s="3"/>
      <c r="C9" s="9"/>
      <c r="D9" s="76"/>
      <c r="E9" s="6"/>
      <c r="F9" s="333"/>
      <c r="G9" s="76"/>
      <c r="H9" s="333"/>
      <c r="I9" s="248"/>
      <c r="K9" s="115"/>
      <c r="L9" s="3"/>
      <c r="M9" s="15" t="s">
        <v>198</v>
      </c>
      <c r="N9" s="248">
        <f>$K$7*'Etape5-Trait.+recyclage déchets'!I15/100</f>
        <v>0</v>
      </c>
      <c r="O9" s="3" t="s">
        <v>36</v>
      </c>
      <c r="P9" s="202">
        <v>0.5</v>
      </c>
      <c r="Q9" s="202"/>
      <c r="R9" s="202"/>
      <c r="S9" s="202"/>
      <c r="T9" s="202"/>
      <c r="U9" s="202">
        <v>0.5</v>
      </c>
      <c r="V9" s="116">
        <f t="shared" si="1"/>
        <v>0</v>
      </c>
      <c r="W9" s="116">
        <f t="shared" si="1"/>
        <v>0</v>
      </c>
      <c r="X9" s="116">
        <f t="shared" si="1"/>
        <v>0</v>
      </c>
      <c r="Y9" s="116">
        <f t="shared" si="1"/>
        <v>0</v>
      </c>
      <c r="Z9" s="116">
        <f t="shared" si="1"/>
        <v>0</v>
      </c>
      <c r="AA9" s="116">
        <f t="shared" si="1"/>
        <v>0</v>
      </c>
      <c r="AB9" s="76"/>
    </row>
    <row r="10" spans="1:28" ht="26">
      <c r="A10" s="3"/>
      <c r="B10" s="3"/>
      <c r="C10" s="9"/>
      <c r="D10" s="76"/>
      <c r="E10" s="6"/>
      <c r="F10" s="333"/>
      <c r="G10" s="76"/>
      <c r="H10" s="333"/>
      <c r="I10" s="248"/>
      <c r="K10" s="115"/>
      <c r="L10" s="3"/>
      <c r="M10" s="15" t="s">
        <v>790</v>
      </c>
      <c r="N10" s="248">
        <f>$K$7*'Etape5-Trait.+recyclage déchets'!J15/100</f>
        <v>0</v>
      </c>
      <c r="O10" s="3" t="s">
        <v>36</v>
      </c>
      <c r="P10" s="202">
        <v>0.1</v>
      </c>
      <c r="Q10" s="202"/>
      <c r="R10" s="202"/>
      <c r="S10" s="202"/>
      <c r="T10" s="202"/>
      <c r="U10" s="202">
        <v>0.9</v>
      </c>
      <c r="V10" s="116">
        <f t="shared" si="1"/>
        <v>0</v>
      </c>
      <c r="W10" s="116">
        <f t="shared" si="1"/>
        <v>0</v>
      </c>
      <c r="X10" s="116">
        <f t="shared" si="1"/>
        <v>0</v>
      </c>
      <c r="Y10" s="116">
        <f t="shared" si="1"/>
        <v>0</v>
      </c>
      <c r="Z10" s="116">
        <f t="shared" si="1"/>
        <v>0</v>
      </c>
      <c r="AA10" s="116">
        <f t="shared" si="1"/>
        <v>0</v>
      </c>
      <c r="AB10" s="76"/>
    </row>
    <row r="11" spans="1:28" s="55" customFormat="1" ht="13">
      <c r="A11" s="104"/>
      <c r="B11" s="104"/>
      <c r="C11" s="136"/>
      <c r="D11" s="111"/>
      <c r="E11" s="106"/>
      <c r="F11" s="150"/>
      <c r="G11" s="76"/>
      <c r="H11" s="150"/>
      <c r="I11" s="248"/>
      <c r="J11" s="105"/>
      <c r="K11" s="115"/>
      <c r="L11" s="104"/>
      <c r="M11" s="107"/>
      <c r="N11" s="248"/>
      <c r="O11" s="104"/>
      <c r="P11" s="117"/>
      <c r="Q11" s="117"/>
      <c r="R11" s="118"/>
      <c r="S11" s="118"/>
      <c r="T11" s="117"/>
      <c r="U11" s="117"/>
      <c r="V11" s="116"/>
      <c r="W11" s="116"/>
      <c r="X11" s="116"/>
      <c r="Y11" s="116"/>
      <c r="Z11" s="116"/>
      <c r="AA11" s="116"/>
      <c r="AB11" s="76"/>
    </row>
    <row r="12" spans="1:28" ht="13">
      <c r="B12" s="3" t="s">
        <v>200</v>
      </c>
      <c r="C12" s="12" t="s">
        <v>203</v>
      </c>
      <c r="D12" s="111"/>
      <c r="F12" s="333"/>
      <c r="G12" s="76"/>
      <c r="H12" s="333"/>
      <c r="I12" s="247"/>
      <c r="K12" s="168"/>
      <c r="L12" s="3"/>
      <c r="M12" s="14"/>
      <c r="N12" s="247"/>
      <c r="O12" s="3"/>
      <c r="P12" s="76"/>
      <c r="Q12" s="76"/>
      <c r="R12" s="76"/>
      <c r="S12" s="76"/>
      <c r="T12" s="76"/>
      <c r="U12" s="76"/>
      <c r="V12" s="114">
        <f t="shared" ref="V12:Z12" si="2">SUM(V13:V16)</f>
        <v>0</v>
      </c>
      <c r="W12" s="114">
        <f t="shared" si="2"/>
        <v>0</v>
      </c>
      <c r="X12" s="114">
        <f t="shared" si="2"/>
        <v>0</v>
      </c>
      <c r="Y12" s="114">
        <f t="shared" si="2"/>
        <v>0</v>
      </c>
      <c r="Z12" s="114">
        <f t="shared" si="2"/>
        <v>0</v>
      </c>
      <c r="AA12" s="114">
        <f>SUM(AA13:AA16)</f>
        <v>0</v>
      </c>
      <c r="AB12" s="76"/>
    </row>
    <row r="13" spans="1:28" ht="25.5">
      <c r="A13" s="3"/>
      <c r="C13" s="9"/>
      <c r="D13" s="76"/>
      <c r="E13" s="18" t="s">
        <v>206</v>
      </c>
      <c r="F13" s="333" t="s">
        <v>336</v>
      </c>
      <c r="G13" s="76">
        <v>24</v>
      </c>
      <c r="H13" s="333" t="s">
        <v>336</v>
      </c>
      <c r="I13" s="260">
        <f>'Etape5-Trait.+recyclage déchets'!C16</f>
        <v>0</v>
      </c>
      <c r="J13" s="333" t="s">
        <v>337</v>
      </c>
      <c r="K13" s="115">
        <f>G13*I13/1000</f>
        <v>0</v>
      </c>
      <c r="L13" s="3" t="s">
        <v>36</v>
      </c>
      <c r="M13" s="15" t="s">
        <v>201</v>
      </c>
      <c r="N13" s="248">
        <f>$K$13*'Etape5-Trait.+recyclage déchets'!G18/100</f>
        <v>0</v>
      </c>
      <c r="O13" s="3" t="s">
        <v>36</v>
      </c>
      <c r="P13" s="202">
        <v>1</v>
      </c>
      <c r="Q13" s="202"/>
      <c r="R13" s="202"/>
      <c r="S13" s="202"/>
      <c r="T13" s="202"/>
      <c r="U13" s="202"/>
      <c r="V13" s="116">
        <f t="shared" ref="V13:AA16" si="3">$N13*P13</f>
        <v>0</v>
      </c>
      <c r="W13" s="116">
        <f t="shared" si="3"/>
        <v>0</v>
      </c>
      <c r="X13" s="116">
        <f t="shared" si="3"/>
        <v>0</v>
      </c>
      <c r="Y13" s="116">
        <f t="shared" si="3"/>
        <v>0</v>
      </c>
      <c r="Z13" s="116">
        <f t="shared" si="3"/>
        <v>0</v>
      </c>
      <c r="AA13" s="116">
        <f t="shared" si="3"/>
        <v>0</v>
      </c>
      <c r="AB13" s="76"/>
    </row>
    <row r="14" spans="1:28" ht="13">
      <c r="A14" s="3"/>
      <c r="B14" s="3"/>
      <c r="C14" s="9"/>
      <c r="D14" s="76"/>
      <c r="E14" s="6"/>
      <c r="F14" s="333"/>
      <c r="G14" s="76"/>
      <c r="H14" s="333"/>
      <c r="I14" s="248"/>
      <c r="K14" s="115"/>
      <c r="L14" s="3"/>
      <c r="M14" s="15" t="s">
        <v>202</v>
      </c>
      <c r="N14" s="248">
        <f>$K$13*'Etape5-Trait.+recyclage déchets'!H18/100</f>
        <v>0</v>
      </c>
      <c r="O14" s="3" t="s">
        <v>36</v>
      </c>
      <c r="P14" s="202">
        <v>0.9</v>
      </c>
      <c r="Q14" s="202"/>
      <c r="R14" s="202"/>
      <c r="S14" s="202"/>
      <c r="T14" s="202"/>
      <c r="U14" s="202">
        <v>0.1</v>
      </c>
      <c r="V14" s="116">
        <f t="shared" si="3"/>
        <v>0</v>
      </c>
      <c r="W14" s="116">
        <f t="shared" si="3"/>
        <v>0</v>
      </c>
      <c r="X14" s="116">
        <f t="shared" si="3"/>
        <v>0</v>
      </c>
      <c r="Y14" s="116">
        <f t="shared" si="3"/>
        <v>0</v>
      </c>
      <c r="Z14" s="116">
        <f t="shared" si="3"/>
        <v>0</v>
      </c>
      <c r="AA14" s="116">
        <f t="shared" si="3"/>
        <v>0</v>
      </c>
      <c r="AB14" s="76"/>
    </row>
    <row r="15" spans="1:28" ht="52">
      <c r="A15" s="3"/>
      <c r="B15" s="3"/>
      <c r="C15" s="9"/>
      <c r="D15" s="76"/>
      <c r="E15" s="6"/>
      <c r="F15" s="333"/>
      <c r="G15" s="76"/>
      <c r="H15" s="333"/>
      <c r="I15" s="248"/>
      <c r="K15" s="115"/>
      <c r="L15" s="3"/>
      <c r="M15" s="15" t="s">
        <v>198</v>
      </c>
      <c r="N15" s="248">
        <f>$K$13*'Etape5-Trait.+recyclage déchets'!I18/100</f>
        <v>0</v>
      </c>
      <c r="O15" s="3" t="s">
        <v>36</v>
      </c>
      <c r="P15" s="202">
        <v>0.5</v>
      </c>
      <c r="Q15" s="202"/>
      <c r="R15" s="202"/>
      <c r="S15" s="202"/>
      <c r="T15" s="202"/>
      <c r="U15" s="202">
        <v>0.5</v>
      </c>
      <c r="V15" s="116">
        <f t="shared" si="3"/>
        <v>0</v>
      </c>
      <c r="W15" s="116">
        <f t="shared" si="3"/>
        <v>0</v>
      </c>
      <c r="X15" s="116">
        <f t="shared" si="3"/>
        <v>0</v>
      </c>
      <c r="Y15" s="116">
        <f t="shared" si="3"/>
        <v>0</v>
      </c>
      <c r="Z15" s="116">
        <f t="shared" si="3"/>
        <v>0</v>
      </c>
      <c r="AA15" s="116">
        <f t="shared" si="3"/>
        <v>0</v>
      </c>
      <c r="AB15" s="76"/>
    </row>
    <row r="16" spans="1:28" ht="26">
      <c r="A16" s="3"/>
      <c r="B16" s="3"/>
      <c r="C16" s="9"/>
      <c r="D16" s="76"/>
      <c r="E16" s="6"/>
      <c r="F16" s="333"/>
      <c r="G16" s="76"/>
      <c r="H16" s="333"/>
      <c r="I16" s="248"/>
      <c r="K16" s="115"/>
      <c r="L16" s="3"/>
      <c r="M16" s="15" t="s">
        <v>199</v>
      </c>
      <c r="N16" s="248">
        <f>$K$13*'Etape5-Trait.+recyclage déchets'!J18/100</f>
        <v>0</v>
      </c>
      <c r="O16" s="3" t="s">
        <v>36</v>
      </c>
      <c r="P16" s="202">
        <v>0.1</v>
      </c>
      <c r="Q16" s="202"/>
      <c r="R16" s="202"/>
      <c r="S16" s="202"/>
      <c r="T16" s="202"/>
      <c r="U16" s="202">
        <v>0.9</v>
      </c>
      <c r="V16" s="116">
        <f t="shared" si="3"/>
        <v>0</v>
      </c>
      <c r="W16" s="116">
        <f t="shared" si="3"/>
        <v>0</v>
      </c>
      <c r="X16" s="116">
        <f t="shared" si="3"/>
        <v>0</v>
      </c>
      <c r="Y16" s="116">
        <f t="shared" si="3"/>
        <v>0</v>
      </c>
      <c r="Z16" s="116">
        <f t="shared" si="3"/>
        <v>0</v>
      </c>
      <c r="AA16" s="116">
        <f t="shared" si="3"/>
        <v>0</v>
      </c>
      <c r="AB16" s="76"/>
    </row>
    <row r="17" spans="1:46" s="55" customFormat="1" ht="13">
      <c r="A17" s="104"/>
      <c r="B17" s="104"/>
      <c r="C17" s="105"/>
      <c r="D17" s="76"/>
      <c r="E17" s="106"/>
      <c r="F17" s="150"/>
      <c r="G17" s="76"/>
      <c r="H17" s="150"/>
      <c r="I17" s="248"/>
      <c r="J17" s="105"/>
      <c r="K17" s="115"/>
      <c r="L17" s="104"/>
      <c r="M17" s="107"/>
      <c r="N17" s="248"/>
      <c r="O17" s="104"/>
      <c r="P17" s="117"/>
      <c r="Q17" s="117"/>
      <c r="R17" s="118"/>
      <c r="S17" s="118"/>
      <c r="T17" s="117"/>
      <c r="U17" s="76"/>
      <c r="V17" s="116"/>
      <c r="W17" s="116"/>
      <c r="X17" s="116"/>
      <c r="Y17" s="116"/>
      <c r="Z17" s="116"/>
      <c r="AA17" s="116"/>
      <c r="AB17" s="76"/>
    </row>
    <row r="18" spans="1:46" ht="13">
      <c r="B18" s="3" t="s">
        <v>205</v>
      </c>
      <c r="C18" s="12" t="s">
        <v>204</v>
      </c>
      <c r="D18" s="111"/>
      <c r="F18" s="333"/>
      <c r="G18" s="76"/>
      <c r="H18" s="333"/>
      <c r="I18" s="247"/>
      <c r="K18" s="168"/>
      <c r="L18" s="3"/>
      <c r="M18" s="14"/>
      <c r="N18" s="247"/>
      <c r="O18" s="3"/>
      <c r="P18" s="76"/>
      <c r="Q18" s="76"/>
      <c r="R18" s="76"/>
      <c r="S18" s="76"/>
      <c r="T18" s="76"/>
      <c r="U18" s="76"/>
      <c r="V18" s="114">
        <f t="shared" ref="V18:Z18" si="4">SUM(V19:V22)</f>
        <v>0</v>
      </c>
      <c r="W18" s="114">
        <f t="shared" si="4"/>
        <v>0</v>
      </c>
      <c r="X18" s="114">
        <f t="shared" si="4"/>
        <v>0</v>
      </c>
      <c r="Y18" s="114">
        <f t="shared" si="4"/>
        <v>0</v>
      </c>
      <c r="Z18" s="114">
        <f t="shared" si="4"/>
        <v>0</v>
      </c>
      <c r="AA18" s="114">
        <f>SUM(AA19:AA22)</f>
        <v>0</v>
      </c>
      <c r="AB18" s="76"/>
    </row>
    <row r="19" spans="1:46" ht="25.5">
      <c r="A19" s="3"/>
      <c r="C19" s="9"/>
      <c r="D19" s="76"/>
      <c r="E19" s="6" t="s">
        <v>206</v>
      </c>
      <c r="F19" s="333" t="s">
        <v>336</v>
      </c>
      <c r="G19" s="76">
        <v>24</v>
      </c>
      <c r="H19" s="333" t="s">
        <v>336</v>
      </c>
      <c r="I19" s="260">
        <f>'Etape5-Trait.+recyclage déchets'!C19</f>
        <v>0</v>
      </c>
      <c r="J19" s="333" t="s">
        <v>337</v>
      </c>
      <c r="K19" s="115">
        <f>G19*I19/1000</f>
        <v>0</v>
      </c>
      <c r="L19" s="3" t="s">
        <v>36</v>
      </c>
      <c r="M19" s="15" t="s">
        <v>201</v>
      </c>
      <c r="N19" s="248">
        <f>$K$19*'Etape5-Trait.+recyclage déchets'!G21/100</f>
        <v>0</v>
      </c>
      <c r="O19" s="3" t="s">
        <v>36</v>
      </c>
      <c r="P19" s="202">
        <v>1</v>
      </c>
      <c r="Q19" s="202"/>
      <c r="R19" s="202"/>
      <c r="S19" s="202"/>
      <c r="T19" s="202"/>
      <c r="U19" s="202"/>
      <c r="V19" s="116">
        <f t="shared" ref="V19:AA22" si="5">$N19*P19</f>
        <v>0</v>
      </c>
      <c r="W19" s="116">
        <f t="shared" si="5"/>
        <v>0</v>
      </c>
      <c r="X19" s="116">
        <f t="shared" si="5"/>
        <v>0</v>
      </c>
      <c r="Y19" s="116">
        <f t="shared" si="5"/>
        <v>0</v>
      </c>
      <c r="Z19" s="116">
        <f t="shared" si="5"/>
        <v>0</v>
      </c>
      <c r="AA19" s="116">
        <f t="shared" si="5"/>
        <v>0</v>
      </c>
      <c r="AB19" s="76"/>
    </row>
    <row r="20" spans="1:46" ht="13">
      <c r="A20" s="3"/>
      <c r="B20" s="3"/>
      <c r="C20" s="9"/>
      <c r="D20" s="76"/>
      <c r="E20" s="6"/>
      <c r="F20" s="333"/>
      <c r="G20" s="76"/>
      <c r="H20" s="333"/>
      <c r="I20" s="248"/>
      <c r="K20" s="115"/>
      <c r="L20" s="3"/>
      <c r="M20" s="15" t="s">
        <v>202</v>
      </c>
      <c r="N20" s="248">
        <f>$K$19*'Etape5-Trait.+recyclage déchets'!H21/100</f>
        <v>0</v>
      </c>
      <c r="O20" s="3" t="s">
        <v>36</v>
      </c>
      <c r="P20" s="202">
        <v>0.9</v>
      </c>
      <c r="Q20" s="202"/>
      <c r="R20" s="202"/>
      <c r="S20" s="202"/>
      <c r="T20" s="202"/>
      <c r="U20" s="202">
        <v>0.1</v>
      </c>
      <c r="V20" s="116">
        <f t="shared" si="5"/>
        <v>0</v>
      </c>
      <c r="W20" s="116">
        <f t="shared" si="5"/>
        <v>0</v>
      </c>
      <c r="X20" s="116">
        <f t="shared" si="5"/>
        <v>0</v>
      </c>
      <c r="Y20" s="116">
        <f t="shared" si="5"/>
        <v>0</v>
      </c>
      <c r="Z20" s="116">
        <f t="shared" si="5"/>
        <v>0</v>
      </c>
      <c r="AA20" s="116">
        <f t="shared" si="5"/>
        <v>0</v>
      </c>
      <c r="AB20" s="76"/>
    </row>
    <row r="21" spans="1:46" ht="52">
      <c r="A21" s="3"/>
      <c r="B21" s="3"/>
      <c r="C21" s="9"/>
      <c r="D21" s="76"/>
      <c r="E21" s="6"/>
      <c r="F21" s="333"/>
      <c r="G21" s="76"/>
      <c r="H21" s="333"/>
      <c r="I21" s="248"/>
      <c r="K21" s="115"/>
      <c r="L21" s="3"/>
      <c r="M21" s="15" t="s">
        <v>198</v>
      </c>
      <c r="N21" s="248">
        <f>$K$19*'Etape5-Trait.+recyclage déchets'!I21/100</f>
        <v>0</v>
      </c>
      <c r="O21" s="3" t="s">
        <v>36</v>
      </c>
      <c r="P21" s="202">
        <v>0.5</v>
      </c>
      <c r="Q21" s="202"/>
      <c r="R21" s="202"/>
      <c r="S21" s="202"/>
      <c r="T21" s="202"/>
      <c r="U21" s="202">
        <v>0.5</v>
      </c>
      <c r="V21" s="116">
        <f t="shared" si="5"/>
        <v>0</v>
      </c>
      <c r="W21" s="116">
        <f t="shared" si="5"/>
        <v>0</v>
      </c>
      <c r="X21" s="116">
        <f t="shared" si="5"/>
        <v>0</v>
      </c>
      <c r="Y21" s="116">
        <f t="shared" si="5"/>
        <v>0</v>
      </c>
      <c r="Z21" s="116">
        <f t="shared" si="5"/>
        <v>0</v>
      </c>
      <c r="AA21" s="116">
        <f t="shared" si="5"/>
        <v>0</v>
      </c>
      <c r="AB21" s="76"/>
    </row>
    <row r="22" spans="1:46" ht="26">
      <c r="A22" s="3"/>
      <c r="B22" s="3"/>
      <c r="C22" s="9"/>
      <c r="D22" s="76"/>
      <c r="E22" s="6"/>
      <c r="F22" s="333"/>
      <c r="G22" s="76"/>
      <c r="H22" s="333"/>
      <c r="I22" s="248"/>
      <c r="K22" s="115"/>
      <c r="L22" s="3"/>
      <c r="M22" s="15" t="s">
        <v>199</v>
      </c>
      <c r="N22" s="248">
        <f>$K$19*'Etape5-Trait.+recyclage déchets'!J21/100</f>
        <v>0</v>
      </c>
      <c r="O22" s="3" t="s">
        <v>36</v>
      </c>
      <c r="P22" s="202">
        <v>0.1</v>
      </c>
      <c r="Q22" s="202"/>
      <c r="R22" s="202"/>
      <c r="S22" s="202"/>
      <c r="T22" s="202"/>
      <c r="U22" s="202">
        <v>0.9</v>
      </c>
      <c r="V22" s="116">
        <f t="shared" si="5"/>
        <v>0</v>
      </c>
      <c r="W22" s="116">
        <f t="shared" si="5"/>
        <v>0</v>
      </c>
      <c r="X22" s="116">
        <f t="shared" si="5"/>
        <v>0</v>
      </c>
      <c r="Y22" s="116">
        <f t="shared" si="5"/>
        <v>0</v>
      </c>
      <c r="Z22" s="116">
        <f t="shared" si="5"/>
        <v>0</v>
      </c>
      <c r="AA22" s="116">
        <f t="shared" si="5"/>
        <v>0</v>
      </c>
      <c r="AB22" s="76"/>
    </row>
    <row r="23" spans="1:46" s="55" customFormat="1" ht="13">
      <c r="A23" s="104"/>
      <c r="B23" s="104"/>
      <c r="C23" s="136"/>
      <c r="D23" s="76"/>
      <c r="E23" s="106"/>
      <c r="F23" s="150"/>
      <c r="G23" s="76"/>
      <c r="H23" s="150"/>
      <c r="I23" s="248"/>
      <c r="J23" s="105"/>
      <c r="K23" s="115"/>
      <c r="L23" s="104"/>
      <c r="M23" s="107"/>
      <c r="N23" s="248"/>
      <c r="O23" s="104"/>
      <c r="P23" s="117"/>
      <c r="Q23" s="117"/>
      <c r="R23" s="118"/>
      <c r="S23" s="118"/>
      <c r="T23" s="117"/>
      <c r="U23" s="76"/>
      <c r="V23" s="116"/>
      <c r="W23" s="116"/>
      <c r="X23" s="116"/>
      <c r="Y23" s="116"/>
      <c r="Z23" s="116"/>
      <c r="AA23" s="116"/>
      <c r="AB23" s="76"/>
    </row>
    <row r="24" spans="1:46" ht="50.5">
      <c r="A24" s="3"/>
      <c r="B24" s="3" t="s">
        <v>207</v>
      </c>
      <c r="C24" s="12" t="s">
        <v>208</v>
      </c>
      <c r="D24" s="76"/>
      <c r="E24" t="s">
        <v>43</v>
      </c>
      <c r="F24" s="333" t="s">
        <v>43</v>
      </c>
      <c r="G24" s="76">
        <v>2</v>
      </c>
      <c r="H24" s="333" t="s">
        <v>392</v>
      </c>
      <c r="I24" s="248">
        <f>'Etape5-Trait.+recyclage déchets'!C22</f>
        <v>0</v>
      </c>
      <c r="J24" s="666" t="s">
        <v>791</v>
      </c>
      <c r="K24" s="115">
        <f>G24*I24/1000</f>
        <v>0</v>
      </c>
      <c r="L24" s="3" t="s">
        <v>36</v>
      </c>
      <c r="M24" s="15"/>
      <c r="N24" s="248">
        <f>K24</f>
        <v>0</v>
      </c>
      <c r="O24" s="3" t="s">
        <v>36</v>
      </c>
      <c r="P24" s="202">
        <v>0.9</v>
      </c>
      <c r="Q24" s="202"/>
      <c r="R24" s="202"/>
      <c r="S24" s="202"/>
      <c r="T24" s="202"/>
      <c r="U24" s="202">
        <v>0.1</v>
      </c>
      <c r="V24" s="114">
        <f t="shared" ref="V24:AA24" si="6">$N24*P24</f>
        <v>0</v>
      </c>
      <c r="W24" s="114">
        <f t="shared" si="6"/>
        <v>0</v>
      </c>
      <c r="X24" s="114">
        <f t="shared" si="6"/>
        <v>0</v>
      </c>
      <c r="Y24" s="114">
        <f t="shared" si="6"/>
        <v>0</v>
      </c>
      <c r="Z24" s="114">
        <f t="shared" si="6"/>
        <v>0</v>
      </c>
      <c r="AA24" s="114">
        <f t="shared" si="6"/>
        <v>0</v>
      </c>
      <c r="AB24" s="76"/>
    </row>
    <row r="25" spans="1:46" s="55" customFormat="1" ht="13">
      <c r="A25" s="104"/>
      <c r="B25" s="104"/>
      <c r="C25" s="136"/>
      <c r="D25" s="111"/>
      <c r="E25" s="149"/>
      <c r="F25" s="150"/>
      <c r="G25" s="76"/>
      <c r="H25" s="150"/>
      <c r="I25" s="248"/>
      <c r="J25" s="105"/>
      <c r="K25" s="172"/>
      <c r="L25" s="104"/>
      <c r="M25" s="138"/>
      <c r="N25" s="248"/>
      <c r="O25" s="104"/>
      <c r="P25" s="117"/>
      <c r="Q25" s="117"/>
      <c r="R25" s="118"/>
      <c r="S25" s="118"/>
      <c r="T25" s="117"/>
      <c r="U25" s="76"/>
      <c r="V25" s="116"/>
      <c r="W25" s="116"/>
      <c r="X25" s="116"/>
      <c r="Y25" s="116"/>
      <c r="Z25" s="116"/>
      <c r="AA25" s="116"/>
      <c r="AB25" s="76"/>
    </row>
    <row r="26" spans="1:46" ht="39">
      <c r="A26" s="3"/>
      <c r="B26" s="3" t="s">
        <v>209</v>
      </c>
      <c r="C26" s="12" t="s">
        <v>792</v>
      </c>
      <c r="D26" s="111"/>
      <c r="E26" s="808" t="s">
        <v>1238</v>
      </c>
      <c r="F26" s="9" t="s">
        <v>336</v>
      </c>
      <c r="G26" s="76">
        <v>1</v>
      </c>
      <c r="H26" s="333" t="s">
        <v>336</v>
      </c>
      <c r="I26" s="260">
        <f>'Etape5-Trait.+recyclage déchets'!C23</f>
        <v>0</v>
      </c>
      <c r="J26" s="333" t="s">
        <v>337</v>
      </c>
      <c r="K26" s="115">
        <f>G26*I26/1000</f>
        <v>0</v>
      </c>
      <c r="L26" s="3" t="s">
        <v>36</v>
      </c>
      <c r="M26" s="15"/>
      <c r="N26" s="248">
        <f>K26</f>
        <v>0</v>
      </c>
      <c r="O26" s="3" t="s">
        <v>36</v>
      </c>
      <c r="P26" s="202">
        <v>1</v>
      </c>
      <c r="Q26" s="202"/>
      <c r="R26" s="202"/>
      <c r="S26" s="202"/>
      <c r="T26" s="202"/>
      <c r="U26" s="202"/>
      <c r="V26" s="114">
        <f t="shared" ref="V26:AA26" si="7">$N26*P26</f>
        <v>0</v>
      </c>
      <c r="W26" s="114">
        <f t="shared" si="7"/>
        <v>0</v>
      </c>
      <c r="X26" s="114">
        <f t="shared" si="7"/>
        <v>0</v>
      </c>
      <c r="Y26" s="114">
        <f t="shared" si="7"/>
        <v>0</v>
      </c>
      <c r="Z26" s="114">
        <f t="shared" si="7"/>
        <v>0</v>
      </c>
      <c r="AA26" s="114">
        <f t="shared" si="7"/>
        <v>0</v>
      </c>
      <c r="AB26" s="76"/>
    </row>
    <row r="27" spans="1:46" s="55" customFormat="1" ht="13">
      <c r="C27" s="186"/>
      <c r="D27" s="111"/>
      <c r="F27" s="105"/>
      <c r="G27" s="76"/>
      <c r="H27" s="105"/>
      <c r="I27" s="248"/>
      <c r="J27" s="105"/>
      <c r="K27" s="58"/>
      <c r="M27" s="110"/>
      <c r="N27" s="248"/>
      <c r="O27" s="104"/>
      <c r="P27" s="76"/>
      <c r="Q27" s="76"/>
      <c r="R27" s="76"/>
      <c r="S27" s="76"/>
      <c r="T27" s="76"/>
      <c r="U27" s="76"/>
      <c r="V27" s="58"/>
      <c r="W27" s="58"/>
      <c r="X27" s="58"/>
      <c r="Y27" s="58"/>
      <c r="Z27" s="58"/>
      <c r="AA27" s="58"/>
      <c r="AB27" s="76"/>
    </row>
    <row r="28" spans="1:46">
      <c r="D28" s="3"/>
      <c r="E28" s="3"/>
      <c r="F28" s="333"/>
      <c r="G28" s="3"/>
      <c r="H28" s="333"/>
      <c r="I28" s="239"/>
      <c r="J28" s="333"/>
      <c r="K28" s="3"/>
      <c r="L28" s="3"/>
      <c r="M28" s="63"/>
      <c r="N28" s="239"/>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ht="13">
      <c r="M29" s="14"/>
      <c r="N29" s="239"/>
      <c r="O29" s="3"/>
    </row>
    <row r="30" spans="1:46" ht="13">
      <c r="M30" s="14"/>
      <c r="N30" s="249"/>
      <c r="O30" s="3"/>
    </row>
    <row r="31" spans="1:46" ht="13">
      <c r="C31" s="5"/>
      <c r="D31" s="5"/>
    </row>
  </sheetData>
  <sheetProtection algorithmName="SHA-512" hashValue="+vZVhi7qPJZFSEpXei7ymvMw+dNWveu2LhcmwAHc8a2eSaCqqGG54L0Foape7Iyu5CQSVQMH21c9J/9vVYgocg==" saltValue="SCOuuQ16a/mEjel9ondYC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B61"/>
  <sheetViews>
    <sheetView zoomScale="125" zoomScaleNormal="70" workbookViewId="0">
      <selection activeCell="E13" sqref="E13:G13"/>
    </sheetView>
  </sheetViews>
  <sheetFormatPr defaultColWidth="8.81640625" defaultRowHeight="12.5"/>
  <cols>
    <col min="1" max="1" width="3" customWidth="1"/>
    <col min="2" max="2" width="6.1796875" customWidth="1"/>
    <col min="3" max="3" width="32" customWidth="1"/>
    <col min="4" max="4" width="8.36328125" customWidth="1"/>
    <col min="5" max="5" width="14.453125" customWidth="1"/>
    <col min="6" max="6" width="12" customWidth="1"/>
    <col min="7" max="7" width="10.36328125" customWidth="1"/>
    <col min="8" max="8" width="11.453125" customWidth="1"/>
    <col min="9" max="9" width="12.453125" style="240" customWidth="1"/>
    <col min="10" max="10" width="20" customWidth="1"/>
    <col min="11" max="11" width="11.36328125" customWidth="1"/>
    <col min="12" max="12" width="7.453125" customWidth="1"/>
    <col min="13" max="13" width="25.6328125" style="13" customWidth="1"/>
    <col min="14" max="14" width="9.1796875" style="240"/>
    <col min="15" max="15" width="10.36328125" customWidth="1"/>
    <col min="16" max="16" width="5.6328125" customWidth="1"/>
    <col min="17" max="17" width="8.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765</v>
      </c>
      <c r="I1" s="231"/>
      <c r="L1" s="48"/>
      <c r="M1" s="48"/>
      <c r="N1" s="231"/>
    </row>
    <row r="2" spans="1:28" ht="14">
      <c r="A2" s="54" t="s">
        <v>313</v>
      </c>
      <c r="I2" s="231"/>
      <c r="L2" s="48"/>
      <c r="M2" s="48"/>
      <c r="N2" s="231"/>
    </row>
    <row r="3" spans="1:28" s="5" customFormat="1" ht="13">
      <c r="D3" s="7"/>
      <c r="E3" s="7"/>
      <c r="F3" s="7"/>
      <c r="G3" s="7"/>
      <c r="H3" s="7"/>
      <c r="I3" s="255"/>
      <c r="J3" s="7"/>
      <c r="K3" s="7"/>
      <c r="L3" s="139"/>
      <c r="M3" s="30"/>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43" t="s">
        <v>35</v>
      </c>
      <c r="G4" s="112" t="s">
        <v>37</v>
      </c>
      <c r="H4" s="143" t="s">
        <v>35</v>
      </c>
      <c r="I4" s="245" t="s">
        <v>51</v>
      </c>
      <c r="J4" s="144" t="s">
        <v>35</v>
      </c>
      <c r="K4" s="84" t="s">
        <v>61</v>
      </c>
      <c r="L4" s="139"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290</v>
      </c>
      <c r="C5" s="134" t="s">
        <v>284</v>
      </c>
      <c r="D5" s="111"/>
      <c r="F5" s="128"/>
      <c r="G5" s="76"/>
      <c r="H5" s="128"/>
      <c r="I5" s="247"/>
      <c r="K5" s="113"/>
      <c r="L5" s="128"/>
      <c r="M5" s="135"/>
      <c r="N5" s="247"/>
      <c r="O5" s="128"/>
      <c r="P5" s="76"/>
      <c r="Q5" s="76"/>
      <c r="R5" s="76"/>
      <c r="S5" s="76"/>
      <c r="T5" s="76"/>
      <c r="U5" s="76"/>
      <c r="V5" s="58"/>
      <c r="W5" s="58"/>
      <c r="X5" s="58"/>
      <c r="Y5" s="58"/>
      <c r="Z5" s="58"/>
      <c r="AA5" s="58"/>
      <c r="AB5" s="76"/>
    </row>
    <row r="6" spans="1:28" ht="13">
      <c r="B6" t="s">
        <v>291</v>
      </c>
      <c r="C6" s="12" t="s">
        <v>319</v>
      </c>
      <c r="D6" s="76"/>
      <c r="E6" s="808" t="s">
        <v>1238</v>
      </c>
      <c r="F6" t="s">
        <v>333</v>
      </c>
      <c r="G6" s="76">
        <v>1</v>
      </c>
      <c r="H6" s="3" t="s">
        <v>333</v>
      </c>
      <c r="I6" s="248">
        <f>'Etape5-Trait.+recyclage déchets'!$C$26</f>
        <v>0</v>
      </c>
      <c r="J6" s="3" t="s">
        <v>334</v>
      </c>
      <c r="K6" s="299">
        <f>G6*I6/1000</f>
        <v>0</v>
      </c>
      <c r="L6" s="3" t="s">
        <v>36</v>
      </c>
      <c r="M6" s="107"/>
      <c r="N6" s="261">
        <f>K6</f>
        <v>0</v>
      </c>
      <c r="O6" s="3" t="s">
        <v>36</v>
      </c>
      <c r="P6" s="283">
        <v>0.01</v>
      </c>
      <c r="Q6" s="715">
        <v>1E-4</v>
      </c>
      <c r="R6" s="283"/>
      <c r="S6" s="431"/>
      <c r="T6" s="431"/>
      <c r="U6" s="431"/>
      <c r="V6" s="334">
        <f>$N6*P6</f>
        <v>0</v>
      </c>
      <c r="W6" s="334">
        <f>$N6*Q6</f>
        <v>0</v>
      </c>
      <c r="X6" s="334">
        <f>$N6*R6</f>
        <v>0</v>
      </c>
      <c r="Y6" s="200" t="s">
        <v>273</v>
      </c>
      <c r="Z6" s="200" t="s">
        <v>273</v>
      </c>
      <c r="AA6" s="200" t="s">
        <v>273</v>
      </c>
      <c r="AB6" s="76"/>
    </row>
    <row r="7" spans="1:28" s="55" customFormat="1" ht="13">
      <c r="A7" s="104"/>
      <c r="B7" s="104"/>
      <c r="C7" s="136"/>
      <c r="D7" s="111"/>
      <c r="E7" s="106"/>
      <c r="F7" s="104"/>
      <c r="G7" s="76"/>
      <c r="H7" s="104"/>
      <c r="I7" s="248"/>
      <c r="K7" s="194"/>
      <c r="L7" s="104"/>
      <c r="M7" s="107"/>
      <c r="N7" s="248"/>
      <c r="O7" s="104"/>
      <c r="P7" s="130"/>
      <c r="Q7" s="130"/>
      <c r="R7" s="130"/>
      <c r="S7" s="130"/>
      <c r="T7" s="130"/>
      <c r="U7" s="130"/>
      <c r="V7" s="201"/>
      <c r="W7" s="201"/>
      <c r="X7" s="201"/>
      <c r="Y7" s="201"/>
      <c r="Z7" s="201"/>
      <c r="AA7" s="201"/>
      <c r="AB7" s="76"/>
    </row>
    <row r="8" spans="1:28" ht="14">
      <c r="B8" s="3" t="s">
        <v>292</v>
      </c>
      <c r="C8" s="72" t="s">
        <v>283</v>
      </c>
      <c r="D8" s="193" t="s">
        <v>273</v>
      </c>
      <c r="E8" s="75" t="s">
        <v>273</v>
      </c>
      <c r="F8" s="75" t="s">
        <v>273</v>
      </c>
      <c r="G8" s="188" t="s">
        <v>273</v>
      </c>
      <c r="H8" s="75" t="s">
        <v>273</v>
      </c>
      <c r="I8" s="259"/>
      <c r="J8" s="75" t="s">
        <v>273</v>
      </c>
      <c r="K8" s="300" t="s">
        <v>273</v>
      </c>
      <c r="L8" s="75" t="s">
        <v>273</v>
      </c>
      <c r="M8" s="14"/>
      <c r="N8" s="259" t="s">
        <v>273</v>
      </c>
      <c r="O8" s="3"/>
      <c r="P8" s="188" t="s">
        <v>273</v>
      </c>
      <c r="Q8" s="188" t="s">
        <v>273</v>
      </c>
      <c r="R8" s="188" t="s">
        <v>273</v>
      </c>
      <c r="S8" s="188" t="s">
        <v>273</v>
      </c>
      <c r="T8" s="188" t="s">
        <v>273</v>
      </c>
      <c r="U8" s="188" t="s">
        <v>273</v>
      </c>
      <c r="V8" s="200" t="s">
        <v>273</v>
      </c>
      <c r="W8" s="200" t="s">
        <v>273</v>
      </c>
      <c r="X8" s="200" t="s">
        <v>273</v>
      </c>
      <c r="Y8" s="200" t="s">
        <v>273</v>
      </c>
      <c r="Z8" s="200" t="s">
        <v>273</v>
      </c>
      <c r="AA8" s="200" t="s">
        <v>273</v>
      </c>
      <c r="AB8" s="76"/>
    </row>
    <row r="9" spans="1:28" ht="13">
      <c r="A9" s="3"/>
      <c r="C9" s="74" t="s">
        <v>285</v>
      </c>
      <c r="D9" s="76"/>
      <c r="E9" s="18"/>
      <c r="F9" s="3"/>
      <c r="G9" s="76"/>
      <c r="H9" s="3"/>
      <c r="I9" s="248"/>
      <c r="J9" s="3"/>
      <c r="K9" s="194"/>
      <c r="L9" s="3"/>
      <c r="M9" s="15"/>
      <c r="N9" s="248"/>
      <c r="O9" s="3"/>
      <c r="P9" s="131"/>
      <c r="Q9" s="131"/>
      <c r="R9" s="131"/>
      <c r="S9" s="131"/>
      <c r="T9" s="131"/>
      <c r="U9" s="131"/>
      <c r="V9" s="201"/>
      <c r="W9" s="201"/>
      <c r="X9" s="201"/>
      <c r="Y9" s="201"/>
      <c r="Z9" s="201"/>
      <c r="AA9" s="201"/>
      <c r="AB9" s="76"/>
    </row>
    <row r="10" spans="1:28" s="55" customFormat="1" ht="13">
      <c r="A10" s="104"/>
      <c r="B10" s="104"/>
      <c r="C10" s="105"/>
      <c r="D10" s="76"/>
      <c r="E10" s="106"/>
      <c r="F10" s="104"/>
      <c r="G10" s="76"/>
      <c r="H10" s="104"/>
      <c r="I10" s="248"/>
      <c r="K10" s="194"/>
      <c r="L10" s="104"/>
      <c r="M10" s="107"/>
      <c r="N10" s="248"/>
      <c r="O10" s="104"/>
      <c r="P10" s="130"/>
      <c r="Q10" s="130"/>
      <c r="R10" s="130"/>
      <c r="S10" s="130"/>
      <c r="T10" s="130"/>
      <c r="U10" s="127"/>
      <c r="V10" s="201"/>
      <c r="W10" s="201"/>
      <c r="X10" s="201"/>
      <c r="Y10" s="201"/>
      <c r="Z10" s="201"/>
      <c r="AA10" s="201"/>
      <c r="AB10" s="76"/>
    </row>
    <row r="11" spans="1:28" ht="28">
      <c r="B11" s="3" t="s">
        <v>293</v>
      </c>
      <c r="C11" s="72" t="s">
        <v>286</v>
      </c>
      <c r="D11" s="111"/>
      <c r="E11" s="43" t="s">
        <v>273</v>
      </c>
      <c r="F11" s="47" t="s">
        <v>273</v>
      </c>
      <c r="G11" s="188" t="s">
        <v>273</v>
      </c>
      <c r="H11" s="47" t="s">
        <v>273</v>
      </c>
      <c r="I11" s="252"/>
      <c r="J11" s="47" t="s">
        <v>273</v>
      </c>
      <c r="K11" s="301" t="s">
        <v>273</v>
      </c>
      <c r="L11" s="47" t="s">
        <v>273</v>
      </c>
      <c r="M11" s="14"/>
      <c r="N11" s="248"/>
      <c r="O11" s="3" t="s">
        <v>36</v>
      </c>
      <c r="P11" s="131" t="s">
        <v>43</v>
      </c>
      <c r="Q11" s="131" t="s">
        <v>43</v>
      </c>
      <c r="R11" s="131" t="s">
        <v>43</v>
      </c>
      <c r="S11" s="192" t="s">
        <v>273</v>
      </c>
      <c r="T11" s="192" t="s">
        <v>273</v>
      </c>
      <c r="U11" s="192" t="s">
        <v>273</v>
      </c>
      <c r="V11" s="199" t="e">
        <f>$N11*P11</f>
        <v>#VALUE!</v>
      </c>
      <c r="W11" s="199" t="e">
        <f>$N11*Q11</f>
        <v>#VALUE!</v>
      </c>
      <c r="X11" s="199" t="e">
        <f>$N11*R11</f>
        <v>#VALUE!</v>
      </c>
      <c r="Y11" s="200" t="s">
        <v>273</v>
      </c>
      <c r="Z11" s="200" t="s">
        <v>273</v>
      </c>
      <c r="AA11" s="200" t="s">
        <v>273</v>
      </c>
      <c r="AB11" s="76"/>
    </row>
    <row r="12" spans="1:28" s="55" customFormat="1" ht="13">
      <c r="A12" s="104"/>
      <c r="B12" s="104"/>
      <c r="C12" s="136"/>
      <c r="D12" s="76"/>
      <c r="E12" s="106"/>
      <c r="F12" s="104"/>
      <c r="G12" s="76"/>
      <c r="H12" s="104"/>
      <c r="I12" s="248"/>
      <c r="K12" s="194"/>
      <c r="L12" s="104"/>
      <c r="M12" s="107"/>
      <c r="N12" s="248"/>
      <c r="O12" s="104"/>
      <c r="P12" s="130"/>
      <c r="Q12" s="130"/>
      <c r="R12" s="130"/>
      <c r="S12" s="130"/>
      <c r="T12" s="130"/>
      <c r="U12" s="127"/>
      <c r="V12" s="201"/>
      <c r="W12" s="201"/>
      <c r="X12" s="201"/>
      <c r="Y12" s="201"/>
      <c r="Z12" s="201"/>
      <c r="AA12" s="201"/>
      <c r="AB12" s="76"/>
    </row>
    <row r="13" spans="1:28" ht="28">
      <c r="A13" s="3"/>
      <c r="B13" s="3" t="s">
        <v>294</v>
      </c>
      <c r="C13" s="72" t="s">
        <v>320</v>
      </c>
      <c r="D13" s="76"/>
      <c r="E13" s="808" t="s">
        <v>1238</v>
      </c>
      <c r="F13" t="s">
        <v>333</v>
      </c>
      <c r="G13" s="76">
        <v>1</v>
      </c>
      <c r="H13" s="3" t="s">
        <v>333</v>
      </c>
      <c r="I13" s="248">
        <f>'Etape5-Trait.+recyclage déchets'!C27</f>
        <v>0</v>
      </c>
      <c r="J13" s="3" t="s">
        <v>335</v>
      </c>
      <c r="K13" s="299">
        <f>G13*I13/1000</f>
        <v>0</v>
      </c>
      <c r="L13" s="3" t="s">
        <v>36</v>
      </c>
      <c r="M13" s="15"/>
      <c r="N13" s="248">
        <f>K13</f>
        <v>0</v>
      </c>
      <c r="O13" s="3" t="s">
        <v>36</v>
      </c>
      <c r="P13" s="283">
        <v>0.1</v>
      </c>
      <c r="Q13" s="283">
        <v>0.1</v>
      </c>
      <c r="R13" s="283">
        <v>0.8</v>
      </c>
      <c r="S13" s="431"/>
      <c r="T13" s="431"/>
      <c r="U13" s="431"/>
      <c r="V13" s="199">
        <f>$N13*P13</f>
        <v>0</v>
      </c>
      <c r="W13" s="199">
        <f>$N13*Q13</f>
        <v>0</v>
      </c>
      <c r="X13" s="199">
        <f>$N13*R13</f>
        <v>0</v>
      </c>
      <c r="Y13" s="200" t="s">
        <v>273</v>
      </c>
      <c r="Z13" s="200" t="s">
        <v>273</v>
      </c>
      <c r="AA13" s="200" t="s">
        <v>273</v>
      </c>
      <c r="AB13" s="76"/>
    </row>
    <row r="14" spans="1:28" s="55" customFormat="1" ht="13">
      <c r="A14" s="104"/>
      <c r="B14" s="104"/>
      <c r="C14" s="136"/>
      <c r="D14" s="111"/>
      <c r="E14" s="149"/>
      <c r="F14" s="104"/>
      <c r="G14" s="76"/>
      <c r="H14" s="104"/>
      <c r="I14" s="248"/>
      <c r="K14" s="194"/>
      <c r="L14" s="104"/>
      <c r="M14" s="138"/>
      <c r="N14" s="248"/>
      <c r="O14" s="104"/>
      <c r="P14" s="130"/>
      <c r="Q14" s="130"/>
      <c r="R14" s="130"/>
      <c r="S14" s="130"/>
      <c r="T14" s="130"/>
      <c r="U14" s="127"/>
      <c r="V14" s="201"/>
      <c r="W14" s="201"/>
      <c r="X14" s="201"/>
      <c r="Y14" s="201"/>
      <c r="Z14" s="201"/>
      <c r="AA14" s="201"/>
      <c r="AB14" s="76"/>
    </row>
    <row r="15" spans="1:28" ht="13">
      <c r="B15" s="3" t="s">
        <v>295</v>
      </c>
      <c r="C15" s="12" t="s">
        <v>287</v>
      </c>
      <c r="D15" s="111"/>
      <c r="F15" s="3"/>
      <c r="G15" s="76"/>
      <c r="H15" s="3"/>
      <c r="I15" s="247"/>
      <c r="K15" s="302"/>
      <c r="L15" s="3"/>
      <c r="M15" s="14"/>
      <c r="N15" s="247"/>
      <c r="O15" s="3"/>
      <c r="P15" s="127"/>
      <c r="Q15" s="127"/>
      <c r="R15" s="127"/>
      <c r="S15" s="127"/>
      <c r="T15" s="127"/>
      <c r="U15" s="127"/>
      <c r="V15" s="199">
        <f t="shared" ref="V15:AA15" si="0">SUM(V16:V19)</f>
        <v>0</v>
      </c>
      <c r="W15" s="199">
        <f t="shared" si="0"/>
        <v>0</v>
      </c>
      <c r="X15" s="199">
        <f t="shared" si="0"/>
        <v>0</v>
      </c>
      <c r="Y15" s="199">
        <f t="shared" si="0"/>
        <v>0</v>
      </c>
      <c r="Z15" s="199">
        <f t="shared" si="0"/>
        <v>0</v>
      </c>
      <c r="AA15" s="199">
        <f t="shared" si="0"/>
        <v>0</v>
      </c>
      <c r="AB15" s="76"/>
    </row>
    <row r="16" spans="1:28" ht="26">
      <c r="A16" s="3"/>
      <c r="D16" s="76"/>
      <c r="E16" s="6" t="s">
        <v>300</v>
      </c>
      <c r="F16" s="53" t="s">
        <v>302</v>
      </c>
      <c r="G16" s="76">
        <v>5.25</v>
      </c>
      <c r="H16" s="53" t="s">
        <v>302</v>
      </c>
      <c r="I16" s="248">
        <f>'Etape5-Trait.+recyclage déchets'!C29</f>
        <v>0</v>
      </c>
      <c r="J16" s="3" t="s">
        <v>301</v>
      </c>
      <c r="K16" s="194">
        <f>G16*I16/1000000</f>
        <v>0</v>
      </c>
      <c r="L16" s="3" t="s">
        <v>36</v>
      </c>
      <c r="M16" s="15" t="s">
        <v>296</v>
      </c>
      <c r="N16" s="248">
        <f>$K$16*'Etape5-Trait.+recyclage déchets'!G31/100</f>
        <v>0</v>
      </c>
      <c r="O16" s="3" t="s">
        <v>36</v>
      </c>
      <c r="P16" s="131"/>
      <c r="Q16" s="131">
        <v>1</v>
      </c>
      <c r="R16" s="131"/>
      <c r="S16" s="131"/>
      <c r="T16" s="131"/>
      <c r="U16" s="131"/>
      <c r="V16" s="201">
        <f t="shared" ref="V16:AA19" si="1">$N16*P16</f>
        <v>0</v>
      </c>
      <c r="W16" s="201">
        <f t="shared" si="1"/>
        <v>0</v>
      </c>
      <c r="X16" s="201">
        <f t="shared" si="1"/>
        <v>0</v>
      </c>
      <c r="Y16" s="201">
        <f t="shared" si="1"/>
        <v>0</v>
      </c>
      <c r="Z16" s="201">
        <f t="shared" si="1"/>
        <v>0</v>
      </c>
      <c r="AA16" s="201">
        <f t="shared" si="1"/>
        <v>0</v>
      </c>
      <c r="AB16" s="76"/>
    </row>
    <row r="17" spans="1:28" ht="13">
      <c r="A17" s="3"/>
      <c r="B17" s="3"/>
      <c r="D17" s="76"/>
      <c r="E17" s="6"/>
      <c r="F17" s="3"/>
      <c r="G17" s="76"/>
      <c r="H17" s="3"/>
      <c r="I17" s="248"/>
      <c r="K17" s="115"/>
      <c r="L17" s="3"/>
      <c r="M17" s="15" t="s">
        <v>297</v>
      </c>
      <c r="N17" s="248">
        <f>$K$16*'Etape5-Trait.+recyclage déchets'!H31/100</f>
        <v>0</v>
      </c>
      <c r="O17" s="3" t="s">
        <v>36</v>
      </c>
      <c r="P17" s="131"/>
      <c r="Q17" s="131">
        <v>0.9</v>
      </c>
      <c r="R17" s="131"/>
      <c r="S17" s="131"/>
      <c r="T17" s="131">
        <v>0.1</v>
      </c>
      <c r="U17" s="131"/>
      <c r="V17" s="201">
        <f t="shared" si="1"/>
        <v>0</v>
      </c>
      <c r="W17" s="201">
        <f t="shared" si="1"/>
        <v>0</v>
      </c>
      <c r="X17" s="201">
        <f t="shared" si="1"/>
        <v>0</v>
      </c>
      <c r="Y17" s="201">
        <f t="shared" si="1"/>
        <v>0</v>
      </c>
      <c r="Z17" s="201">
        <f t="shared" si="1"/>
        <v>0</v>
      </c>
      <c r="AA17" s="201">
        <f t="shared" si="1"/>
        <v>0</v>
      </c>
      <c r="AB17" s="76"/>
    </row>
    <row r="18" spans="1:28" ht="39">
      <c r="A18" s="3"/>
      <c r="B18" s="3"/>
      <c r="D18" s="76"/>
      <c r="E18" s="6"/>
      <c r="F18" s="3"/>
      <c r="G18" s="76"/>
      <c r="H18" s="3"/>
      <c r="I18" s="248"/>
      <c r="K18" s="116"/>
      <c r="L18" s="3"/>
      <c r="M18" s="15" t="s">
        <v>298</v>
      </c>
      <c r="N18" s="248">
        <f>$K$16*'Etape5-Trait.+recyclage déchets'!I31/100</f>
        <v>0</v>
      </c>
      <c r="O18" s="3" t="s">
        <v>36</v>
      </c>
      <c r="P18" s="131"/>
      <c r="Q18" s="131">
        <v>0.5</v>
      </c>
      <c r="R18" s="131"/>
      <c r="S18" s="131"/>
      <c r="T18" s="131">
        <v>0.3</v>
      </c>
      <c r="U18" s="131">
        <v>0.2</v>
      </c>
      <c r="V18" s="201">
        <f t="shared" si="1"/>
        <v>0</v>
      </c>
      <c r="W18" s="201">
        <f t="shared" si="1"/>
        <v>0</v>
      </c>
      <c r="X18" s="201">
        <f t="shared" si="1"/>
        <v>0</v>
      </c>
      <c r="Y18" s="201">
        <f t="shared" si="1"/>
        <v>0</v>
      </c>
      <c r="Z18" s="201">
        <f t="shared" si="1"/>
        <v>0</v>
      </c>
      <c r="AA18" s="201">
        <f t="shared" si="1"/>
        <v>0</v>
      </c>
      <c r="AB18" s="76"/>
    </row>
    <row r="19" spans="1:28" s="55" customFormat="1" ht="52">
      <c r="A19" s="104"/>
      <c r="B19" s="104"/>
      <c r="D19" s="76"/>
      <c r="E19" s="106"/>
      <c r="F19" s="104"/>
      <c r="G19" s="76"/>
      <c r="H19" s="104"/>
      <c r="I19" s="248"/>
      <c r="J19" s="444"/>
      <c r="K19" s="116"/>
      <c r="L19" s="104"/>
      <c r="M19" s="107" t="s">
        <v>299</v>
      </c>
      <c r="N19" s="248">
        <f>$K$16*'Etape5-Trait.+recyclage déchets'!J31/100</f>
        <v>0</v>
      </c>
      <c r="O19" s="104" t="s">
        <v>36</v>
      </c>
      <c r="P19" s="131"/>
      <c r="Q19" s="131">
        <v>0.5</v>
      </c>
      <c r="R19" s="131">
        <v>0.2</v>
      </c>
      <c r="S19" s="131"/>
      <c r="T19" s="131">
        <v>0.15</v>
      </c>
      <c r="U19" s="131">
        <v>0.15</v>
      </c>
      <c r="V19" s="201">
        <f t="shared" si="1"/>
        <v>0</v>
      </c>
      <c r="W19" s="201">
        <f t="shared" si="1"/>
        <v>0</v>
      </c>
      <c r="X19" s="201">
        <f t="shared" si="1"/>
        <v>0</v>
      </c>
      <c r="Y19" s="201">
        <f t="shared" si="1"/>
        <v>0</v>
      </c>
      <c r="Z19" s="201">
        <f t="shared" si="1"/>
        <v>0</v>
      </c>
      <c r="AA19" s="201">
        <f t="shared" si="1"/>
        <v>0</v>
      </c>
      <c r="AB19" s="76"/>
    </row>
    <row r="20" spans="1:28" ht="13">
      <c r="C20" s="5"/>
      <c r="D20" s="5"/>
      <c r="G20" s="3"/>
      <c r="H20" s="3"/>
      <c r="I20" s="239"/>
      <c r="J20" s="3"/>
      <c r="K20" s="3"/>
      <c r="M20" s="32"/>
      <c r="N20" s="249"/>
      <c r="O20" s="3"/>
      <c r="P20" s="195"/>
      <c r="Q20" s="195"/>
      <c r="R20" s="195"/>
      <c r="S20" s="195"/>
      <c r="T20" s="195"/>
      <c r="U20" s="195"/>
      <c r="V20" s="195"/>
      <c r="W20" s="195"/>
      <c r="X20" s="195"/>
      <c r="Y20" s="195"/>
      <c r="Z20" s="195"/>
      <c r="AA20" s="195"/>
      <c r="AB20" s="3"/>
    </row>
    <row r="21" spans="1:28" ht="13">
      <c r="C21" s="5" t="s">
        <v>56</v>
      </c>
      <c r="G21" s="3"/>
      <c r="H21" s="3"/>
      <c r="I21" s="239"/>
      <c r="J21" s="3"/>
      <c r="K21" s="3"/>
      <c r="M21" s="32"/>
      <c r="N21" s="249"/>
      <c r="O21" s="3"/>
      <c r="P21" s="3"/>
      <c r="Q21" s="3"/>
      <c r="R21" s="3"/>
      <c r="S21" s="3"/>
      <c r="T21" s="3"/>
      <c r="U21" s="3"/>
      <c r="V21" s="3"/>
      <c r="W21" s="3"/>
      <c r="X21" s="3"/>
      <c r="Y21" s="3"/>
      <c r="Z21" s="3"/>
      <c r="AA21" s="3"/>
      <c r="AB21" s="3"/>
    </row>
    <row r="22" spans="1:28" ht="13">
      <c r="C22" s="8" t="s">
        <v>288</v>
      </c>
      <c r="G22" s="3"/>
      <c r="H22" s="3"/>
      <c r="I22" s="239"/>
      <c r="J22" s="3"/>
      <c r="K22" s="3"/>
      <c r="M22" s="32"/>
      <c r="N22" s="249"/>
      <c r="O22" s="3"/>
      <c r="P22" s="3"/>
      <c r="Q22" s="3"/>
      <c r="R22" s="3"/>
      <c r="S22" s="3"/>
      <c r="T22" s="3"/>
      <c r="U22" s="3"/>
      <c r="V22" s="196"/>
      <c r="W22" s="196"/>
      <c r="X22" s="196"/>
      <c r="Y22" s="196"/>
      <c r="Z22" s="196"/>
      <c r="AA22" s="196"/>
      <c r="AB22" s="3"/>
    </row>
    <row r="23" spans="1:28" s="48" customFormat="1" ht="13">
      <c r="C23" s="52" t="s">
        <v>289</v>
      </c>
      <c r="D23" s="37"/>
      <c r="G23" s="28"/>
      <c r="H23" s="28"/>
      <c r="I23" s="257"/>
      <c r="J23" s="28"/>
      <c r="K23" s="28"/>
      <c r="M23" s="34"/>
      <c r="N23" s="256"/>
      <c r="O23" s="17"/>
      <c r="P23" s="28"/>
      <c r="Q23" s="28"/>
      <c r="R23" s="28"/>
      <c r="S23" s="28"/>
      <c r="T23" s="28"/>
      <c r="U23" s="28"/>
      <c r="V23" s="197"/>
      <c r="W23" s="197"/>
      <c r="X23" s="197"/>
      <c r="Y23" s="197"/>
      <c r="Z23" s="197"/>
      <c r="AA23" s="197"/>
      <c r="AB23" s="28"/>
    </row>
    <row r="24" spans="1:28" s="48" customFormat="1" ht="13">
      <c r="C24" s="50"/>
      <c r="D24" s="50"/>
      <c r="G24" s="28"/>
      <c r="H24" s="28"/>
      <c r="I24" s="257"/>
      <c r="J24" s="28"/>
      <c r="K24" s="28"/>
      <c r="M24" s="34"/>
      <c r="N24" s="256"/>
      <c r="O24" s="28"/>
      <c r="P24" s="28"/>
      <c r="Q24" s="28"/>
      <c r="R24" s="28"/>
      <c r="S24" s="28"/>
      <c r="T24" s="28"/>
      <c r="U24" s="28"/>
      <c r="V24" s="197"/>
      <c r="W24" s="197"/>
      <c r="X24" s="197"/>
      <c r="Y24" s="197"/>
      <c r="Z24" s="197"/>
      <c r="AA24" s="197"/>
      <c r="AB24" s="28"/>
    </row>
    <row r="25" spans="1:28" s="48" customFormat="1" ht="13">
      <c r="C25" s="28"/>
      <c r="D25" s="28"/>
      <c r="G25" s="28"/>
      <c r="H25" s="28"/>
      <c r="I25" s="257"/>
      <c r="J25" s="28"/>
      <c r="K25" s="28"/>
      <c r="M25" s="32"/>
      <c r="N25" s="256"/>
      <c r="O25" s="28"/>
      <c r="P25" s="28"/>
      <c r="Q25" s="28"/>
      <c r="R25" s="28"/>
      <c r="S25" s="28"/>
      <c r="T25" s="28"/>
      <c r="U25" s="28"/>
      <c r="V25" s="198"/>
      <c r="W25" s="198"/>
      <c r="X25" s="198"/>
      <c r="Y25" s="198"/>
      <c r="Z25" s="198"/>
      <c r="AA25" s="198"/>
      <c r="AB25" s="28"/>
    </row>
    <row r="26" spans="1:28" s="48" customFormat="1" ht="13">
      <c r="C26" s="51"/>
      <c r="G26" s="28"/>
      <c r="H26" s="28"/>
      <c r="I26" s="257"/>
      <c r="J26" s="28"/>
      <c r="K26" s="28"/>
      <c r="M26" s="32"/>
      <c r="N26" s="256"/>
      <c r="O26" s="28"/>
      <c r="P26" s="28"/>
      <c r="Q26" s="28"/>
      <c r="R26" s="28"/>
      <c r="S26" s="28"/>
      <c r="T26" s="28"/>
      <c r="U26" s="28"/>
      <c r="V26" s="28"/>
      <c r="W26" s="28"/>
      <c r="X26" s="28"/>
      <c r="Y26" s="28"/>
      <c r="Z26" s="28"/>
      <c r="AA26" s="28"/>
      <c r="AB26" s="28"/>
    </row>
    <row r="27" spans="1:28" s="48" customFormat="1" ht="13">
      <c r="C27" s="35"/>
      <c r="G27" s="28"/>
      <c r="H27" s="28"/>
      <c r="I27" s="257"/>
      <c r="J27" s="28"/>
      <c r="K27" s="28"/>
      <c r="M27" s="34"/>
      <c r="N27" s="256"/>
      <c r="O27" s="17"/>
      <c r="P27" s="28"/>
      <c r="Q27" s="28"/>
      <c r="R27" s="28"/>
      <c r="S27" s="28"/>
      <c r="T27" s="28"/>
      <c r="U27" s="28"/>
      <c r="V27" s="28"/>
      <c r="W27" s="28"/>
      <c r="X27" s="28"/>
      <c r="Y27" s="28"/>
      <c r="Z27" s="28"/>
      <c r="AA27" s="28"/>
      <c r="AB27" s="28"/>
    </row>
    <row r="28" spans="1:28" s="48" customFormat="1" ht="13">
      <c r="C28" s="35"/>
      <c r="G28" s="28"/>
      <c r="H28" s="28"/>
      <c r="I28" s="257"/>
      <c r="J28" s="28"/>
      <c r="K28" s="28"/>
      <c r="M28" s="34"/>
      <c r="N28" s="257"/>
      <c r="O28" s="28"/>
      <c r="P28" s="28"/>
      <c r="Q28" s="28"/>
      <c r="R28" s="28"/>
      <c r="S28" s="28"/>
      <c r="T28" s="28"/>
      <c r="U28" s="28"/>
      <c r="V28" s="28"/>
      <c r="W28" s="28"/>
      <c r="X28" s="28"/>
      <c r="Y28" s="28"/>
      <c r="Z28" s="28"/>
      <c r="AA28" s="28"/>
      <c r="AB28" s="28"/>
    </row>
    <row r="29" spans="1:28" ht="13">
      <c r="C29" s="35"/>
      <c r="G29" s="3"/>
      <c r="H29" s="3"/>
      <c r="I29" s="239"/>
      <c r="J29" s="3"/>
      <c r="K29" s="3"/>
      <c r="M29" s="34"/>
      <c r="N29" s="239"/>
      <c r="O29" s="3"/>
      <c r="P29" s="3"/>
      <c r="Q29" s="3"/>
      <c r="R29" s="3"/>
      <c r="S29" s="3"/>
      <c r="T29" s="3"/>
      <c r="U29" s="3"/>
      <c r="V29" s="3"/>
      <c r="W29" s="3"/>
      <c r="X29" s="3"/>
      <c r="Y29" s="3"/>
      <c r="Z29" s="3"/>
      <c r="AA29" s="3"/>
      <c r="AB29" s="3"/>
    </row>
    <row r="30" spans="1:28" ht="13">
      <c r="C30" s="35"/>
      <c r="G30" s="3"/>
      <c r="H30" s="3"/>
      <c r="I30" s="239"/>
      <c r="J30" s="3"/>
      <c r="K30" s="3"/>
      <c r="M30" s="34"/>
      <c r="N30" s="239"/>
      <c r="O30" s="3"/>
      <c r="P30" s="3"/>
      <c r="Q30" s="3"/>
      <c r="R30" s="3"/>
      <c r="S30" s="3"/>
      <c r="T30" s="3"/>
      <c r="U30" s="3"/>
      <c r="V30" s="3"/>
      <c r="W30" s="3"/>
      <c r="X30" s="3"/>
      <c r="Y30" s="3"/>
      <c r="Z30" s="3"/>
      <c r="AA30" s="3"/>
      <c r="AB30" s="3"/>
    </row>
    <row r="31" spans="1:28" ht="13">
      <c r="G31" s="3"/>
      <c r="H31" s="3"/>
      <c r="I31" s="239"/>
      <c r="J31" s="3"/>
      <c r="K31" s="3"/>
      <c r="M31" s="34"/>
      <c r="N31" s="239"/>
      <c r="O31" s="3"/>
      <c r="P31" s="3"/>
      <c r="Q31" s="3"/>
      <c r="R31" s="3"/>
      <c r="S31" s="3"/>
      <c r="T31" s="3"/>
      <c r="U31" s="3"/>
      <c r="V31" s="3"/>
      <c r="W31" s="3"/>
      <c r="X31" s="3"/>
      <c r="Y31" s="3"/>
      <c r="Z31" s="3"/>
      <c r="AA31" s="3"/>
      <c r="AB31" s="3"/>
    </row>
    <row r="32" spans="1:28" ht="13">
      <c r="G32" s="3"/>
      <c r="H32" s="3"/>
      <c r="I32" s="239"/>
      <c r="J32" s="3"/>
      <c r="K32" s="3"/>
      <c r="M32" s="16"/>
      <c r="N32" s="239"/>
      <c r="O32" s="3"/>
      <c r="P32" s="3"/>
      <c r="Q32" s="3"/>
      <c r="R32" s="3"/>
      <c r="S32" s="3"/>
      <c r="T32" s="3"/>
      <c r="U32" s="3"/>
      <c r="V32" s="3"/>
      <c r="W32" s="3"/>
      <c r="X32" s="3"/>
      <c r="Y32" s="3"/>
      <c r="Z32" s="3"/>
      <c r="AA32" s="3"/>
      <c r="AB32" s="3"/>
    </row>
    <row r="33" spans="4:28" ht="13">
      <c r="G33" s="3"/>
      <c r="H33" s="3"/>
      <c r="I33" s="239"/>
      <c r="J33" s="3"/>
      <c r="K33" s="3"/>
      <c r="M33" s="16"/>
      <c r="N33" s="239"/>
      <c r="O33" s="3"/>
      <c r="P33" s="3"/>
      <c r="Q33" s="3"/>
      <c r="R33" s="3"/>
      <c r="S33" s="3"/>
      <c r="T33" s="3"/>
      <c r="U33" s="3"/>
      <c r="V33" s="3"/>
      <c r="W33" s="3"/>
      <c r="X33" s="3"/>
      <c r="Y33" s="3"/>
      <c r="Z33" s="3"/>
      <c r="AA33" s="3"/>
      <c r="AB33" s="3"/>
    </row>
    <row r="34" spans="4:28" ht="13">
      <c r="G34" s="3"/>
      <c r="H34" s="3"/>
      <c r="I34" s="239"/>
      <c r="J34" s="3"/>
      <c r="K34" s="3"/>
      <c r="M34" s="16"/>
      <c r="N34" s="239"/>
      <c r="O34" s="3"/>
      <c r="P34" s="3"/>
      <c r="Q34" s="3"/>
      <c r="R34" s="3"/>
      <c r="S34" s="3"/>
      <c r="T34" s="3"/>
      <c r="U34" s="3"/>
      <c r="V34" s="3"/>
      <c r="W34" s="3"/>
      <c r="X34" s="3"/>
      <c r="Y34" s="3"/>
      <c r="Z34" s="3"/>
      <c r="AA34" s="3"/>
      <c r="AB34" s="3"/>
    </row>
    <row r="35" spans="4:28" ht="13">
      <c r="G35" s="3"/>
      <c r="H35" s="3"/>
      <c r="I35" s="239"/>
      <c r="J35" s="3"/>
      <c r="K35" s="3"/>
      <c r="M35" s="16"/>
      <c r="N35" s="239"/>
      <c r="O35" s="3"/>
      <c r="P35" s="3"/>
      <c r="Q35" s="3"/>
      <c r="R35" s="3"/>
      <c r="S35" s="3"/>
      <c r="T35" s="3"/>
      <c r="U35" s="3"/>
      <c r="V35" s="3"/>
      <c r="W35" s="3"/>
      <c r="X35" s="3"/>
      <c r="Y35" s="3"/>
      <c r="Z35" s="3"/>
      <c r="AA35" s="3"/>
      <c r="AB35" s="3"/>
    </row>
    <row r="36" spans="4:28" ht="13">
      <c r="G36" s="3"/>
      <c r="H36" s="3"/>
      <c r="I36" s="239"/>
      <c r="J36" s="3"/>
      <c r="K36" s="3"/>
      <c r="M36" s="15"/>
      <c r="N36" s="239"/>
      <c r="O36" s="3"/>
      <c r="P36" s="3"/>
      <c r="Q36" s="3"/>
      <c r="R36" s="3"/>
      <c r="S36" s="3"/>
      <c r="T36" s="3"/>
      <c r="U36" s="3"/>
      <c r="V36" s="3"/>
      <c r="W36" s="3"/>
      <c r="X36" s="3"/>
      <c r="Y36" s="3"/>
      <c r="Z36" s="3"/>
      <c r="AA36" s="3"/>
      <c r="AB36" s="3"/>
    </row>
    <row r="37" spans="4:28" ht="13">
      <c r="G37" s="3"/>
      <c r="H37" s="3"/>
      <c r="I37" s="239"/>
      <c r="J37" s="3"/>
      <c r="K37" s="3"/>
      <c r="M37" s="15"/>
      <c r="N37" s="239"/>
      <c r="O37" s="3"/>
      <c r="P37" s="3"/>
      <c r="Q37" s="3"/>
      <c r="R37" s="3"/>
      <c r="S37" s="3"/>
      <c r="T37" s="3"/>
      <c r="U37" s="3"/>
      <c r="V37" s="3"/>
      <c r="W37" s="3"/>
      <c r="X37" s="3"/>
      <c r="Y37" s="3"/>
      <c r="Z37" s="3"/>
      <c r="AA37" s="3"/>
      <c r="AB37" s="3"/>
    </row>
    <row r="38" spans="4:28" ht="13">
      <c r="G38" s="3"/>
      <c r="H38" s="3"/>
      <c r="I38" s="239"/>
      <c r="J38" s="3"/>
      <c r="K38" s="3"/>
      <c r="M38" s="15"/>
      <c r="N38" s="239"/>
      <c r="O38" s="3"/>
      <c r="P38" s="3"/>
      <c r="Q38" s="3"/>
      <c r="R38" s="3"/>
      <c r="S38" s="3"/>
      <c r="T38" s="3"/>
      <c r="U38" s="3"/>
      <c r="V38" s="3"/>
      <c r="W38" s="3"/>
      <c r="X38" s="3"/>
      <c r="Y38" s="3"/>
      <c r="Z38" s="3"/>
      <c r="AA38" s="3"/>
      <c r="AB38" s="3"/>
    </row>
    <row r="39" spans="4:28">
      <c r="G39" s="3"/>
      <c r="H39" s="3"/>
      <c r="I39" s="239"/>
      <c r="J39" s="3"/>
      <c r="K39" s="3"/>
      <c r="N39" s="239"/>
      <c r="O39" s="3"/>
      <c r="P39" s="3"/>
      <c r="Q39" s="3"/>
      <c r="R39" s="3"/>
      <c r="S39" s="3"/>
      <c r="T39" s="3"/>
      <c r="U39" s="3"/>
      <c r="V39" s="3"/>
      <c r="W39" s="3"/>
      <c r="X39" s="3"/>
      <c r="Y39" s="3"/>
      <c r="Z39" s="3"/>
      <c r="AA39" s="3"/>
      <c r="AB39" s="3"/>
    </row>
    <row r="40" spans="4:28">
      <c r="G40" s="3"/>
      <c r="H40" s="3"/>
      <c r="I40" s="239"/>
      <c r="J40" s="3"/>
      <c r="K40" s="3"/>
      <c r="N40" s="239"/>
      <c r="O40" s="3"/>
      <c r="P40" s="3"/>
      <c r="Q40" s="3"/>
      <c r="R40" s="3"/>
      <c r="S40" s="3"/>
      <c r="T40" s="3"/>
      <c r="U40" s="3"/>
      <c r="V40" s="3"/>
      <c r="W40" s="3"/>
      <c r="X40" s="3"/>
      <c r="Y40" s="3"/>
      <c r="Z40" s="3"/>
      <c r="AA40" s="3"/>
      <c r="AB40" s="3"/>
    </row>
    <row r="41" spans="4:28">
      <c r="G41" s="3"/>
      <c r="H41" s="3"/>
      <c r="I41" s="239"/>
      <c r="J41" s="3"/>
      <c r="K41" s="3"/>
      <c r="N41" s="239"/>
      <c r="O41" s="3"/>
      <c r="P41" s="3"/>
      <c r="Q41" s="3"/>
      <c r="R41" s="3"/>
      <c r="S41" s="3"/>
      <c r="T41" s="3"/>
      <c r="U41" s="3"/>
      <c r="V41" s="3"/>
      <c r="W41" s="3"/>
      <c r="X41" s="3"/>
      <c r="Y41" s="3"/>
      <c r="Z41" s="3"/>
      <c r="AA41" s="3"/>
      <c r="AB41" s="3"/>
    </row>
    <row r="42" spans="4:28" ht="13">
      <c r="G42" s="3"/>
      <c r="H42" s="3"/>
      <c r="I42" s="239"/>
      <c r="J42" s="3"/>
      <c r="K42" s="3"/>
      <c r="M42" s="14"/>
      <c r="N42" s="239"/>
      <c r="O42" s="3"/>
      <c r="P42" s="3"/>
      <c r="Q42" s="3"/>
      <c r="R42" s="3"/>
      <c r="S42" s="3"/>
      <c r="T42" s="3"/>
      <c r="U42" s="3"/>
      <c r="V42" s="3"/>
      <c r="W42" s="3"/>
      <c r="X42" s="3"/>
      <c r="Y42" s="3"/>
      <c r="Z42" s="3"/>
      <c r="AA42" s="3"/>
      <c r="AB42" s="3"/>
    </row>
    <row r="43" spans="4:28" ht="13">
      <c r="M43" s="14"/>
      <c r="N43" s="249"/>
      <c r="O43" s="3"/>
      <c r="P43" s="3"/>
      <c r="Q43" s="3"/>
      <c r="R43" s="3"/>
      <c r="S43" s="3"/>
      <c r="T43" s="3"/>
      <c r="U43" s="3"/>
      <c r="V43" s="3"/>
      <c r="W43" s="3"/>
      <c r="X43" s="3"/>
      <c r="Y43" s="3"/>
      <c r="Z43" s="3"/>
      <c r="AA43" s="3"/>
      <c r="AB43" s="3"/>
    </row>
    <row r="44" spans="4:28" ht="13">
      <c r="D44" s="5"/>
      <c r="N44" s="239"/>
      <c r="O44" s="3"/>
      <c r="P44" s="3"/>
      <c r="Q44" s="3"/>
      <c r="R44" s="3"/>
      <c r="S44" s="3"/>
      <c r="T44" s="3"/>
      <c r="U44" s="3"/>
      <c r="V44" s="3"/>
      <c r="W44" s="3"/>
      <c r="X44" s="3"/>
      <c r="Y44" s="3"/>
      <c r="Z44" s="3"/>
      <c r="AA44" s="3"/>
      <c r="AB44" s="3"/>
    </row>
    <row r="45" spans="4:28">
      <c r="N45" s="239"/>
      <c r="O45" s="3"/>
      <c r="P45" s="3"/>
      <c r="Q45" s="3"/>
      <c r="R45" s="3"/>
      <c r="S45" s="3"/>
      <c r="T45" s="3"/>
      <c r="U45" s="3"/>
      <c r="V45" s="3"/>
      <c r="W45" s="3"/>
      <c r="X45" s="3"/>
      <c r="Y45" s="3"/>
      <c r="Z45" s="3"/>
      <c r="AA45" s="3"/>
      <c r="AB45" s="3"/>
    </row>
    <row r="46" spans="4:28">
      <c r="N46" s="239"/>
      <c r="O46" s="3"/>
      <c r="P46" s="3"/>
      <c r="Q46" s="3"/>
      <c r="R46" s="3"/>
      <c r="S46" s="3"/>
      <c r="T46" s="3"/>
      <c r="U46" s="3"/>
      <c r="V46" s="3"/>
      <c r="W46" s="3"/>
      <c r="X46" s="3"/>
      <c r="Y46" s="3"/>
      <c r="Z46" s="3"/>
      <c r="AA46" s="3"/>
      <c r="AB46" s="3"/>
    </row>
    <row r="47" spans="4:28">
      <c r="N47" s="239"/>
      <c r="O47" s="3"/>
      <c r="P47" s="3"/>
      <c r="Q47" s="3"/>
      <c r="R47" s="3"/>
      <c r="S47" s="3"/>
      <c r="T47" s="3"/>
      <c r="U47" s="3"/>
      <c r="V47" s="3"/>
      <c r="W47" s="3"/>
      <c r="X47" s="3"/>
      <c r="Y47" s="3"/>
      <c r="Z47" s="3"/>
      <c r="AA47" s="3"/>
      <c r="AB47" s="3"/>
    </row>
    <row r="48" spans="4:28">
      <c r="N48" s="239"/>
      <c r="O48" s="3"/>
      <c r="P48" s="3"/>
      <c r="Q48" s="3"/>
      <c r="R48" s="3"/>
      <c r="S48" s="3"/>
      <c r="T48" s="3"/>
      <c r="U48" s="3"/>
      <c r="V48" s="3"/>
      <c r="W48" s="3"/>
      <c r="X48" s="3"/>
      <c r="Y48" s="3"/>
      <c r="Z48" s="3"/>
      <c r="AA48" s="3"/>
      <c r="AB48" s="3"/>
    </row>
    <row r="49" spans="14:28">
      <c r="N49" s="239"/>
      <c r="O49" s="3"/>
      <c r="P49" s="3"/>
      <c r="Q49" s="3"/>
      <c r="R49" s="3"/>
      <c r="S49" s="3"/>
      <c r="T49" s="3"/>
      <c r="U49" s="3"/>
      <c r="V49" s="3"/>
      <c r="W49" s="3"/>
      <c r="X49" s="3"/>
      <c r="Y49" s="3"/>
      <c r="Z49" s="3"/>
      <c r="AA49" s="3"/>
      <c r="AB49" s="3"/>
    </row>
    <row r="50" spans="14:28">
      <c r="N50" s="239"/>
      <c r="O50" s="3"/>
      <c r="P50" s="3"/>
      <c r="Q50" s="3"/>
      <c r="R50" s="3"/>
      <c r="S50" s="3"/>
      <c r="T50" s="3"/>
      <c r="U50" s="3"/>
      <c r="V50" s="3"/>
      <c r="W50" s="3"/>
      <c r="X50" s="3"/>
      <c r="Y50" s="3"/>
      <c r="Z50" s="3"/>
      <c r="AA50" s="3"/>
      <c r="AB50" s="3"/>
    </row>
    <row r="51" spans="14:28">
      <c r="N51" s="239"/>
      <c r="O51" s="3"/>
      <c r="P51" s="3"/>
      <c r="Q51" s="3"/>
      <c r="R51" s="3"/>
      <c r="S51" s="3"/>
      <c r="T51" s="3"/>
      <c r="U51" s="3"/>
      <c r="V51" s="3"/>
      <c r="W51" s="3"/>
      <c r="X51" s="3"/>
      <c r="Y51" s="3"/>
      <c r="Z51" s="3"/>
      <c r="AA51" s="3"/>
      <c r="AB51" s="3"/>
    </row>
    <row r="52" spans="14:28">
      <c r="N52" s="239"/>
      <c r="O52" s="3"/>
      <c r="P52" s="3"/>
      <c r="Q52" s="3"/>
      <c r="R52" s="3"/>
      <c r="S52" s="3"/>
      <c r="T52" s="3"/>
      <c r="U52" s="3"/>
      <c r="V52" s="3"/>
      <c r="W52" s="3"/>
      <c r="X52" s="3"/>
      <c r="Y52" s="3"/>
      <c r="Z52" s="3"/>
      <c r="AA52" s="3"/>
      <c r="AB52" s="3"/>
    </row>
    <row r="53" spans="14:28">
      <c r="N53" s="239"/>
      <c r="O53" s="3"/>
      <c r="P53" s="3"/>
      <c r="Q53" s="3"/>
      <c r="R53" s="3"/>
      <c r="S53" s="3"/>
      <c r="T53" s="3"/>
      <c r="U53" s="3"/>
      <c r="V53" s="3"/>
      <c r="W53" s="3"/>
      <c r="X53" s="3"/>
      <c r="Y53" s="3"/>
      <c r="Z53" s="3"/>
      <c r="AA53" s="3"/>
      <c r="AB53" s="3"/>
    </row>
    <row r="54" spans="14:28">
      <c r="N54" s="239"/>
      <c r="O54" s="3"/>
      <c r="P54" s="3"/>
      <c r="Q54" s="3"/>
      <c r="R54" s="3"/>
      <c r="S54" s="3"/>
      <c r="T54" s="3"/>
      <c r="U54" s="3"/>
      <c r="V54" s="3"/>
      <c r="W54" s="3"/>
      <c r="X54" s="3"/>
      <c r="Y54" s="3"/>
      <c r="Z54" s="3"/>
      <c r="AA54" s="3"/>
      <c r="AB54" s="3"/>
    </row>
    <row r="55" spans="14:28">
      <c r="N55" s="239"/>
      <c r="O55" s="3"/>
      <c r="P55" s="3"/>
      <c r="Q55" s="3"/>
      <c r="R55" s="3"/>
      <c r="S55" s="3"/>
      <c r="T55" s="3"/>
      <c r="U55" s="3"/>
      <c r="V55" s="3"/>
      <c r="W55" s="3"/>
      <c r="X55" s="3"/>
      <c r="Y55" s="3"/>
      <c r="Z55" s="3"/>
      <c r="AA55" s="3"/>
      <c r="AB55" s="3"/>
    </row>
    <row r="56" spans="14:28">
      <c r="N56" s="239"/>
      <c r="O56" s="3"/>
      <c r="P56" s="3"/>
      <c r="Q56" s="3"/>
      <c r="R56" s="3"/>
      <c r="S56" s="3"/>
      <c r="T56" s="3"/>
      <c r="U56" s="3"/>
      <c r="V56" s="3"/>
      <c r="W56" s="3"/>
      <c r="X56" s="3"/>
      <c r="Y56" s="3"/>
      <c r="Z56" s="3"/>
      <c r="AA56" s="3"/>
      <c r="AB56" s="3"/>
    </row>
    <row r="57" spans="14:28">
      <c r="N57" s="239"/>
      <c r="O57" s="3"/>
      <c r="P57" s="3"/>
      <c r="Q57" s="3"/>
      <c r="R57" s="3"/>
      <c r="S57" s="3"/>
      <c r="T57" s="3"/>
      <c r="U57" s="3"/>
      <c r="V57" s="3"/>
      <c r="W57" s="3"/>
      <c r="X57" s="3"/>
      <c r="Y57" s="3"/>
      <c r="Z57" s="3"/>
      <c r="AA57" s="3"/>
      <c r="AB57" s="3"/>
    </row>
    <row r="58" spans="14:28">
      <c r="N58" s="239"/>
      <c r="O58" s="3"/>
      <c r="P58" s="3"/>
      <c r="Q58" s="3"/>
      <c r="R58" s="3"/>
      <c r="S58" s="3"/>
      <c r="T58" s="3"/>
      <c r="U58" s="3"/>
      <c r="V58" s="3"/>
      <c r="W58" s="3"/>
      <c r="X58" s="3"/>
      <c r="Y58" s="3"/>
      <c r="Z58" s="3"/>
      <c r="AA58" s="3"/>
      <c r="AB58" s="3"/>
    </row>
    <row r="59" spans="14:28">
      <c r="N59" s="239"/>
      <c r="O59" s="3"/>
      <c r="P59" s="3"/>
      <c r="Q59" s="3"/>
      <c r="R59" s="3"/>
      <c r="S59" s="3"/>
      <c r="T59" s="3"/>
      <c r="U59" s="3"/>
      <c r="V59" s="3"/>
      <c r="W59" s="3"/>
      <c r="X59" s="3"/>
      <c r="Y59" s="3"/>
      <c r="Z59" s="3"/>
      <c r="AA59" s="3"/>
      <c r="AB59" s="3"/>
    </row>
    <row r="60" spans="14:28">
      <c r="N60" s="239"/>
      <c r="O60" s="3"/>
      <c r="P60" s="3"/>
      <c r="Q60" s="3"/>
      <c r="R60" s="3"/>
      <c r="S60" s="3"/>
      <c r="T60" s="3"/>
      <c r="U60" s="3"/>
      <c r="V60" s="3"/>
      <c r="W60" s="3"/>
      <c r="X60" s="3"/>
      <c r="Y60" s="3"/>
      <c r="Z60" s="3"/>
      <c r="AA60" s="3"/>
      <c r="AB60" s="3"/>
    </row>
    <row r="61" spans="14:28">
      <c r="N61" s="239"/>
      <c r="O61" s="3"/>
      <c r="P61" s="3"/>
      <c r="Q61" s="3"/>
      <c r="R61" s="3"/>
      <c r="S61" s="3"/>
      <c r="T61" s="3"/>
      <c r="U61" s="3"/>
      <c r="V61" s="3"/>
      <c r="W61" s="3"/>
      <c r="X61" s="3"/>
      <c r="Y61" s="3"/>
      <c r="Z61" s="3"/>
      <c r="AA61" s="3"/>
      <c r="AB61" s="3"/>
    </row>
  </sheetData>
  <sheetProtection algorithmName="SHA-512" hashValue="BVve3mDDUit7wLpiMfv75fnOp2jkgprKrx8lRsfG/P6uLagfpteiNAa8jnhv2W3IL7u3HF+7pS2eQ58/gQi43Q==" saltValue="szEF296Cyh2Nos2nuciQIg=="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74"/>
  <sheetViews>
    <sheetView zoomScale="70" zoomScaleNormal="70" workbookViewId="0">
      <selection activeCell="A6" sqref="A6"/>
    </sheetView>
  </sheetViews>
  <sheetFormatPr defaultColWidth="8.81640625" defaultRowHeight="12.5"/>
  <cols>
    <col min="1" max="1" width="3" customWidth="1"/>
    <col min="2" max="2" width="6.1796875" customWidth="1"/>
    <col min="3" max="3" width="32.453125" customWidth="1"/>
    <col min="4" max="4" width="7.36328125" customWidth="1"/>
    <col min="5" max="5" width="11" customWidth="1"/>
    <col min="6" max="6" width="12.36328125" customWidth="1"/>
    <col min="7" max="7" width="10.36328125" customWidth="1"/>
    <col min="8" max="8" width="16.81640625" customWidth="1"/>
    <col min="9" max="9" width="12.453125" style="240" customWidth="1"/>
    <col min="10" max="10" width="16" customWidth="1"/>
    <col min="11" max="11" width="11.36328125" customWidth="1"/>
    <col min="12" max="12" width="11.453125" customWidth="1"/>
    <col min="13" max="13" width="10.81640625" style="13" customWidth="1"/>
    <col min="14" max="14" width="9.1796875" style="240"/>
    <col min="15" max="15" width="8" customWidth="1"/>
    <col min="16" max="16" width="5.81640625" customWidth="1"/>
    <col min="17" max="17" width="6" customWidth="1"/>
    <col min="18" max="19" width="7.453125" customWidth="1"/>
    <col min="21" max="21" width="18.453125" customWidth="1"/>
    <col min="22" max="22" width="12.453125" customWidth="1"/>
    <col min="24" max="25" width="9.6328125" customWidth="1"/>
    <col min="26" max="26" width="11.453125" customWidth="1"/>
    <col min="27" max="27" width="18.453125" customWidth="1"/>
    <col min="28" max="28" width="63.453125" customWidth="1"/>
  </cols>
  <sheetData>
    <row r="1" spans="1:28" ht="18">
      <c r="A1" s="1" t="s">
        <v>34</v>
      </c>
      <c r="I1" s="231"/>
      <c r="N1" s="231"/>
    </row>
    <row r="2" spans="1:28" ht="14">
      <c r="A2" s="54" t="s">
        <v>313</v>
      </c>
      <c r="I2" s="231"/>
      <c r="N2" s="231"/>
    </row>
    <row r="3" spans="1:28" s="180" customFormat="1" ht="13">
      <c r="D3" s="181"/>
      <c r="E3" s="181"/>
      <c r="F3" s="181"/>
      <c r="G3" s="181"/>
      <c r="H3" s="181"/>
      <c r="I3" s="258"/>
      <c r="J3" s="181"/>
      <c r="K3" s="181"/>
      <c r="L3" s="181"/>
      <c r="M3" s="182"/>
      <c r="N3" s="258"/>
      <c r="O3" s="181"/>
      <c r="P3" s="111" t="s">
        <v>55</v>
      </c>
      <c r="Q3" s="111"/>
      <c r="R3" s="111"/>
      <c r="S3" s="111"/>
      <c r="T3" s="111"/>
      <c r="U3" s="111"/>
      <c r="V3" s="191" t="s">
        <v>54</v>
      </c>
      <c r="W3" s="56"/>
      <c r="X3" s="56"/>
      <c r="Y3" s="56"/>
      <c r="Z3" s="56"/>
      <c r="AA3" s="56"/>
      <c r="AB3" s="111"/>
    </row>
    <row r="4" spans="1:28" s="186" customFormat="1" ht="52">
      <c r="A4" s="186" t="s">
        <v>52</v>
      </c>
      <c r="B4" s="186" t="s">
        <v>50</v>
      </c>
      <c r="C4" s="136" t="s">
        <v>59</v>
      </c>
      <c r="D4" s="112" t="s">
        <v>153</v>
      </c>
      <c r="E4" s="136" t="s">
        <v>49</v>
      </c>
      <c r="F4" s="139" t="s">
        <v>35</v>
      </c>
      <c r="G4" s="112" t="s">
        <v>37</v>
      </c>
      <c r="H4" s="139" t="s">
        <v>35</v>
      </c>
      <c r="I4" s="245" t="s">
        <v>51</v>
      </c>
      <c r="J4" s="186" t="s">
        <v>35</v>
      </c>
      <c r="K4" s="84" t="s">
        <v>61</v>
      </c>
      <c r="L4" s="139" t="s">
        <v>35</v>
      </c>
      <c r="M4" s="156" t="s">
        <v>280</v>
      </c>
      <c r="N4" s="245" t="s">
        <v>92</v>
      </c>
      <c r="O4" s="139"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274</v>
      </c>
      <c r="C5" s="134" t="s">
        <v>276</v>
      </c>
      <c r="D5" s="111"/>
      <c r="F5" s="128"/>
      <c r="G5" s="76"/>
      <c r="H5" s="128"/>
      <c r="I5" s="247"/>
      <c r="K5" s="189"/>
      <c r="L5" s="128"/>
      <c r="M5" s="135"/>
      <c r="N5" s="247"/>
      <c r="O5" s="128"/>
      <c r="P5" s="127"/>
      <c r="Q5" s="127"/>
      <c r="R5" s="127"/>
      <c r="S5" s="127"/>
      <c r="T5" s="127"/>
      <c r="U5" s="127"/>
      <c r="V5" s="58"/>
      <c r="W5" s="58"/>
      <c r="X5" s="58"/>
      <c r="Y5" s="58"/>
      <c r="Z5" s="58"/>
      <c r="AA5" s="58"/>
      <c r="AB5" s="76"/>
    </row>
    <row r="6" spans="1:28" ht="26">
      <c r="B6" t="s">
        <v>275</v>
      </c>
      <c r="C6" s="12" t="s">
        <v>277</v>
      </c>
      <c r="D6" s="111"/>
      <c r="E6" s="45" t="s">
        <v>273</v>
      </c>
      <c r="F6" s="46" t="s">
        <v>273</v>
      </c>
      <c r="G6" s="188">
        <v>1.0045200000000001</v>
      </c>
      <c r="H6" s="298" t="s">
        <v>444</v>
      </c>
      <c r="I6" s="252">
        <f>'Etape5-Trait.+recyclage déchets'!C9</f>
        <v>0</v>
      </c>
      <c r="J6" s="298" t="s">
        <v>391</v>
      </c>
      <c r="K6" s="189">
        <f>I6*G6</f>
        <v>0</v>
      </c>
      <c r="L6" s="7" t="s">
        <v>353</v>
      </c>
      <c r="M6" s="39" t="s">
        <v>355</v>
      </c>
      <c r="N6" s="439">
        <f>K6</f>
        <v>0</v>
      </c>
      <c r="O6" s="3" t="s">
        <v>36</v>
      </c>
      <c r="P6" s="131">
        <v>2E-3</v>
      </c>
      <c r="Q6" s="131">
        <v>2.3999999999999998E-3</v>
      </c>
      <c r="R6" s="131"/>
      <c r="S6" s="192" t="s">
        <v>273</v>
      </c>
      <c r="T6" s="131"/>
      <c r="U6" s="131">
        <v>1.2E-4</v>
      </c>
      <c r="V6" s="114">
        <f t="shared" ref="V6:AA6" si="0">$N6*P6</f>
        <v>0</v>
      </c>
      <c r="W6" s="114">
        <f t="shared" si="0"/>
        <v>0</v>
      </c>
      <c r="X6" s="114">
        <f t="shared" si="0"/>
        <v>0</v>
      </c>
      <c r="Y6" s="199" t="s">
        <v>273</v>
      </c>
      <c r="Z6" s="114">
        <f t="shared" si="0"/>
        <v>0</v>
      </c>
      <c r="AA6" s="114">
        <f t="shared" si="0"/>
        <v>0</v>
      </c>
      <c r="AB6" s="76"/>
    </row>
    <row r="7" spans="1:28" s="55" customFormat="1" ht="13">
      <c r="B7" s="104"/>
      <c r="C7" s="136"/>
      <c r="D7" s="76"/>
      <c r="G7" s="76"/>
      <c r="I7" s="247"/>
      <c r="K7" s="189"/>
      <c r="M7" s="107"/>
      <c r="N7" s="248"/>
      <c r="P7" s="127"/>
      <c r="Q7" s="127"/>
      <c r="R7" s="127"/>
      <c r="S7" s="127"/>
      <c r="T7" s="127"/>
      <c r="U7" s="127"/>
      <c r="V7" s="114"/>
      <c r="W7" s="114"/>
      <c r="X7" s="114"/>
      <c r="Y7" s="114"/>
      <c r="Z7" s="114"/>
      <c r="AA7" s="114"/>
      <c r="AB7" s="76"/>
    </row>
    <row r="8" spans="1:28" ht="26">
      <c r="A8" s="3"/>
      <c r="B8" s="3" t="s">
        <v>148</v>
      </c>
      <c r="C8" s="12" t="s">
        <v>278</v>
      </c>
      <c r="D8" s="111"/>
      <c r="E8" s="44" t="s">
        <v>436</v>
      </c>
      <c r="F8" s="44" t="s">
        <v>437</v>
      </c>
      <c r="G8" s="127">
        <v>1.1000000000000001</v>
      </c>
      <c r="H8" s="44" t="s">
        <v>437</v>
      </c>
      <c r="I8" s="252">
        <f>'Etape5-Trait.+recyclage déchets'!C10</f>
        <v>0</v>
      </c>
      <c r="J8" s="298" t="s">
        <v>438</v>
      </c>
      <c r="K8" s="189">
        <f>I8*G8/1000</f>
        <v>0</v>
      </c>
      <c r="L8" s="3" t="s">
        <v>36</v>
      </c>
      <c r="M8" s="14"/>
      <c r="N8" s="248">
        <f>K8</f>
        <v>0</v>
      </c>
      <c r="O8" s="3" t="s">
        <v>36</v>
      </c>
      <c r="P8" s="283">
        <v>0.33</v>
      </c>
      <c r="Q8" s="283"/>
      <c r="R8" s="283">
        <v>0.34</v>
      </c>
      <c r="S8" s="283"/>
      <c r="T8" s="283">
        <v>0.33</v>
      </c>
      <c r="U8" s="283"/>
      <c r="V8" s="114">
        <f t="shared" ref="V8:AA8" si="1">$N8*P8</f>
        <v>0</v>
      </c>
      <c r="W8" s="114">
        <f t="shared" si="1"/>
        <v>0</v>
      </c>
      <c r="X8" s="114">
        <f t="shared" si="1"/>
        <v>0</v>
      </c>
      <c r="Y8" s="114">
        <f t="shared" si="1"/>
        <v>0</v>
      </c>
      <c r="Z8" s="114">
        <f t="shared" si="1"/>
        <v>0</v>
      </c>
      <c r="AA8" s="114">
        <f t="shared" si="1"/>
        <v>0</v>
      </c>
      <c r="AB8" s="76"/>
    </row>
    <row r="9" spans="1:28" s="55" customFormat="1" ht="13">
      <c r="A9" s="152"/>
      <c r="B9" s="104"/>
      <c r="C9" s="137"/>
      <c r="D9" s="111"/>
      <c r="E9" s="106"/>
      <c r="F9" s="104"/>
      <c r="G9" s="76"/>
      <c r="H9" s="104"/>
      <c r="I9" s="248"/>
      <c r="K9" s="190"/>
      <c r="L9" s="104"/>
      <c r="M9" s="162"/>
      <c r="N9" s="248"/>
      <c r="O9" s="104"/>
      <c r="P9" s="341"/>
      <c r="Q9" s="341"/>
      <c r="R9" s="341"/>
      <c r="S9" s="341"/>
      <c r="T9" s="341"/>
      <c r="U9" s="341"/>
      <c r="V9" s="114"/>
      <c r="W9" s="114"/>
      <c r="X9" s="114"/>
      <c r="Y9" s="114"/>
      <c r="Z9" s="114"/>
      <c r="AA9" s="114"/>
      <c r="AB9" s="76"/>
    </row>
    <row r="10" spans="1:28" s="128" customFormat="1" ht="13">
      <c r="B10" s="128" t="s">
        <v>148</v>
      </c>
      <c r="C10" s="134" t="s">
        <v>279</v>
      </c>
      <c r="D10" s="111"/>
      <c r="E10" s="187" t="s">
        <v>43</v>
      </c>
      <c r="F10" s="187" t="s">
        <v>43</v>
      </c>
      <c r="G10" s="341">
        <v>0.6</v>
      </c>
      <c r="H10" s="187" t="s">
        <v>43</v>
      </c>
      <c r="I10" s="252"/>
      <c r="J10" s="187" t="s">
        <v>43</v>
      </c>
      <c r="K10" s="189">
        <f>I10*G10/1000</f>
        <v>0</v>
      </c>
      <c r="L10" s="128" t="s">
        <v>36</v>
      </c>
      <c r="M10" s="135"/>
      <c r="N10" s="248">
        <f>K10</f>
        <v>0</v>
      </c>
      <c r="O10" s="128" t="s">
        <v>36</v>
      </c>
      <c r="P10" s="283">
        <v>0.3</v>
      </c>
      <c r="Q10" s="283">
        <v>0.1</v>
      </c>
      <c r="R10" s="283"/>
      <c r="S10" s="283"/>
      <c r="T10" s="283">
        <v>0.3</v>
      </c>
      <c r="U10" s="283">
        <v>0.3</v>
      </c>
      <c r="V10" s="114">
        <f t="shared" ref="V10:AA10" si="2">$N10*P10</f>
        <v>0</v>
      </c>
      <c r="W10" s="114">
        <f t="shared" si="2"/>
        <v>0</v>
      </c>
      <c r="X10" s="114">
        <f t="shared" si="2"/>
        <v>0</v>
      </c>
      <c r="Y10" s="114">
        <f t="shared" si="2"/>
        <v>0</v>
      </c>
      <c r="Z10" s="114">
        <f t="shared" si="2"/>
        <v>0</v>
      </c>
      <c r="AA10" s="114">
        <f t="shared" si="2"/>
        <v>0</v>
      </c>
      <c r="AB10" s="76"/>
    </row>
    <row r="11" spans="1:28" s="3" customFormat="1" ht="13">
      <c r="E11" s="11"/>
      <c r="I11" s="249"/>
      <c r="K11" s="21"/>
      <c r="M11" s="29"/>
      <c r="N11" s="256"/>
      <c r="O11" s="28"/>
      <c r="P11" s="23"/>
      <c r="Q11" s="23"/>
      <c r="R11" s="24"/>
      <c r="S11" s="24"/>
      <c r="T11" s="23"/>
      <c r="V11" s="25"/>
      <c r="W11" s="25"/>
      <c r="X11" s="25"/>
      <c r="Y11" s="25"/>
      <c r="Z11" s="25"/>
      <c r="AA11" s="25"/>
    </row>
    <row r="12" spans="1:28" s="3" customFormat="1" ht="13">
      <c r="C12" s="3" t="s">
        <v>281</v>
      </c>
      <c r="D12" s="3" t="s">
        <v>282</v>
      </c>
      <c r="E12" s="11"/>
      <c r="I12" s="249"/>
      <c r="K12" s="21"/>
      <c r="M12" s="28"/>
      <c r="N12" s="256"/>
      <c r="O12" s="28"/>
      <c r="P12" s="23"/>
      <c r="Q12" s="23"/>
      <c r="R12" s="24"/>
      <c r="S12" s="24"/>
      <c r="T12" s="23"/>
      <c r="V12" s="22"/>
      <c r="W12" s="22"/>
      <c r="X12" s="22"/>
      <c r="Y12" s="22"/>
      <c r="Z12" s="22"/>
      <c r="AA12" s="22"/>
    </row>
    <row r="13" spans="1:28" s="3" customFormat="1" ht="13">
      <c r="D13" s="3" t="s">
        <v>347</v>
      </c>
      <c r="E13" s="11"/>
      <c r="I13" s="249"/>
      <c r="K13" s="21"/>
      <c r="M13" s="28"/>
      <c r="N13" s="256"/>
      <c r="O13" s="28"/>
      <c r="P13" s="23"/>
      <c r="Q13" s="23"/>
      <c r="R13" s="24"/>
      <c r="S13" s="24"/>
      <c r="T13" s="23"/>
      <c r="V13" s="22"/>
      <c r="W13" s="22"/>
      <c r="X13" s="22"/>
      <c r="Y13" s="22"/>
      <c r="Z13" s="22"/>
      <c r="AA13" s="22"/>
    </row>
    <row r="14" spans="1:28" s="3" customFormat="1" ht="13">
      <c r="D14" s="36" t="s">
        <v>354</v>
      </c>
      <c r="E14" s="11"/>
      <c r="I14" s="249"/>
      <c r="K14" s="21"/>
      <c r="M14" s="30"/>
      <c r="N14" s="256"/>
      <c r="O14" s="28"/>
      <c r="P14" s="23"/>
      <c r="Q14" s="23"/>
      <c r="R14" s="24"/>
      <c r="S14" s="24"/>
      <c r="T14" s="23"/>
      <c r="V14" s="22"/>
      <c r="W14" s="22"/>
      <c r="X14" s="22"/>
      <c r="Y14" s="22"/>
      <c r="Z14" s="22"/>
      <c r="AA14" s="22"/>
    </row>
    <row r="15" spans="1:28" s="3" customFormat="1" ht="13">
      <c r="E15" s="11"/>
      <c r="I15" s="249"/>
      <c r="K15" s="21"/>
      <c r="M15" s="30"/>
      <c r="N15" s="256"/>
      <c r="O15" s="28"/>
      <c r="P15" s="23"/>
      <c r="Q15" s="23"/>
      <c r="R15" s="24"/>
      <c r="S15" s="24"/>
      <c r="T15" s="23"/>
      <c r="V15" s="22"/>
      <c r="W15" s="22"/>
      <c r="X15" s="22"/>
      <c r="Y15" s="22"/>
      <c r="Z15" s="22"/>
      <c r="AA15" s="22"/>
    </row>
    <row r="16" spans="1:28" s="3" customFormat="1" ht="13">
      <c r="E16" s="11"/>
      <c r="F16" s="440"/>
      <c r="G16" s="440"/>
      <c r="H16" s="442"/>
      <c r="I16" s="249"/>
      <c r="K16" s="21"/>
      <c r="M16" s="31"/>
      <c r="N16" s="256"/>
      <c r="O16" s="28"/>
      <c r="P16" s="23"/>
      <c r="Q16" s="23"/>
      <c r="R16" s="24"/>
      <c r="S16" s="24"/>
      <c r="T16" s="23"/>
      <c r="V16" s="22"/>
      <c r="W16" s="22"/>
      <c r="X16" s="22"/>
      <c r="Y16" s="22"/>
      <c r="Z16" s="22"/>
      <c r="AA16" s="22"/>
    </row>
    <row r="17" spans="3:27" s="3" customFormat="1" ht="13">
      <c r="C17" s="7"/>
      <c r="D17" s="7"/>
      <c r="E17" s="11"/>
      <c r="F17" s="440"/>
      <c r="G17" s="440"/>
      <c r="H17" s="442"/>
      <c r="I17" s="441"/>
      <c r="K17" s="21"/>
      <c r="M17" s="29"/>
      <c r="N17" s="256"/>
      <c r="O17" s="28"/>
      <c r="P17" s="23"/>
      <c r="Q17" s="23"/>
      <c r="R17" s="24"/>
      <c r="S17" s="24"/>
      <c r="T17" s="23"/>
      <c r="V17" s="25"/>
      <c r="W17" s="25"/>
      <c r="X17" s="25"/>
      <c r="Y17" s="25"/>
      <c r="Z17" s="25"/>
      <c r="AA17" s="25"/>
    </row>
    <row r="18" spans="3:27" s="3" customFormat="1" ht="13">
      <c r="C18" s="7"/>
      <c r="D18" s="7"/>
      <c r="E18" s="11"/>
      <c r="F18" s="440"/>
      <c r="G18" s="440"/>
      <c r="H18" s="442"/>
      <c r="I18" s="441"/>
      <c r="K18" s="21"/>
      <c r="M18" s="29"/>
      <c r="N18" s="256"/>
      <c r="O18" s="28"/>
      <c r="P18" s="23"/>
      <c r="Q18" s="23"/>
      <c r="R18" s="24"/>
      <c r="S18" s="24"/>
      <c r="T18" s="23"/>
      <c r="V18" s="22"/>
      <c r="W18" s="22"/>
      <c r="X18" s="22"/>
      <c r="Y18" s="22"/>
      <c r="Z18" s="22"/>
      <c r="AA18" s="22"/>
    </row>
    <row r="19" spans="3:27" s="3" customFormat="1" ht="13">
      <c r="C19" s="7"/>
      <c r="D19" s="7"/>
      <c r="E19" s="11"/>
      <c r="F19" s="440"/>
      <c r="G19" s="440"/>
      <c r="H19" s="442"/>
      <c r="I19" s="441"/>
      <c r="K19" s="22"/>
      <c r="M19" s="29"/>
      <c r="N19" s="256"/>
      <c r="O19" s="28"/>
      <c r="P19" s="23"/>
      <c r="Q19" s="23"/>
      <c r="R19" s="24"/>
      <c r="S19" s="24"/>
      <c r="T19" s="23"/>
      <c r="V19" s="22"/>
      <c r="W19" s="22"/>
      <c r="X19" s="22"/>
      <c r="Y19" s="22"/>
      <c r="Z19" s="22"/>
      <c r="AA19" s="22"/>
    </row>
    <row r="20" spans="3:27" s="3" customFormat="1" ht="13">
      <c r="E20" s="11"/>
      <c r="F20" s="440"/>
      <c r="G20" s="440"/>
      <c r="H20" s="442"/>
      <c r="I20" s="441"/>
      <c r="K20" s="22"/>
      <c r="M20" s="29"/>
      <c r="N20" s="256"/>
      <c r="O20" s="28"/>
      <c r="P20" s="23"/>
      <c r="Q20" s="23"/>
      <c r="R20" s="24"/>
      <c r="S20" s="24"/>
      <c r="T20" s="23"/>
      <c r="V20" s="22"/>
      <c r="W20" s="22"/>
      <c r="X20" s="22"/>
      <c r="Y20" s="22"/>
      <c r="Z20" s="22"/>
      <c r="AA20" s="22"/>
    </row>
    <row r="21" spans="3:27" s="3" customFormat="1" ht="13">
      <c r="E21" s="11"/>
      <c r="F21" s="440"/>
      <c r="G21" s="440"/>
      <c r="H21" s="440"/>
      <c r="I21" s="441"/>
      <c r="K21" s="22"/>
      <c r="M21" s="30"/>
      <c r="N21" s="256"/>
      <c r="O21" s="28"/>
      <c r="P21" s="23"/>
      <c r="Q21" s="23"/>
      <c r="R21" s="24"/>
      <c r="S21" s="24"/>
      <c r="T21" s="23"/>
      <c r="V21" s="22"/>
      <c r="W21" s="22"/>
      <c r="X21" s="22"/>
      <c r="Y21" s="22"/>
      <c r="Z21" s="22"/>
      <c r="AA21" s="22"/>
    </row>
    <row r="22" spans="3:27" s="3" customFormat="1" ht="13">
      <c r="E22" s="11"/>
      <c r="I22" s="249"/>
      <c r="K22" s="22"/>
      <c r="M22" s="30"/>
      <c r="N22" s="256"/>
      <c r="O22" s="28"/>
      <c r="P22" s="23"/>
      <c r="Q22" s="23"/>
      <c r="R22" s="24"/>
      <c r="S22" s="24"/>
      <c r="T22" s="23"/>
      <c r="V22" s="22"/>
      <c r="W22" s="22"/>
      <c r="X22" s="22"/>
      <c r="Y22" s="22"/>
      <c r="Z22" s="22"/>
      <c r="AA22" s="22"/>
    </row>
    <row r="23" spans="3:27" s="3" customFormat="1" ht="13">
      <c r="C23" s="7"/>
      <c r="D23" s="7"/>
      <c r="E23" s="11"/>
      <c r="I23" s="249"/>
      <c r="K23" s="22"/>
      <c r="M23" s="31"/>
      <c r="N23" s="256"/>
      <c r="O23" s="28"/>
      <c r="P23" s="23"/>
      <c r="Q23" s="23"/>
      <c r="R23" s="24"/>
      <c r="S23" s="24"/>
      <c r="T23" s="23"/>
      <c r="V23" s="22"/>
      <c r="W23" s="22"/>
      <c r="X23" s="22"/>
      <c r="Y23" s="22"/>
      <c r="Z23" s="22"/>
      <c r="AA23" s="22"/>
    </row>
    <row r="24" spans="3:27" s="3" customFormat="1" ht="13">
      <c r="C24" s="26"/>
      <c r="D24" s="26"/>
      <c r="E24" s="11"/>
      <c r="I24" s="249"/>
      <c r="K24" s="22"/>
      <c r="M24" s="29"/>
      <c r="N24" s="256"/>
      <c r="O24" s="28"/>
      <c r="P24" s="23"/>
      <c r="Q24" s="23"/>
      <c r="R24" s="24"/>
      <c r="S24" s="24"/>
      <c r="T24" s="23"/>
      <c r="V24" s="22"/>
      <c r="W24" s="22"/>
      <c r="X24" s="22"/>
      <c r="Y24" s="22"/>
      <c r="Z24" s="22"/>
      <c r="AA24" s="22"/>
    </row>
    <row r="25" spans="3:27" s="3" customFormat="1" ht="13">
      <c r="E25" s="11"/>
      <c r="I25" s="249"/>
      <c r="K25" s="22"/>
      <c r="M25" s="29"/>
      <c r="N25" s="256"/>
      <c r="O25" s="28"/>
      <c r="P25" s="23"/>
      <c r="Q25" s="23"/>
      <c r="R25" s="24"/>
      <c r="S25" s="24"/>
      <c r="T25" s="23"/>
      <c r="V25" s="22"/>
      <c r="W25" s="22"/>
      <c r="X25" s="22"/>
      <c r="Y25" s="22"/>
      <c r="Z25" s="22"/>
      <c r="AA25" s="22"/>
    </row>
    <row r="26" spans="3:27" s="3" customFormat="1" ht="13">
      <c r="E26" s="11"/>
      <c r="I26" s="249"/>
      <c r="K26" s="22"/>
      <c r="M26" s="29"/>
      <c r="N26" s="256"/>
      <c r="O26" s="28"/>
      <c r="P26" s="23"/>
      <c r="Q26" s="23"/>
      <c r="R26" s="24"/>
      <c r="S26" s="24"/>
      <c r="T26" s="23"/>
      <c r="V26" s="22"/>
      <c r="W26" s="22"/>
      <c r="X26" s="22"/>
      <c r="Y26" s="22"/>
      <c r="Z26" s="22"/>
      <c r="AA26" s="22"/>
    </row>
    <row r="27" spans="3:27" s="3" customFormat="1" ht="13">
      <c r="E27" s="11"/>
      <c r="I27" s="249"/>
      <c r="K27" s="22"/>
      <c r="M27" s="28"/>
      <c r="N27" s="256"/>
      <c r="O27" s="28"/>
      <c r="P27" s="23"/>
      <c r="Q27" s="23"/>
      <c r="R27" s="24"/>
      <c r="S27" s="24"/>
      <c r="T27" s="23"/>
      <c r="V27" s="22"/>
      <c r="W27" s="22"/>
      <c r="X27" s="22"/>
      <c r="Y27" s="22"/>
      <c r="Z27" s="22"/>
      <c r="AA27" s="22"/>
    </row>
    <row r="28" spans="3:27" s="3" customFormat="1" ht="13">
      <c r="E28" s="11"/>
      <c r="I28" s="249"/>
      <c r="K28" s="21"/>
      <c r="M28" s="29"/>
      <c r="N28" s="256"/>
      <c r="O28" s="28"/>
      <c r="P28" s="23"/>
      <c r="Q28" s="23"/>
      <c r="R28" s="24"/>
      <c r="S28" s="24"/>
      <c r="T28" s="23"/>
      <c r="V28" s="22"/>
      <c r="W28" s="22"/>
      <c r="X28" s="22"/>
      <c r="Y28" s="22"/>
      <c r="Z28" s="22"/>
      <c r="AA28" s="22"/>
    </row>
    <row r="29" spans="3:27" s="3" customFormat="1" ht="13">
      <c r="E29" s="11"/>
      <c r="I29" s="249"/>
      <c r="K29" s="21"/>
      <c r="M29" s="29"/>
      <c r="N29" s="256"/>
      <c r="O29" s="28"/>
      <c r="P29" s="23"/>
      <c r="Q29" s="23"/>
      <c r="R29" s="24"/>
      <c r="S29" s="24"/>
      <c r="T29" s="23"/>
      <c r="V29" s="22"/>
      <c r="W29" s="22"/>
      <c r="X29" s="22"/>
      <c r="Y29" s="22"/>
      <c r="Z29" s="22"/>
      <c r="AA29" s="22"/>
    </row>
    <row r="30" spans="3:27" s="3" customFormat="1" ht="13">
      <c r="C30" s="7"/>
      <c r="D30" s="7"/>
      <c r="E30" s="11"/>
      <c r="I30" s="249"/>
      <c r="K30" s="21"/>
      <c r="M30" s="29"/>
      <c r="N30" s="256"/>
      <c r="O30" s="28"/>
      <c r="P30" s="23"/>
      <c r="Q30" s="23"/>
      <c r="R30" s="24"/>
      <c r="S30" s="24"/>
      <c r="T30" s="23"/>
      <c r="V30" s="25"/>
      <c r="W30" s="25"/>
      <c r="X30" s="25"/>
      <c r="Y30" s="25"/>
      <c r="Z30" s="25"/>
      <c r="AA30" s="25"/>
    </row>
    <row r="31" spans="3:27" s="3" customFormat="1" ht="13">
      <c r="C31" s="7"/>
      <c r="D31" s="7"/>
      <c r="E31" s="11"/>
      <c r="I31" s="249"/>
      <c r="K31" s="21"/>
      <c r="M31" s="30"/>
      <c r="N31" s="256"/>
      <c r="O31" s="28"/>
      <c r="P31" s="23"/>
      <c r="Q31" s="23"/>
      <c r="R31" s="23"/>
      <c r="S31" s="23"/>
      <c r="T31" s="23"/>
      <c r="U31" s="23"/>
      <c r="V31" s="22"/>
      <c r="W31" s="22"/>
      <c r="X31" s="22"/>
      <c r="Y31" s="22"/>
      <c r="Z31" s="22"/>
      <c r="AA31" s="22"/>
    </row>
    <row r="32" spans="3:27" s="3" customFormat="1" ht="13">
      <c r="C32" s="7"/>
      <c r="D32" s="7"/>
      <c r="E32" s="11"/>
      <c r="I32" s="249"/>
      <c r="K32" s="21"/>
      <c r="M32" s="30"/>
      <c r="N32" s="256"/>
      <c r="O32" s="28"/>
      <c r="P32" s="23"/>
      <c r="Q32" s="23"/>
      <c r="R32" s="24"/>
      <c r="S32" s="24"/>
      <c r="T32" s="23"/>
      <c r="V32" s="22"/>
      <c r="W32" s="22"/>
      <c r="X32" s="22"/>
      <c r="Y32" s="22"/>
      <c r="Z32" s="22"/>
      <c r="AA32" s="22"/>
    </row>
    <row r="33" spans="3:27" s="3" customFormat="1" ht="13">
      <c r="C33" s="7"/>
      <c r="D33" s="7"/>
      <c r="E33" s="11"/>
      <c r="I33" s="249"/>
      <c r="K33" s="21"/>
      <c r="M33" s="29"/>
      <c r="N33" s="256"/>
      <c r="O33" s="28"/>
      <c r="P33" s="23"/>
      <c r="Q33" s="23"/>
      <c r="R33" s="24"/>
      <c r="S33" s="24"/>
      <c r="T33" s="23"/>
      <c r="V33" s="22"/>
      <c r="W33" s="22"/>
      <c r="X33" s="22"/>
      <c r="Y33" s="22"/>
      <c r="Z33" s="22"/>
      <c r="AA33" s="22"/>
    </row>
    <row r="34" spans="3:27" s="3" customFormat="1" ht="13">
      <c r="E34" s="11"/>
      <c r="I34" s="249"/>
      <c r="K34" s="21"/>
      <c r="M34" s="29"/>
      <c r="N34" s="256"/>
      <c r="O34" s="28"/>
      <c r="P34" s="23"/>
      <c r="Q34" s="23"/>
      <c r="R34" s="24"/>
      <c r="S34" s="24"/>
      <c r="T34" s="23"/>
      <c r="V34" s="22"/>
      <c r="W34" s="22"/>
      <c r="X34" s="22"/>
      <c r="Y34" s="22"/>
      <c r="Z34" s="22"/>
      <c r="AA34" s="22"/>
    </row>
    <row r="35" spans="3:27" s="3" customFormat="1" ht="13">
      <c r="E35" s="11"/>
      <c r="I35" s="249"/>
      <c r="K35" s="21"/>
      <c r="M35" s="29"/>
      <c r="N35" s="256"/>
      <c r="O35" s="28"/>
      <c r="P35" s="23"/>
      <c r="Q35" s="23"/>
      <c r="R35" s="24"/>
      <c r="S35" s="24"/>
      <c r="T35" s="23"/>
      <c r="V35" s="22"/>
      <c r="W35" s="22"/>
      <c r="X35" s="22"/>
      <c r="Y35" s="22"/>
      <c r="Z35" s="22"/>
      <c r="AA35" s="22"/>
    </row>
    <row r="36" spans="3:27" s="3" customFormat="1" ht="13">
      <c r="C36" s="7"/>
      <c r="D36" s="7"/>
      <c r="E36" s="11"/>
      <c r="I36" s="249"/>
      <c r="K36" s="21"/>
      <c r="M36" s="28"/>
      <c r="N36" s="256"/>
      <c r="O36" s="28"/>
      <c r="P36" s="23"/>
      <c r="Q36" s="23"/>
      <c r="R36" s="24"/>
      <c r="S36" s="24"/>
      <c r="T36" s="23"/>
      <c r="V36" s="25"/>
      <c r="W36" s="25"/>
      <c r="X36" s="25"/>
      <c r="Y36" s="25"/>
      <c r="Z36" s="25"/>
      <c r="AA36" s="25"/>
    </row>
    <row r="37" spans="3:27" s="3" customFormat="1" ht="13">
      <c r="C37" s="7"/>
      <c r="D37" s="7"/>
      <c r="E37" s="11"/>
      <c r="I37" s="249"/>
      <c r="K37" s="21"/>
      <c r="M37" s="28"/>
      <c r="N37" s="256"/>
      <c r="O37" s="28"/>
      <c r="P37" s="23"/>
      <c r="Q37" s="23"/>
      <c r="R37" s="24"/>
      <c r="S37" s="24"/>
      <c r="T37" s="23"/>
      <c r="V37" s="22"/>
      <c r="W37" s="22"/>
      <c r="X37" s="22"/>
      <c r="Y37" s="22"/>
      <c r="Z37" s="22"/>
      <c r="AA37" s="22"/>
    </row>
    <row r="38" spans="3:27" s="3" customFormat="1" ht="13">
      <c r="C38" s="7"/>
      <c r="D38" s="7"/>
      <c r="I38" s="239"/>
      <c r="M38" s="31"/>
      <c r="N38" s="256"/>
      <c r="O38" s="28"/>
      <c r="P38" s="23"/>
      <c r="Q38" s="23"/>
      <c r="R38" s="24"/>
      <c r="S38" s="24"/>
      <c r="T38" s="23"/>
      <c r="V38" s="22"/>
      <c r="W38" s="22"/>
      <c r="X38" s="22"/>
      <c r="Y38" s="22"/>
      <c r="Z38" s="22"/>
      <c r="AA38" s="22"/>
    </row>
    <row r="39" spans="3:27" s="3" customFormat="1" ht="13">
      <c r="C39" s="7"/>
      <c r="D39" s="7"/>
      <c r="I39" s="239"/>
      <c r="M39" s="29"/>
      <c r="N39" s="256"/>
      <c r="O39" s="28"/>
    </row>
    <row r="40" spans="3:27" s="3" customFormat="1" ht="13">
      <c r="I40" s="239"/>
      <c r="M40" s="29"/>
      <c r="N40" s="256"/>
      <c r="O40" s="28"/>
    </row>
    <row r="41" spans="3:27" s="3" customFormat="1" ht="13">
      <c r="I41" s="239"/>
      <c r="M41" s="29"/>
      <c r="N41" s="256"/>
      <c r="O41" s="28"/>
    </row>
    <row r="42" spans="3:27" s="3" customFormat="1" ht="13">
      <c r="C42" s="7"/>
      <c r="D42" s="7"/>
      <c r="I42" s="239"/>
      <c r="M42" s="28"/>
      <c r="N42" s="256"/>
      <c r="O42" s="28"/>
    </row>
    <row r="43" spans="3:27" s="3" customFormat="1">
      <c r="I43" s="239"/>
      <c r="M43" s="28"/>
      <c r="N43" s="256"/>
      <c r="O43" s="28"/>
    </row>
    <row r="44" spans="3:27" s="3" customFormat="1">
      <c r="I44" s="239"/>
      <c r="M44" s="28"/>
      <c r="N44" s="256"/>
      <c r="O44" s="28"/>
    </row>
    <row r="45" spans="3:27" s="3" customFormat="1" ht="13">
      <c r="I45" s="239"/>
      <c r="M45" s="30"/>
      <c r="N45" s="256"/>
      <c r="O45" s="28"/>
    </row>
    <row r="46" spans="3:27" s="3" customFormat="1" ht="13">
      <c r="C46" s="7"/>
      <c r="D46" s="7"/>
      <c r="I46" s="239"/>
      <c r="M46" s="30"/>
      <c r="N46" s="256"/>
      <c r="O46" s="28"/>
    </row>
    <row r="47" spans="3:27" s="3" customFormat="1" ht="13">
      <c r="I47" s="239"/>
      <c r="M47" s="31"/>
      <c r="N47" s="256"/>
      <c r="O47" s="28"/>
    </row>
    <row r="48" spans="3:27" s="3" customFormat="1" ht="13">
      <c r="I48" s="239"/>
      <c r="M48" s="31"/>
      <c r="N48" s="256"/>
      <c r="O48" s="28"/>
    </row>
    <row r="49" spans="9:15" s="3" customFormat="1" ht="13">
      <c r="I49" s="239"/>
      <c r="M49" s="30"/>
      <c r="N49" s="256"/>
      <c r="O49" s="28"/>
    </row>
    <row r="50" spans="9:15" s="3" customFormat="1" ht="13">
      <c r="I50" s="239"/>
      <c r="M50" s="30"/>
      <c r="N50" s="256"/>
      <c r="O50" s="28"/>
    </row>
    <row r="51" spans="9:15" s="3" customFormat="1" ht="13">
      <c r="I51" s="239"/>
      <c r="M51" s="31"/>
      <c r="N51" s="256"/>
      <c r="O51" s="17"/>
    </row>
    <row r="52" spans="9:15" s="3" customFormat="1" ht="13">
      <c r="I52" s="239"/>
      <c r="M52" s="31"/>
      <c r="N52" s="256"/>
      <c r="O52" s="28"/>
    </row>
    <row r="53" spans="9:15" s="3" customFormat="1" ht="13">
      <c r="I53" s="239"/>
      <c r="M53" s="30"/>
      <c r="N53" s="256"/>
      <c r="O53" s="28"/>
    </row>
    <row r="54" spans="9:15" s="3" customFormat="1" ht="13">
      <c r="I54" s="239"/>
      <c r="M54" s="30"/>
      <c r="N54" s="256"/>
      <c r="O54" s="28"/>
    </row>
    <row r="55" spans="9:15" s="3" customFormat="1" ht="13">
      <c r="I55" s="239"/>
      <c r="M55" s="31"/>
      <c r="N55" s="256"/>
      <c r="O55" s="17"/>
    </row>
    <row r="56" spans="9:15" s="3" customFormat="1" ht="13">
      <c r="I56" s="239"/>
      <c r="M56" s="31"/>
      <c r="N56" s="257"/>
      <c r="O56" s="28"/>
    </row>
    <row r="57" spans="9:15" s="3" customFormat="1" ht="13">
      <c r="I57" s="239"/>
      <c r="M57" s="31"/>
      <c r="N57" s="257"/>
      <c r="O57" s="28"/>
    </row>
    <row r="58" spans="9:15" s="3" customFormat="1" ht="13">
      <c r="I58" s="239"/>
      <c r="M58" s="31"/>
      <c r="N58" s="257"/>
      <c r="O58" s="28"/>
    </row>
    <row r="59" spans="9:15" s="3" customFormat="1" ht="13">
      <c r="I59" s="239"/>
      <c r="M59" s="31"/>
      <c r="N59" s="257"/>
      <c r="O59" s="28"/>
    </row>
    <row r="60" spans="9:15" s="3" customFormat="1" ht="13">
      <c r="I60" s="239"/>
      <c r="M60" s="31"/>
      <c r="N60" s="257"/>
      <c r="O60" s="28"/>
    </row>
    <row r="61" spans="9:15" s="3" customFormat="1" ht="13">
      <c r="I61" s="239"/>
      <c r="M61" s="31"/>
      <c r="N61" s="257"/>
      <c r="O61" s="28"/>
    </row>
    <row r="62" spans="9:15" s="3" customFormat="1" ht="13">
      <c r="I62" s="239"/>
      <c r="M62" s="31"/>
      <c r="N62" s="257"/>
      <c r="O62" s="28"/>
    </row>
    <row r="63" spans="9:15" s="3" customFormat="1" ht="13">
      <c r="I63" s="239"/>
      <c r="M63" s="31"/>
      <c r="N63" s="257"/>
      <c r="O63" s="28"/>
    </row>
    <row r="64" spans="9:15" s="3" customFormat="1" ht="13">
      <c r="I64" s="239"/>
      <c r="M64" s="29"/>
      <c r="N64" s="257"/>
      <c r="O64" s="28"/>
    </row>
    <row r="65" spans="3:15" s="3" customFormat="1" ht="13">
      <c r="I65" s="239"/>
      <c r="M65" s="29"/>
      <c r="N65" s="257"/>
      <c r="O65" s="28"/>
    </row>
    <row r="66" spans="3:15" s="3" customFormat="1" ht="13">
      <c r="C66" s="7"/>
      <c r="D66" s="7"/>
      <c r="I66" s="239"/>
      <c r="M66" s="29"/>
      <c r="N66" s="257"/>
      <c r="O66" s="28"/>
    </row>
    <row r="67" spans="3:15" s="3" customFormat="1">
      <c r="I67" s="239"/>
      <c r="M67" s="28"/>
      <c r="N67" s="257"/>
      <c r="O67" s="28"/>
    </row>
    <row r="68" spans="3:15" s="3" customFormat="1">
      <c r="I68" s="239"/>
      <c r="M68" s="28"/>
      <c r="N68" s="257"/>
      <c r="O68" s="28"/>
    </row>
    <row r="69" spans="3:15">
      <c r="M69" s="28"/>
      <c r="N69" s="257"/>
      <c r="O69" s="28"/>
    </row>
    <row r="70" spans="3:15" ht="13">
      <c r="M70" s="30"/>
      <c r="N70" s="257"/>
      <c r="O70" s="28"/>
    </row>
    <row r="71" spans="3:15" ht="13">
      <c r="M71" s="30"/>
      <c r="N71" s="256"/>
      <c r="O71" s="28"/>
    </row>
    <row r="72" spans="3:15">
      <c r="M72" s="28"/>
      <c r="N72" s="257"/>
      <c r="O72" s="28"/>
    </row>
    <row r="73" spans="3:15">
      <c r="M73" s="28"/>
      <c r="N73" s="257"/>
      <c r="O73" s="28"/>
    </row>
    <row r="74" spans="3:15">
      <c r="M74" s="28"/>
      <c r="N74" s="257"/>
      <c r="O74" s="28"/>
    </row>
  </sheetData>
  <sheetProtection algorithmName="SHA-512" hashValue="NratOqEs0+VgItuDDiuiZJRqXmtFML4KH+lYxtPzJsyu3z2e3Vrf0cNmyh6fhkbgCXfA5N39MPziu/pbaZhZQw==" saltValue="sQ/w3hzzDFbWlpAXRs3NA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P53"/>
  <sheetViews>
    <sheetView workbookViewId="0">
      <selection activeCell="B49" sqref="B49"/>
    </sheetView>
  </sheetViews>
  <sheetFormatPr defaultColWidth="9.1796875" defaultRowHeight="12.5"/>
  <cols>
    <col min="1" max="1" width="39.81640625" style="338" customWidth="1"/>
    <col min="2" max="2" width="11.81640625" style="359" customWidth="1"/>
    <col min="3" max="3" width="12.81640625" style="338" customWidth="1"/>
    <col min="4" max="5" width="29.36328125" style="338" customWidth="1"/>
    <col min="6" max="6" width="15" style="401" customWidth="1"/>
    <col min="7" max="7" width="13.1796875" style="338" customWidth="1"/>
    <col min="8" max="8" width="13.36328125" style="338" customWidth="1"/>
    <col min="9" max="9" width="12.81640625" style="338" customWidth="1"/>
    <col min="10" max="11" width="14.453125" style="338" customWidth="1"/>
    <col min="12" max="12" width="16.1796875" style="338" customWidth="1"/>
    <col min="13" max="13" width="8" style="338" customWidth="1"/>
    <col min="14" max="14" width="9.1796875" style="338"/>
    <col min="15" max="15" width="9.1796875" style="338" hidden="1" customWidth="1"/>
    <col min="16" max="16384" width="9.1796875" style="338"/>
  </cols>
  <sheetData>
    <row r="1" spans="1:16" ht="13">
      <c r="A1" s="386" t="s">
        <v>963</v>
      </c>
      <c r="B1" s="488"/>
    </row>
    <row r="2" spans="1:16" ht="30" customHeight="1">
      <c r="A2" s="816" t="str">
        <f>IF(ISNA(MATCH("n",O7:O48,0)),"", trans_warning)</f>
        <v/>
      </c>
      <c r="B2" s="817"/>
      <c r="C2" s="817"/>
      <c r="D2" s="817"/>
      <c r="E2" s="817"/>
      <c r="F2" s="817"/>
      <c r="G2" s="817"/>
      <c r="H2" s="817"/>
      <c r="I2" s="817"/>
      <c r="J2" s="817"/>
      <c r="K2" s="817"/>
      <c r="L2" s="817"/>
      <c r="M2" s="818"/>
    </row>
    <row r="3" spans="1:16" s="360" customFormat="1" ht="25.5" customHeight="1">
      <c r="A3" s="744" t="s">
        <v>867</v>
      </c>
      <c r="B3" s="765" t="s">
        <v>868</v>
      </c>
      <c r="C3" s="765" t="s">
        <v>869</v>
      </c>
      <c r="D3" s="744"/>
      <c r="E3" s="746"/>
      <c r="F3" s="753" t="s">
        <v>874</v>
      </c>
      <c r="G3" s="813" t="s">
        <v>875</v>
      </c>
      <c r="H3" s="814"/>
      <c r="I3" s="814"/>
      <c r="J3" s="814"/>
      <c r="K3" s="814"/>
      <c r="L3" s="815"/>
      <c r="M3" s="744"/>
    </row>
    <row r="4" spans="1:16" ht="52">
      <c r="A4" s="744"/>
      <c r="B4" s="750" t="s">
        <v>871</v>
      </c>
      <c r="C4" s="765" t="s">
        <v>969</v>
      </c>
      <c r="D4" s="765" t="s">
        <v>873</v>
      </c>
      <c r="E4" s="748" t="s">
        <v>799</v>
      </c>
      <c r="F4" s="754" t="s">
        <v>876</v>
      </c>
      <c r="G4" s="749" t="s">
        <v>38</v>
      </c>
      <c r="H4" s="749" t="s">
        <v>877</v>
      </c>
      <c r="I4" s="749" t="s">
        <v>878</v>
      </c>
      <c r="J4" s="765" t="s">
        <v>879</v>
      </c>
      <c r="K4" s="765" t="s">
        <v>880</v>
      </c>
      <c r="L4" s="765" t="s">
        <v>970</v>
      </c>
      <c r="M4" s="744" t="s">
        <v>359</v>
      </c>
      <c r="N4" s="620" t="s">
        <v>1151</v>
      </c>
    </row>
    <row r="5" spans="1:16" ht="33.75" customHeight="1">
      <c r="A5" s="265"/>
      <c r="B5" s="343"/>
      <c r="C5" s="264"/>
      <c r="D5" s="733"/>
      <c r="E5" s="272"/>
      <c r="F5" s="821" t="s">
        <v>971</v>
      </c>
      <c r="G5" s="826" t="str">
        <f>IF('Etape5-Trait.+recyclage déchets'!B4=yes,trans1,IF('Etape5-Trait.+recyclage déchets'!B4=no,trans2,trans3))</f>
        <v>Moins des 2/3 (deux tiers ; 67%) des déchets généraux sont collectés et déposés sur des décharges à épandage contrôlé ou incinérés avec une réduction de la pollution</v>
      </c>
      <c r="H5" s="827"/>
      <c r="I5" s="827"/>
      <c r="J5" s="827"/>
      <c r="K5" s="827"/>
      <c r="L5" s="827"/>
      <c r="M5" s="828"/>
      <c r="N5" s="782"/>
      <c r="O5" s="232"/>
      <c r="P5" s="232"/>
    </row>
    <row r="6" spans="1:16" ht="49.5" customHeight="1" thickBot="1">
      <c r="A6" s="265" t="s">
        <v>964</v>
      </c>
      <c r="B6" s="411"/>
      <c r="C6" s="393"/>
      <c r="D6" s="272"/>
      <c r="E6" s="344"/>
      <c r="F6" s="822"/>
      <c r="G6" s="823" t="str">
        <f>IF('Etape5-Trait.+recyclage déchets'!E4=yes,trans4,IF('Etape5-Trait.+recyclage déchets'!E4=no,trans5,trans3))</f>
        <v>Moins d'un tiers (33%) des déchets des  produits contenant du mercure sont collectés et traités séparément?</v>
      </c>
      <c r="H6" s="824"/>
      <c r="I6" s="824"/>
      <c r="J6" s="824"/>
      <c r="K6" s="824"/>
      <c r="L6" s="824"/>
      <c r="M6" s="825"/>
      <c r="N6" s="459"/>
      <c r="O6" s="322"/>
    </row>
    <row r="7" spans="1:16" ht="13.5" thickBot="1">
      <c r="A7" s="409" t="s">
        <v>965</v>
      </c>
      <c r="B7" s="412"/>
      <c r="C7" s="410"/>
      <c r="D7" s="273"/>
      <c r="E7" s="695"/>
      <c r="F7" s="456" t="str">
        <f>IF(AND($B7&lt;&gt;no,$B7&lt;&gt;yes,$B7&lt;&gt;que),pres,IF($B7=yes,'5-6 Other int use'!K7,IF($B7=no,"-",IF($B7=que,que,pres))))</f>
        <v>Présent ?</v>
      </c>
      <c r="G7" s="741" t="str">
        <f>IF($F7=pres,pres,IF(OR('Etape5-Trait.+recyclage déchets'!$B$4=yes,'Etape5-Trait.+recyclage déchets'!$B$4=no),IF(OR($B7=yes,$B7=yes,$B7=yes,),'5-6 Other int use'!V6, IF(AND($B7=no,$B7=no,$B7=no),"-", IF(OR($B7=que,$B7=que,$B7=que),que, pres))),_SeF4))</f>
        <v>Présent ?</v>
      </c>
      <c r="H7" s="741" t="str">
        <f>IF($F7=pres,pres,IF(OR('Etape5-Trait.+recyclage déchets'!$B$4=yes,'Etape5-Trait.+recyclage déchets'!$B$4=no),IF(OR($B7=yes,$B7=yes,$B7=yes,),'5-6 Other int use'!W6, IF(AND($B7=no,$B7=no,$B7=no),"-", IF(OR($B7=que,$B7=que,$B7=que),que, pres))),_SeF4))</f>
        <v>Présent ?</v>
      </c>
      <c r="I7" s="741" t="str">
        <f>IF($F7=pres,pres,IF(OR('Etape5-Trait.+recyclage déchets'!$B$4=yes,'Etape5-Trait.+recyclage déchets'!$B$4=no),IF(OR($B7=yes,$B7=yes,$B7=yes,),'5-6 Other int use'!X6, IF(AND($B7=no,$B7=no,$B7=no),"-", IF(OR($B7=que,$B7=que,$B7=que),que, pres))),_SeF4))</f>
        <v>Présent ?</v>
      </c>
      <c r="J7" s="741" t="str">
        <f>IF($F7=pres,pres,IF(OR('Etape5-Trait.+recyclage déchets'!$B$4=yes,'Etape5-Trait.+recyclage déchets'!$B$4=no),IF(OR($B7=yes,$B7=yes,$B7=yes,),'5-6 Other int use'!Y6, IF(AND($B7=no,$B7=no,$B7=no),"-", IF(OR($B7=que,$B7=que,$B7=que),que, pres))),_SeF4))</f>
        <v>Présent ?</v>
      </c>
      <c r="K7" s="741" t="str">
        <f>IF($F7=pres,pres,IF(OR('Etape5-Trait.+recyclage déchets'!$B$4=yes,'Etape5-Trait.+recyclage déchets'!$B$4=no),IF(OR($B7=yes,$B7=yes,$B7=yes,),'5-6 Other int use'!Z6, IF(AND($B7=no,$B7=no,$B7=no),"-", IF(OR($B7=que,$B7=que,$B7=que),que, pres))),_SeF4))</f>
        <v>Présent ?</v>
      </c>
      <c r="L7" s="741" t="str">
        <f>IF($F7=pres,pres,IF(OR('Etape5-Trait.+recyclage déchets'!$B$4=yes,'Etape5-Trait.+recyclage déchets'!$B$4=no),IF(OR($B7=yes,$B7=yes,$B7=yes,),'5-6 Other int use'!AA6, IF(AND($B7=no,$B7=no,$B7=no),"-", IF(OR($B7=que,$B7=que,$B7=que),que, pres))),_SeF4))</f>
        <v>Présent ?</v>
      </c>
      <c r="M7" s="273" t="s">
        <v>212</v>
      </c>
      <c r="N7" s="459"/>
      <c r="O7" s="338" t="str">
        <f>INDEX('Range-thresholds'!$G$6:$G$73,MATCH(A7,'Range-thresholds'!$A$6:$A$73,0))</f>
        <v/>
      </c>
    </row>
    <row r="8" spans="1:16" ht="25">
      <c r="A8" s="367" t="s">
        <v>966</v>
      </c>
      <c r="B8" s="417"/>
      <c r="C8" s="418">
        <f>'Etape 1-Données pays'!$B$6</f>
        <v>0</v>
      </c>
      <c r="D8" s="273" t="s">
        <v>972</v>
      </c>
      <c r="E8" s="273"/>
      <c r="F8" s="452"/>
      <c r="G8" s="404" t="str">
        <f>IF(OR('Etape5-Trait.+recyclage déchets'!$B$4=yes,'Etape5-Trait.+recyclage déchets'!$B$4=no),IF($B$7=yes,'5-6 Other int use'!V7, IF($B$7=no,"-", IF($B$7=que,que, pres))),_SeF4)</f>
        <v>Présent ?</v>
      </c>
      <c r="H8" s="404" t="str">
        <f>IF(OR('Etape5-Trait.+recyclage déchets'!$B$4=yes,'Etape5-Trait.+recyclage déchets'!$B$4=no),IF($B$7=yes,'5-6 Other int use'!W7, IF($B$7=no,"-", IF($B$7=que,que, pres))),_SeF4)</f>
        <v>Présent ?</v>
      </c>
      <c r="I8" s="404" t="str">
        <f>IF(OR('Etape5-Trait.+recyclage déchets'!$B$4=yes,'Etape5-Trait.+recyclage déchets'!$B$4=no),IF($B$7=yes,'5-6 Other int use'!X7, IF($B$7=no,"-", IF($B$7=que,que, pres))),_SeF4)</f>
        <v>Présent ?</v>
      </c>
      <c r="J8" s="404" t="str">
        <f>IF(OR('Etape5-Trait.+recyclage déchets'!$B$4=yes,'Etape5-Trait.+recyclage déchets'!$B$4=no),IF($B$7=yes,'5-6 Other int use'!Y7, IF($B$7=no,"-", IF($B$7=que,que, pres))),_SeF4)</f>
        <v>Présent ?</v>
      </c>
      <c r="K8" s="404" t="str">
        <f>IF(OR('Etape5-Trait.+recyclage déchets'!$B$4=yes,'Etape5-Trait.+recyclage déchets'!$B$4=no),IF($B$7=yes,'5-6 Other int use'!Z7, IF($B$7=no,"-", IF($B$7=que,que, pres))),_SeF4)</f>
        <v>Présent ?</v>
      </c>
      <c r="L8" s="404" t="str">
        <f>IF(OR('Etape5-Trait.+recyclage déchets'!$B$4=yes,'Etape5-Trait.+recyclage déchets'!$B$4=no),IF($B$7=yes,'5-6 Other int use'!AA7, IF($B$7=no,"-", IF($B$7=que,que, pres))),_SeF4)</f>
        <v>Présent ?</v>
      </c>
      <c r="M8" s="273"/>
      <c r="N8" s="459"/>
    </row>
    <row r="9" spans="1:16" ht="25">
      <c r="A9" s="367" t="s">
        <v>967</v>
      </c>
      <c r="B9" s="419"/>
      <c r="C9" s="418">
        <f>'Etape 1-Données pays'!$B$6</f>
        <v>0</v>
      </c>
      <c r="D9" s="273" t="s">
        <v>972</v>
      </c>
      <c r="E9" s="273"/>
      <c r="F9" s="453"/>
      <c r="G9" s="404" t="str">
        <f>IF(OR('Etape5-Trait.+recyclage déchets'!$B$4=yes,'Etape5-Trait.+recyclage déchets'!$B$4=no),IF($B7=yes,'5-6 Other int use'!V8, IF($B7=no,"-", IF($B7=que,que, pres))),_SeF4)</f>
        <v>Présent ?</v>
      </c>
      <c r="H9" s="404" t="str">
        <f>IF(OR('Etape5-Trait.+recyclage déchets'!$B$4=yes,'Etape5-Trait.+recyclage déchets'!$B$4=no),IF($B7=yes,'5-6 Other int use'!W8, IF($B7=no,"-", IF($B7=que,que, pres))),_SeF4)</f>
        <v>Présent ?</v>
      </c>
      <c r="I9" s="404" t="str">
        <f>IF(OR('Etape5-Trait.+recyclage déchets'!$B$4=yes,'Etape5-Trait.+recyclage déchets'!$B$4=no),IF($B7=yes,'5-6 Other int use'!X8, IF($B7=no,"-", IF($B7=que,que, pres))),_SeF4)</f>
        <v>Présent ?</v>
      </c>
      <c r="J9" s="404" t="str">
        <f>IF(OR('Etape5-Trait.+recyclage déchets'!$B$4=yes,'Etape5-Trait.+recyclage déchets'!$B$4=no),IF($B7=yes,'5-6 Other int use'!Y8, IF($B7=no,"-", IF($B7=que,que, pres))),_SeF4)</f>
        <v>Présent ?</v>
      </c>
      <c r="K9" s="404" t="str">
        <f>IF(OR('Etape5-Trait.+recyclage déchets'!$B$4=yes,'Etape5-Trait.+recyclage déchets'!$B$4=no),IF($B7=yes,'5-6 Other int use'!Z8, IF($B7=no,"-", IF($B7=que,que, pres))),_SeF4)</f>
        <v>Présent ?</v>
      </c>
      <c r="L9" s="404" t="str">
        <f>IF(OR('Etape5-Trait.+recyclage déchets'!$B$4=yes,'Etape5-Trait.+recyclage déchets'!$B$4=no),IF($B7=yes,'5-6 Other int use'!AA8, IF($B7=no,"-", IF($B7=que,que, pres))),_SeF4)</f>
        <v>Présent ?</v>
      </c>
      <c r="M9" s="273"/>
      <c r="N9" s="459"/>
    </row>
    <row r="10" spans="1:16">
      <c r="A10" s="692" t="s">
        <v>968</v>
      </c>
      <c r="B10" s="419"/>
      <c r="C10" s="418">
        <f>'Etape 1-Données pays'!$B$6</f>
        <v>0</v>
      </c>
      <c r="D10" s="273" t="s">
        <v>972</v>
      </c>
      <c r="E10" s="273"/>
      <c r="F10" s="452"/>
      <c r="G10" s="404" t="str">
        <f>IF(OR('Etape5-Trait.+recyclage déchets'!$B$4=yes,'Etape5-Trait.+recyclage déchets'!$B$4=no),IF($B7=yes,SUM('5-6 Other int use'!V10,'5-6 Other int use'!V11), IF($B7=no,"-", IF($B7=que,que, pres))),_SeF4)</f>
        <v>Présent ?</v>
      </c>
      <c r="H10" s="404" t="str">
        <f>IF(OR('Etape5-Trait.+recyclage déchets'!$B$4=yes,'Etape5-Trait.+recyclage déchets'!$B$4=no),IF($B7=yes,SUM('5-6 Other int use'!W10,'5-6 Other int use'!W11), IF($B7=no,"-", IF($B7=que,que, pres))),_SeF4)</f>
        <v>Présent ?</v>
      </c>
      <c r="I10" s="404" t="str">
        <f>IF(OR('Etape5-Trait.+recyclage déchets'!$B$4=yes,'Etape5-Trait.+recyclage déchets'!$B$4=no),IF($B7=yes,SUM('5-6 Other int use'!X10,'5-6 Other int use'!X11), IF($B7=no,"-", IF($B7=que,que, pres))),_SeF4)</f>
        <v>Présent ?</v>
      </c>
      <c r="J10" s="404" t="str">
        <f>IF(OR('Etape5-Trait.+recyclage déchets'!$B$4=yes,'Etape5-Trait.+recyclage déchets'!$B$4=no),IF($B7=yes,SUM('5-6 Other int use'!Y10,'5-6 Other int use'!Y11), IF($B7=no,"-", IF($B7=que,que, pres))),_SeF4)</f>
        <v>Présent ?</v>
      </c>
      <c r="K10" s="404" t="str">
        <f>IF(OR('Etape5-Trait.+recyclage déchets'!$B$4=yes,'Etape5-Trait.+recyclage déchets'!$B$4=no),IF($B7=yes,SUM('5-6 Other int use'!Z10,'5-6 Other int use'!Z11), IF($B7=no,"-", IF($B7=que,que, pres))),_SeF4)</f>
        <v>Présent ?</v>
      </c>
      <c r="L10" s="404" t="str">
        <f>IF(OR('Etape5-Trait.+recyclage déchets'!$B$4=yes,'Etape5-Trait.+recyclage déchets'!$B$4=no),IF($B7=yes,SUM('5-6 Other int use'!AA10,'5-6 Other int use'!AA11), IF($B7=no,"-", IF($B7=que,que, pres))),_SeF4)</f>
        <v>Présent ?</v>
      </c>
      <c r="M10" s="273"/>
      <c r="N10" s="459"/>
    </row>
    <row r="11" spans="1:16">
      <c r="A11" s="367"/>
      <c r="B11" s="419"/>
      <c r="C11" s="493">
        <f>'Etape 1-Données pays'!C23</f>
        <v>0.82919079065322876</v>
      </c>
      <c r="D11" s="344" t="s">
        <v>973</v>
      </c>
      <c r="E11" s="344"/>
      <c r="F11" s="454"/>
      <c r="G11" s="492"/>
      <c r="H11" s="492"/>
      <c r="I11" s="404"/>
      <c r="J11" s="404"/>
      <c r="K11" s="404"/>
      <c r="L11" s="404"/>
      <c r="M11" s="273"/>
      <c r="N11" s="459"/>
      <c r="O11" s="322"/>
    </row>
    <row r="12" spans="1:16" ht="87.5">
      <c r="A12" s="367"/>
      <c r="B12" s="419"/>
      <c r="C12" s="493"/>
      <c r="D12" s="344"/>
      <c r="E12" s="703" t="s">
        <v>1120</v>
      </c>
      <c r="F12" s="681"/>
      <c r="G12" s="681" t="s">
        <v>1174</v>
      </c>
      <c r="H12" s="681" t="s">
        <v>1175</v>
      </c>
      <c r="I12" s="279"/>
      <c r="J12" s="279"/>
      <c r="K12" s="279"/>
      <c r="L12" s="279"/>
      <c r="M12" s="273"/>
      <c r="N12" s="459"/>
      <c r="O12" s="322"/>
    </row>
    <row r="13" spans="1:16" ht="25">
      <c r="A13" s="367"/>
      <c r="B13" s="419"/>
      <c r="C13" s="493"/>
      <c r="D13" s="682" t="s">
        <v>1129</v>
      </c>
      <c r="E13" s="681" t="s">
        <v>1121</v>
      </c>
      <c r="F13" s="681"/>
      <c r="G13" s="684">
        <f>100-H13-I13-J13-K13-L13</f>
        <v>100</v>
      </c>
      <c r="H13" s="689">
        <v>0</v>
      </c>
      <c r="I13" s="279"/>
      <c r="J13" s="279"/>
      <c r="K13" s="279"/>
      <c r="L13" s="279"/>
      <c r="M13" s="729" t="s">
        <v>1224</v>
      </c>
      <c r="N13" s="460"/>
      <c r="O13" s="322"/>
    </row>
    <row r="14" spans="1:16">
      <c r="A14" s="367"/>
      <c r="B14" s="273"/>
      <c r="C14" s="354"/>
      <c r="D14" s="354"/>
      <c r="E14" s="354"/>
      <c r="F14" s="454"/>
      <c r="G14" s="354"/>
      <c r="H14" s="354"/>
      <c r="I14" s="494"/>
      <c r="J14" s="262"/>
      <c r="K14" s="408"/>
      <c r="L14" s="262"/>
      <c r="M14" s="273"/>
      <c r="N14" s="459"/>
      <c r="O14" s="322"/>
    </row>
    <row r="15" spans="1:16" s="322" customFormat="1" ht="13.5" thickBot="1">
      <c r="A15" s="402" t="s">
        <v>974</v>
      </c>
      <c r="B15" s="406" t="str">
        <f>IF(OR(AND(B16&lt;&gt;no,B16&lt;&gt;yes,B16&lt;&gt;que),AND(B17&lt;&gt;no,B17&lt;&gt;yes,B17&lt;&gt;que),AND(B18&lt;&gt;no,B18&lt;&gt;yes,B18&lt;&gt;que)),pres,IF(OR($B16=yes,$B17=yes,$B18=yes),yes,IF(AND($B16=no,$B17=no,$B18=no),no,IF(OR($B16=que,$B17=que,$B18=que),que,pres))))</f>
        <v>Présent ?</v>
      </c>
      <c r="C15" s="407">
        <f>SUM(C16:C18)</f>
        <v>0</v>
      </c>
      <c r="D15" s="273"/>
      <c r="E15" s="273"/>
      <c r="F15" s="456" t="str">
        <f>IF(OR(AND(B16&lt;&gt;no,B16&lt;&gt;yes,B16&lt;&gt;que),AND(B17&lt;&gt;no,B17&lt;&gt;yes,B17&lt;&gt;que),AND(B18&lt;&gt;no,B18&lt;&gt;yes,B18&lt;&gt;que)),pres,IF(OR($B16=yes,$B17=yes,$B18=yes),'5-5 Cons prod'!K12,IF(AND($B16=no,$B17=no,$B18=no),"-",IF(OR($B16=que,$B17=que,$B18=que),que,pres))))</f>
        <v>Présent ?</v>
      </c>
      <c r="G15" s="403" t="str">
        <f>IF($F15=pres,pres,IF(OR('Etape5-Trait.+recyclage déchets'!$B$4=yes,'Etape5-Trait.+recyclage déchets'!$B$4=no),IF(OR($B16=yes,$B17=yes,$B18=yes,),SUM('5-5 Cons prod'!V13:V15), IF(AND($B16=no,$B17=no,$B18=no),"-", IF(OR($B16=que,$B17=que,$B18=que),que, pres))),_SeF4))</f>
        <v>Présent ?</v>
      </c>
      <c r="H15" s="403" t="str">
        <f>IF($F15=pres,pres,IF(OR('Etape5-Trait.+recyclage déchets'!$B$4=yes,'Etape5-Trait.+recyclage déchets'!$B$4=no),IF(OR($B16=yes,$B17=yes,$B18=yes,),SUM('5-5 Cons prod'!W13:W15), IF(AND($B16=no,$B17=no,$B18=no),"-", IF(OR($B16=que,$B17=que,$B18=que),que, pres))),_SeF4))</f>
        <v>Présent ?</v>
      </c>
      <c r="I15" s="403" t="str">
        <f>IF($F15=pres,pres,IF(OR('Etape5-Trait.+recyclage déchets'!$B$4=yes,'Etape5-Trait.+recyclage déchets'!$B$4=no),IF(OR($B16=yes,$B17=yes,$B18=yes,),SUM('5-5 Cons prod'!X13:X15), IF(AND($B16=no,$B17=no,$B18=no),"-", IF(OR($B16=que,$B17=que,$B18=que),que, pres))),_SeF4))</f>
        <v>Présent ?</v>
      </c>
      <c r="J15" s="403" t="str">
        <f>IF($F15=pres,pres,IF(OR('Etape5-Trait.+recyclage déchets'!$B$4=yes,'Etape5-Trait.+recyclage déchets'!$B$4=no),IF(OR($B16=yes,$B17=yes,$B18=yes,),SUM('5-5 Cons prod'!Y13:Y15), IF(AND($B16=no,$B17=no,$B18=no),"-", IF(OR($B16=que,$B17=que,$B18=que),que, pres))),_SeF4))</f>
        <v>Présent ?</v>
      </c>
      <c r="K15" s="403" t="str">
        <f>IF($F15=pres,pres,IF(OR('Etape5-Trait.+recyclage déchets'!$B$4=yes,'Etape5-Trait.+recyclage déchets'!$B$4=no),IF(OR($B16=yes,$B17=yes,$B18=yes,),SUM('5-5 Cons prod'!Z13:Z15), IF(AND($B16=no,$B17=no,$B18=no),"-", IF(OR($B16=que,$B17=que,$B18=que),que, pres))),_SeF4))</f>
        <v>Présent ?</v>
      </c>
      <c r="L15" s="403" t="str">
        <f>IF($F15=pres,pres,IF(OR('Etape5-Trait.+recyclage déchets'!$B$4=yes,'Etape5-Trait.+recyclage déchets'!$B$4=no),IF(OR($B16=yes,$B17=yes,$B18=yes,),SUM('5-5 Cons prod'!AA13:AA15), IF(AND($B16=no,$B17=no,$B18=no),"-", IF(OR($B16=que,$B17=que,$B18=que),que, pres))),_SeF4))</f>
        <v>Présent ?</v>
      </c>
      <c r="M15" s="273" t="s">
        <v>89</v>
      </c>
      <c r="N15" s="459"/>
      <c r="O15" s="338" t="str">
        <f>INDEX('Range-thresholds'!$G$6:$G$73,MATCH(A15,'Range-thresholds'!$A$6:$A$73,0))</f>
        <v/>
      </c>
    </row>
    <row r="16" spans="1:16">
      <c r="A16" s="275" t="s">
        <v>975</v>
      </c>
      <c r="B16" s="696"/>
      <c r="C16" s="377"/>
      <c r="D16" s="344" t="s">
        <v>993</v>
      </c>
      <c r="E16" s="390"/>
      <c r="F16" s="453" t="str">
        <f>IF(OR($B16=yes,$B16=yes),'5-5 Cons prod'!K13, IF(OR($B16=no,$B16=no),"-", IF($B16=que,que, pres)))</f>
        <v>Présent ?</v>
      </c>
      <c r="G16" s="279"/>
      <c r="H16" s="279"/>
      <c r="I16" s="279"/>
      <c r="J16" s="279"/>
      <c r="K16" s="279"/>
      <c r="L16" s="279"/>
      <c r="M16" s="273"/>
      <c r="N16" s="459"/>
    </row>
    <row r="17" spans="1:15" ht="25">
      <c r="A17" s="275" t="s">
        <v>976</v>
      </c>
      <c r="B17" s="643"/>
      <c r="C17" s="378"/>
      <c r="D17" s="344" t="s">
        <v>993</v>
      </c>
      <c r="E17" s="344"/>
      <c r="F17" s="452" t="str">
        <f>IF(OR($B17=yes,$B17=yes),'5-5 Cons prod'!K14+'5-5 Cons prod'!K16, IF(OR($B17=no,$B17=no),"-", IF($B17=que,que, pres)))</f>
        <v>Présent ?</v>
      </c>
      <c r="G17" s="279"/>
      <c r="H17" s="279"/>
      <c r="I17" s="279"/>
      <c r="J17" s="279"/>
      <c r="K17" s="279"/>
      <c r="L17" s="279"/>
      <c r="M17" s="273"/>
      <c r="N17" s="459"/>
    </row>
    <row r="18" spans="1:15" ht="38" thickBot="1">
      <c r="A18" s="275" t="s">
        <v>977</v>
      </c>
      <c r="B18" s="642"/>
      <c r="C18" s="396"/>
      <c r="D18" s="344" t="s">
        <v>993</v>
      </c>
      <c r="E18" s="390"/>
      <c r="F18" s="453" t="str">
        <f>IF(OR($B18=yes,$B18=yes),'5-5 Cons prod'!K15, IF(OR($B18=no,$B18=no),"-", IF($B18=que,que, pres)))</f>
        <v>Présent ?</v>
      </c>
      <c r="G18" s="279"/>
      <c r="H18" s="279"/>
      <c r="I18" s="279"/>
      <c r="J18" s="279"/>
      <c r="K18" s="279"/>
      <c r="L18" s="279"/>
      <c r="M18" s="273" t="s">
        <v>89</v>
      </c>
      <c r="N18" s="459"/>
    </row>
    <row r="19" spans="1:15" ht="13" thickBot="1">
      <c r="A19" s="367"/>
      <c r="B19" s="413"/>
      <c r="C19" s="414"/>
      <c r="D19" s="273"/>
      <c r="E19" s="273"/>
      <c r="F19" s="452"/>
      <c r="G19" s="279"/>
      <c r="H19" s="279"/>
      <c r="I19" s="279"/>
      <c r="J19" s="279"/>
      <c r="K19" s="279"/>
      <c r="L19" s="279"/>
      <c r="M19" s="273"/>
      <c r="N19" s="459"/>
    </row>
    <row r="20" spans="1:15" ht="25.5" thickBot="1">
      <c r="A20" s="275" t="s">
        <v>978</v>
      </c>
      <c r="B20" s="693"/>
      <c r="C20" s="418">
        <f>'Etape 1-Données pays'!$B$6</f>
        <v>0</v>
      </c>
      <c r="D20" s="273" t="s">
        <v>972</v>
      </c>
      <c r="E20" s="273"/>
      <c r="F20" s="456" t="str">
        <f>IF(OR($B20=yes,$B20=yes),'5-5 Cons prod'!K20, IF(OR($B20=no,$B20=no),"-", IF($B20=que,que, pres)))</f>
        <v>Présent ?</v>
      </c>
      <c r="G20" s="404" t="str">
        <f>IF(OR('Etape5-Trait.+recyclage déchets'!$B$4=yes,'Etape5-Trait.+recyclage déchets'!$B$4=no),IF($B20=yes,SUM('5-5 Cons prod'!V21:V23), IF($B20=no,"-", IF($B20=que,que, pres))),_SeF4)</f>
        <v>Présent ?</v>
      </c>
      <c r="H20" s="404" t="str">
        <f>IF(OR('Etape5-Trait.+recyclage déchets'!$B$4=yes,'Etape5-Trait.+recyclage déchets'!$B$4=yes,'Etape5-Trait.+recyclage déchets'!$B$4=no,'Etape5-Trait.+recyclage déchets'!$B$4=no),IF($B20=yes,SUM('5-5 Cons prod'!W21:W23), IF($B20=no,"-", IF($B20=que,que, pres))),_SeF4)</f>
        <v>Présent ?</v>
      </c>
      <c r="I20" s="404" t="str">
        <f>IF(OR('Etape5-Trait.+recyclage déchets'!$B$4=yes,'Etape5-Trait.+recyclage déchets'!$B$4=yes,'Etape5-Trait.+recyclage déchets'!$B$4=no,'Etape5-Trait.+recyclage déchets'!$B$4=no),IF($B20=yes,SUM('5-5 Cons prod'!X21:X23), IF($B20=no,"-", IF($B20=que,que, pres))),_SeF4)</f>
        <v>Présent ?</v>
      </c>
      <c r="J20" s="404" t="str">
        <f>IF(OR('Etape5-Trait.+recyclage déchets'!$B$4=yes,'Etape5-Trait.+recyclage déchets'!$B$4=yes,'Etape5-Trait.+recyclage déchets'!$B$4=no,'Etape5-Trait.+recyclage déchets'!$B$4=no),IF($B20=yes,SUM('5-5 Cons prod'!Y21:Y23), IF($B20=no,"-", IF($B20=que,que, pres))),_SeF4)</f>
        <v>Présent ?</v>
      </c>
      <c r="K20" s="404" t="str">
        <f>IF(OR('Etape5-Trait.+recyclage déchets'!$B$4=yes,'Etape5-Trait.+recyclage déchets'!$B$4=yes,'Etape5-Trait.+recyclage déchets'!$B$4=no,'Etape5-Trait.+recyclage déchets'!$B$4=no),IF($B20=yes,SUM('5-5 Cons prod'!Z21:Z23), IF($B20=no,"-", IF($B20=que,que, pres))),_SeF4)</f>
        <v>Présent ?</v>
      </c>
      <c r="L20" s="404" t="str">
        <f>IF(OR('Etape5-Trait.+recyclage déchets'!$B$4=yes,'Etape5-Trait.+recyclage déchets'!$B$4=yes,'Etape5-Trait.+recyclage déchets'!$B$4=no,'Etape5-Trait.+recyclage déchets'!$B$4=no),IF($B20=yes,SUM('5-5 Cons prod'!AA21:AA23), IF($B20=no,"-", IF($B20=que,que, pres))),_SeF4)</f>
        <v>Présent ?</v>
      </c>
      <c r="M20" s="273" t="s">
        <v>114</v>
      </c>
      <c r="N20" s="459"/>
      <c r="O20" s="338" t="str">
        <f>INDEX('Range-thresholds'!$G$6:$G$73,MATCH(A20,'Range-thresholds'!$A$6:$A$73,0))</f>
        <v/>
      </c>
    </row>
    <row r="21" spans="1:15">
      <c r="A21" s="275"/>
      <c r="B21" s="275"/>
      <c r="C21" s="495">
        <f>'Etape 1-Données pays'!$D$23</f>
        <v>100</v>
      </c>
      <c r="D21" s="344" t="s">
        <v>994</v>
      </c>
      <c r="E21" s="344"/>
      <c r="F21" s="455"/>
      <c r="G21" s="404"/>
      <c r="H21" s="404"/>
      <c r="I21" s="404"/>
      <c r="J21" s="404"/>
      <c r="K21" s="404"/>
      <c r="L21" s="404"/>
      <c r="M21" s="273"/>
      <c r="N21" s="459"/>
    </row>
    <row r="22" spans="1:15">
      <c r="A22" s="367"/>
      <c r="B22" s="408"/>
      <c r="C22" s="376"/>
      <c r="D22" s="273"/>
      <c r="E22" s="273"/>
      <c r="F22" s="452"/>
      <c r="G22" s="279"/>
      <c r="H22" s="279"/>
      <c r="I22" s="279"/>
      <c r="J22" s="279"/>
      <c r="K22" s="279"/>
      <c r="L22" s="279"/>
      <c r="M22" s="273"/>
      <c r="N22" s="459"/>
    </row>
    <row r="23" spans="1:15" ht="13.5" thickBot="1">
      <c r="A23" s="402" t="s">
        <v>979</v>
      </c>
      <c r="B23" s="406" t="str">
        <f>IF(OR(AND(B24&lt;&gt;no,B24&lt;&gt;yes,B24&lt;&gt;que),AND(B25&lt;&gt;no,B25&lt;&gt;yes,B25&lt;&gt;que),AND(B26&lt;&gt;no,B26&lt;&gt;yes,B26&lt;&gt;que)),pres,IF(OR($B24=yes,$B25=yes,$B26=yes),yes,IF(AND($B24=no,$B25=no,$B26=no),no,IF(OR($B24=que,$B25=que,$B26=que),que,pres))))</f>
        <v>Présent ?</v>
      </c>
      <c r="C23" s="415">
        <f>SUM(C24:C26)</f>
        <v>0</v>
      </c>
      <c r="D23" s="344" t="s">
        <v>993</v>
      </c>
      <c r="E23" s="344"/>
      <c r="F23" s="456" t="str">
        <f>IF(OR(AND(B24&lt;&gt;no,B24&lt;&gt;yes,B24&lt;&gt;que),AND(B25&lt;&gt;no,B25&lt;&gt;yes,B25&lt;&gt;que),AND(B26&lt;&gt;no,B26&lt;&gt;yes,B26&lt;&gt;que)),pres,IF(OR($B24=yes,$B25=yes,$B26=yes),'5-5 Cons prod'!K27,IF(AND($B24=no,$B25=no,$B26=no),"-",IF(OR($B24=que,$B25=que,$B26=que),que,pres))))</f>
        <v>Présent ?</v>
      </c>
      <c r="G23" s="403" t="str">
        <f>IF($F23=pres,pres,IF(OR('Etape5-Trait.+recyclage déchets'!$B$4=yes,'Etape5-Trait.+recyclage déchets'!$B$4=no),IF(OR($B24=yes,$B25=yes,$B26=yes,),SUM('5-5 Cons prod'!V28:V30), IF(AND($B24=no,$B25=no,$B26=no),"-", IF(OR($B24=que,$B25=que,$B26=que),que, pres))),_SeF4))</f>
        <v>Présent ?</v>
      </c>
      <c r="H23" s="403" t="str">
        <f>IF($F23=pres,pres,IF(OR('Etape5-Trait.+recyclage déchets'!$B$4=yes,'Etape5-Trait.+recyclage déchets'!$B$4=no),IF(OR($B24=yes,$B25=yes,$B26=yes,),SUM('5-5 Cons prod'!W28:W30), IF(AND($B24=no,$B25=no,$B26=no),"-", IF(OR($B24=que,$B25=que,$B26=que),que, pres))),_SeF4))</f>
        <v>Présent ?</v>
      </c>
      <c r="I23" s="403" t="str">
        <f>IF($F23=pres,pres,IF(OR('Etape5-Trait.+recyclage déchets'!$B$4=yes,'Etape5-Trait.+recyclage déchets'!$B$4=no),IF(OR($B24=yes,$B25=yes,$B26=yes,),SUM('5-5 Cons prod'!X28:X30), IF(AND($B24=no,$B25=no,$B26=no),"-", IF(OR($B24=que,$B25=que,$B26=que),que, pres))),_SeF4))</f>
        <v>Présent ?</v>
      </c>
      <c r="J23" s="403" t="str">
        <f>IF($F23=pres,pres,IF(OR('Etape5-Trait.+recyclage déchets'!$B$4=yes,'Etape5-Trait.+recyclage déchets'!$B$4=no),IF(OR($B24=yes,$B25=yes,$B26=yes,),SUM('5-5 Cons prod'!Y28:Y30), IF(AND($B24=no,$B25=no,$B26=no),"-", IF(OR($B24=que,$B25=que,$B26=que),que, pres))),_SeF4))</f>
        <v>Présent ?</v>
      </c>
      <c r="K23" s="403" t="str">
        <f>IF($F23=pres,pres,IF(OR('Etape5-Trait.+recyclage déchets'!$B$4=yes,'Etape5-Trait.+recyclage déchets'!$B$4=no),IF(OR($B24=yes,$B25=yes,$B26=yes,),SUM('5-5 Cons prod'!Z28:Z30), IF(AND($B24=no,$B25=no,$B26=no),"-", IF(OR($B24=que,$B25=que,$B26=que),que, pres))),_SeF4))</f>
        <v>Présent ?</v>
      </c>
      <c r="L23" s="403" t="str">
        <f>IF($F23=pres,pres,IF(OR('Etape5-Trait.+recyclage déchets'!$B$4=yes,'Etape5-Trait.+recyclage déchets'!$B$4=no),IF(OR($B24=yes,$B25=yes,$B26=yes,),SUM('5-5 Cons prod'!AA28:AA30), IF(AND($B24=no,$B25=no,$B26=no),"-", IF(OR($B24=que,$B25=que,$B26=que),que, pres))),_SeF4))</f>
        <v>Présent ?</v>
      </c>
      <c r="M23" s="273" t="s">
        <v>119</v>
      </c>
      <c r="N23" s="459"/>
      <c r="O23" s="338" t="str">
        <f>INDEX('Range-thresholds'!$G$6:$G$73,MATCH(A23,'Range-thresholds'!$A$6:$A$73,0))</f>
        <v/>
      </c>
    </row>
    <row r="24" spans="1:15">
      <c r="A24" s="275" t="s">
        <v>980</v>
      </c>
      <c r="B24" s="696"/>
      <c r="C24" s="377"/>
      <c r="D24" s="344" t="s">
        <v>993</v>
      </c>
      <c r="E24" s="344"/>
      <c r="F24" s="452" t="str">
        <f>IF(OR($B24=yes,$B24=yes),'5-5 Cons prod'!K28, IF(OR($B24=no,$B24=no),"-", IF($B24=que,que, pres)))</f>
        <v>Présent ?</v>
      </c>
      <c r="G24" s="279"/>
      <c r="H24" s="279"/>
      <c r="I24" s="279"/>
      <c r="J24" s="279"/>
      <c r="K24" s="279"/>
      <c r="L24" s="279"/>
      <c r="M24" s="273"/>
      <c r="N24" s="459"/>
    </row>
    <row r="25" spans="1:15" ht="25">
      <c r="A25" s="275" t="s">
        <v>981</v>
      </c>
      <c r="B25" s="643"/>
      <c r="C25" s="378"/>
      <c r="D25" s="344" t="s">
        <v>993</v>
      </c>
      <c r="E25" s="390"/>
      <c r="F25" s="453" t="str">
        <f>IF(OR($B25=yes,$B25=yes),'5-5 Cons prod'!K29, IF(OR($B25=no,$B25=no),"-", IF($B25=que,que, pres)))</f>
        <v>Présent ?</v>
      </c>
      <c r="G25" s="279"/>
      <c r="H25" s="279"/>
      <c r="I25" s="279"/>
      <c r="J25" s="279"/>
      <c r="K25" s="279"/>
      <c r="L25" s="279"/>
      <c r="M25" s="273"/>
      <c r="N25" s="459"/>
    </row>
    <row r="26" spans="1:15" ht="25.5" thickBot="1">
      <c r="A26" s="275" t="s">
        <v>982</v>
      </c>
      <c r="B26" s="642"/>
      <c r="C26" s="396"/>
      <c r="D26" s="344" t="s">
        <v>993</v>
      </c>
      <c r="E26" s="344"/>
      <c r="F26" s="452" t="str">
        <f>IF(OR($B26=yes,$B26=yes),SUM('5-5 Cons prod'!K30:K33), IF(OR($B26=no,$B26=no),"-", IF($B26=que,que, pres)))</f>
        <v>Présent ?</v>
      </c>
      <c r="G26" s="279"/>
      <c r="H26" s="279"/>
      <c r="I26" s="279"/>
      <c r="J26" s="279"/>
      <c r="K26" s="279"/>
      <c r="L26" s="279"/>
      <c r="M26" s="273"/>
      <c r="N26" s="459"/>
    </row>
    <row r="27" spans="1:15">
      <c r="A27" s="367"/>
      <c r="B27" s="408"/>
      <c r="C27" s="376"/>
      <c r="D27" s="273"/>
      <c r="E27" s="273"/>
      <c r="F27" s="452"/>
      <c r="G27" s="279"/>
      <c r="H27" s="279"/>
      <c r="I27" s="279"/>
      <c r="J27" s="279"/>
      <c r="K27" s="279"/>
      <c r="L27" s="279"/>
      <c r="M27" s="273"/>
      <c r="N27" s="459"/>
    </row>
    <row r="28" spans="1:15" ht="13.5" thickBot="1">
      <c r="A28" s="402" t="s">
        <v>983</v>
      </c>
      <c r="B28" s="406" t="str">
        <f>IF(OR(AND(B29&lt;&gt;no,B29&lt;&gt;yes,B29&lt;&gt;que),AND(B30&lt;&gt;no,B30&lt;&gt;yes,B30&lt;&gt;que),AND(B31&lt;&gt;no,B31&lt;&gt;yes,B31&lt;&gt;que)),pres,IF(OR($B29=yes,$B30=yes,$B31=yes),yes,IF(AND($B29=no,$B30=no,$B31=no),no,IF(OR($B29=que,$B30=que,$B31=que),que,pres))))</f>
        <v>Présent ?</v>
      </c>
      <c r="C28" s="407">
        <f>SUM(C29:C31)</f>
        <v>0</v>
      </c>
      <c r="D28" s="405" t="s">
        <v>995</v>
      </c>
      <c r="E28" s="405"/>
      <c r="F28" s="456" t="str">
        <f>IF(OR(AND(B29&lt;&gt;no,B29&lt;&gt;yes,B29&lt;&gt;que),AND(B30&lt;&gt;no,B30&lt;&gt;yes,B30&lt;&gt;que),AND(B31&lt;&gt;no,B31&lt;&gt;yes,B31&lt;&gt;que)),pres,IF(OR($B29=yes,$B30=yes,$B31=yes),'5-5 Cons prod'!K42,IF(AND($B29=no,$B30=no,$B31=no),"-",IF(OR($B29=que,$B30=que,$B31=que),que,pres))))</f>
        <v>Présent ?</v>
      </c>
      <c r="G28" s="403" t="str">
        <f>IF($F28=pres,pres,IF(OR('Etape5-Trait.+recyclage déchets'!$B$4=yes,'Etape5-Trait.+recyclage déchets'!$B$4=no),IF(OR($B29=yes,$B30=yes,$B31=yes,),SUM('5-5 Cons prod'!V43:V45), IF(AND($B29=no,$B30=no,$B31=no),"-", IF(OR($B29=que,$B30=que,$B31=que),que, pres))),_SeF4))</f>
        <v>Présent ?</v>
      </c>
      <c r="H28" s="403" t="str">
        <f>IF($F28=pres,pres,IF(OR('Etape5-Trait.+recyclage déchets'!$B$4=yes,'Etape5-Trait.+recyclage déchets'!$B$4=no),IF(OR($B29=yes,$B30=yes,$B31=yes,),SUM('5-5 Cons prod'!W43:W45), IF(AND($B29=no,$B30=no,$B31=no),"-", IF(OR($B29=que,$B30=que,$B31=que),que, pres))),_SeF4))</f>
        <v>Présent ?</v>
      </c>
      <c r="I28" s="403" t="str">
        <f>IF($F28=pres,pres,IF(OR('Etape5-Trait.+recyclage déchets'!$B$4=yes,'Etape5-Trait.+recyclage déchets'!$B$4=no),IF(OR($B29=yes,$B30=yes,$B31=yes,),SUM('5-5 Cons prod'!X43:X45), IF(AND($B29=no,$B30=no,$B31=no),"-", IF(OR($B29=que,$B30=que,$B31=que),que, pres))),_SeF4))</f>
        <v>Présent ?</v>
      </c>
      <c r="J28" s="403" t="str">
        <f>IF($F28=pres,pres,IF(OR('Etape5-Trait.+recyclage déchets'!$B$4=yes,'Etape5-Trait.+recyclage déchets'!$B$4=no),IF(OR($B29=yes,$B30=yes,$B31=yes,),SUM('5-5 Cons prod'!Y43:Y45), IF(AND($B29=no,$B30=no,$B31=no),"-", IF(OR($B29=que,$B30=que,$B31=que),que, pres))),_SeF4))</f>
        <v>Présent ?</v>
      </c>
      <c r="K28" s="403" t="str">
        <f>IF($F28=pres,pres,IF(OR('Etape5-Trait.+recyclage déchets'!$B$4=yes,'Etape5-Trait.+recyclage déchets'!$B$4=no),IF(OR($B29=yes,$B30=yes,$B31=yes,),SUM('5-5 Cons prod'!Z43:Z45), IF(AND($B29=no,$B30=no,$B31=no),"-", IF(OR($B29=que,$B30=que,$B31=que),que, pres))),_SeF4))</f>
        <v>Présent ?</v>
      </c>
      <c r="L28" s="403" t="str">
        <f>IF($F28=pres,pres,IF(OR('Etape5-Trait.+recyclage déchets'!$B$4=yes,'Etape5-Trait.+recyclage déchets'!$B$4=no),IF(OR($B29=yes,$B30=yes,$B31=yes,),SUM('5-5 Cons prod'!AA43:AA45), IF(AND($B29=no,$B30=no,$B31=no),"-", IF(OR($B29=que,$B30=que,$B31=que),que, pres))),_SeF4))</f>
        <v>Présent ?</v>
      </c>
      <c r="M28" s="273" t="s">
        <v>131</v>
      </c>
      <c r="N28" s="459"/>
      <c r="O28" s="338" t="str">
        <f>INDEX('Range-thresholds'!$G$6:$G$73,MATCH(A28,'Range-thresholds'!$A$6:$A$73,0))</f>
        <v/>
      </c>
    </row>
    <row r="29" spans="1:15" ht="25">
      <c r="A29" s="275" t="s">
        <v>984</v>
      </c>
      <c r="B29" s="696"/>
      <c r="C29" s="377"/>
      <c r="D29" s="344" t="s">
        <v>995</v>
      </c>
      <c r="E29" s="344"/>
      <c r="F29" s="452" t="str">
        <f>IF(OR($B29=yes,$B29=yes),'5-5 Cons prod'!K43, IF(OR($B29=no,$B29=no),"-", IF($B29=que,que, pres)))</f>
        <v>Présent ?</v>
      </c>
      <c r="G29" s="279"/>
      <c r="H29" s="279"/>
      <c r="I29" s="279"/>
      <c r="J29" s="279"/>
      <c r="K29" s="279"/>
      <c r="L29" s="279"/>
      <c r="M29" s="273"/>
      <c r="N29" s="459"/>
    </row>
    <row r="30" spans="1:15" ht="25">
      <c r="A30" s="275" t="s">
        <v>985</v>
      </c>
      <c r="B30" s="643"/>
      <c r="C30" s="378"/>
      <c r="D30" s="344" t="s">
        <v>995</v>
      </c>
      <c r="E30" s="344"/>
      <c r="F30" s="452" t="str">
        <f>IF(OR($B30=yes,$B30=yes),SUM('5-5 Cons prod'!K44:K46), IF(OR($B30=no,$B30=no),"-", IF($B30=que,que, pres)))</f>
        <v>Présent ?</v>
      </c>
      <c r="G30" s="279"/>
      <c r="H30" s="279"/>
      <c r="I30" s="279"/>
      <c r="J30" s="279"/>
      <c r="K30" s="279"/>
      <c r="L30" s="279"/>
      <c r="M30" s="273"/>
      <c r="N30" s="459"/>
    </row>
    <row r="31" spans="1:15" ht="38" thickBot="1">
      <c r="A31" s="275" t="s">
        <v>986</v>
      </c>
      <c r="B31" s="642"/>
      <c r="C31" s="396"/>
      <c r="D31" s="344" t="s">
        <v>995</v>
      </c>
      <c r="E31" s="344"/>
      <c r="F31" s="452" t="str">
        <f>IF(OR($B31=yes,$B31=yes),SUM('5-5 Cons prod'!K47), IF(OR($B31=no,$B31=no),"-", IF($B31=que,que, pres)))</f>
        <v>Présent ?</v>
      </c>
      <c r="G31" s="279"/>
      <c r="H31" s="279"/>
      <c r="I31" s="279"/>
      <c r="J31" s="279"/>
      <c r="K31" s="279"/>
      <c r="L31" s="279"/>
      <c r="M31" s="273"/>
      <c r="N31" s="459"/>
    </row>
    <row r="32" spans="1:15" ht="13" thickBot="1">
      <c r="A32" s="367"/>
      <c r="B32" s="397"/>
      <c r="C32" s="416"/>
      <c r="D32" s="390"/>
      <c r="E32" s="390"/>
      <c r="F32" s="452"/>
      <c r="G32" s="279"/>
      <c r="H32" s="279"/>
      <c r="I32" s="279"/>
      <c r="J32" s="279"/>
      <c r="K32" s="279"/>
      <c r="L32" s="279"/>
      <c r="M32" s="273"/>
      <c r="N32" s="459"/>
    </row>
    <row r="33" spans="1:15" ht="25.5" thickBot="1">
      <c r="A33" s="275" t="s">
        <v>987</v>
      </c>
      <c r="B33" s="697"/>
      <c r="C33" s="418">
        <f>'Etape 1-Données pays'!$B$6</f>
        <v>0</v>
      </c>
      <c r="D33" s="273" t="s">
        <v>972</v>
      </c>
      <c r="E33" s="273"/>
      <c r="F33" s="456" t="str">
        <f>IF(OR($B33=yes,$B33=yes),'5-5 Cons prod'!K51, IF(OR($B33=no,$B33=no),"-", IF($B33=que,que, pres)))</f>
        <v>Présent ?</v>
      </c>
      <c r="G33" s="404" t="str">
        <f>IF(OR('Etape5-Trait.+recyclage déchets'!$B$4=yes,'Etape5-Trait.+recyclage déchets'!$B$4=no),IF($B33=yes,SUM('5-5 Cons prod'!V52:V53), IF($B33=no,"-", IF($B33=que,que, pres))),_SeF4)</f>
        <v>Présent ?</v>
      </c>
      <c r="H33" s="404" t="str">
        <f>IF(OR('Etape5-Trait.+recyclage déchets'!$B$4=yes,'Etape5-Trait.+recyclage déchets'!$B$4=no),IF($B33=yes,SUM('5-5 Cons prod'!W52:W53), IF($B33=no,"-", IF($B33=que,que, pres))),_SeF4)</f>
        <v>Présent ?</v>
      </c>
      <c r="I33" s="404" t="str">
        <f>IF(OR('Etape5-Trait.+recyclage déchets'!$B$4=yes,'Etape5-Trait.+recyclage déchets'!$B$4=no),IF($B33=yes,SUM('5-5 Cons prod'!X52:X53), IF($B33=no,"-", IF($B33=que,que, pres))),_SeF4)</f>
        <v>Présent ?</v>
      </c>
      <c r="J33" s="404" t="str">
        <f>IF(OR('Etape5-Trait.+recyclage déchets'!$B$4=yes,'Etape5-Trait.+recyclage déchets'!$B$4=no),IF($B33=yes,SUM('5-5 Cons prod'!Y52:Y53), IF($B33=no,"-", IF($B33=que,que, pres))),_SeF4)</f>
        <v>Présent ?</v>
      </c>
      <c r="K33" s="404" t="str">
        <f>IF(OR('Etape5-Trait.+recyclage déchets'!$B$4=yes,'Etape5-Trait.+recyclage déchets'!$B$4=no),IF($B33=yes,SUM('5-5 Cons prod'!Z52:Z53), IF($B33=no,"-", IF($B33=que,que, pres))),_SeF4)</f>
        <v>Présent ?</v>
      </c>
      <c r="L33" s="404" t="str">
        <f>IF(OR('Etape5-Trait.+recyclage déchets'!$B$4=yes,'Etape5-Trait.+recyclage déchets'!$B$4=no),IF($B33=yes,SUM('5-5 Cons prod'!AA52:AA53), IF($B33=no,"-", IF($B33=que,que, pres))),_SeF4)</f>
        <v>Présent ?</v>
      </c>
      <c r="M33" s="273" t="s">
        <v>401</v>
      </c>
      <c r="N33" s="459"/>
      <c r="O33" s="338" t="str">
        <f>INDEX('Range-thresholds'!$G$6:$G$73,MATCH(A33,'Range-thresholds'!$A$6:$A$73,0))</f>
        <v/>
      </c>
    </row>
    <row r="34" spans="1:15">
      <c r="A34" s="275"/>
      <c r="B34" s="275"/>
      <c r="C34" s="495">
        <f>'Etape 1-Données pays'!$D$23</f>
        <v>100</v>
      </c>
      <c r="D34" s="344" t="s">
        <v>994</v>
      </c>
      <c r="E34" s="344"/>
      <c r="F34" s="455"/>
      <c r="G34" s="404"/>
      <c r="H34" s="404"/>
      <c r="I34" s="404"/>
      <c r="J34" s="404"/>
      <c r="K34" s="404"/>
      <c r="L34" s="404"/>
      <c r="M34" s="273"/>
      <c r="N34" s="459"/>
    </row>
    <row r="35" spans="1:15" ht="13" thickBot="1">
      <c r="A35" s="367"/>
      <c r="B35" s="397"/>
      <c r="C35" s="416"/>
      <c r="D35" s="390"/>
      <c r="E35" s="390"/>
      <c r="F35" s="452"/>
      <c r="G35" s="279"/>
      <c r="H35" s="279"/>
      <c r="I35" s="279"/>
      <c r="J35" s="279"/>
      <c r="K35" s="279"/>
      <c r="L35" s="279"/>
      <c r="M35" s="273"/>
      <c r="N35" s="459"/>
    </row>
    <row r="36" spans="1:15" ht="13" thickBot="1">
      <c r="A36" s="275" t="s">
        <v>988</v>
      </c>
      <c r="B36" s="644"/>
      <c r="C36" s="399"/>
      <c r="D36" s="344" t="s">
        <v>996</v>
      </c>
      <c r="E36" s="344"/>
      <c r="F36" s="456" t="str">
        <f>IF(OR($B36=yes,$B36=yes),'5-5 Cons prod'!K61, IF(OR($B36=no,$B36=no),"-", IF($B36=que,que, pres)))</f>
        <v>Présent ?</v>
      </c>
      <c r="G36" s="404" t="str">
        <f>IF(OR('Etape5-Trait.+recyclage déchets'!$B$4=yes,'Etape5-Trait.+recyclage déchets'!$B$4=no),IF($B36=yes,'5-5 Cons prod'!V61, IF($B36=no,"-", IF($B36=que,que, pres))),_SeF4)</f>
        <v>Présent ?</v>
      </c>
      <c r="H36" s="404" t="str">
        <f>IF(OR('Etape5-Trait.+recyclage déchets'!$B$4=yes,'Etape5-Trait.+recyclage déchets'!$B$4=no),IF($B36=yes,'5-5 Cons prod'!W61, IF($B36=no,"-", IF($B36=que,que, pres))),_SeF4)</f>
        <v>Présent ?</v>
      </c>
      <c r="I36" s="404" t="str">
        <f>IF(OR('Etape5-Trait.+recyclage déchets'!$B$4=yes,'Etape5-Trait.+recyclage déchets'!$B$4=no),IF($B36=yes,'5-5 Cons prod'!X61, IF($B36=no,"-", IF($B36=que,que, pres))),_SeF4)</f>
        <v>Présent ?</v>
      </c>
      <c r="J36" s="404" t="str">
        <f>IF(OR('Etape5-Trait.+recyclage déchets'!$B$4=yes,'Etape5-Trait.+recyclage déchets'!$B$4=no),IF($B36=yes,'5-5 Cons prod'!Y61, IF($B36=no,"-", IF($B36=que,que, pres))),_SeF4)</f>
        <v>Présent ?</v>
      </c>
      <c r="K36" s="404" t="str">
        <f>IF(OR('Etape5-Trait.+recyclage déchets'!$B$4=yes,'Etape5-Trait.+recyclage déchets'!$B$4=no),IF($B36=yes,'5-5 Cons prod'!Z61, IF($B36=no,"-", IF($B36=que,que, pres))),_SeF4)</f>
        <v>Présent ?</v>
      </c>
      <c r="L36" s="404" t="str">
        <f>IF(OR('Etape5-Trait.+recyclage déchets'!$B$4=yes,'Etape5-Trait.+recyclage déchets'!$B$4=no),IF($B36=yes,'5-5 Cons prod'!AA61, IF($B36=no,"-", IF($B36=que,que, pres))),_SeF4)</f>
        <v>Présent ?</v>
      </c>
      <c r="M36" s="273" t="s">
        <v>372</v>
      </c>
      <c r="N36" s="459"/>
      <c r="O36" s="338" t="str">
        <f>INDEX('Range-thresholds'!$G$6:$G$73,MATCH(A36,'Range-thresholds'!$A$6:$A$73,0))</f>
        <v/>
      </c>
    </row>
    <row r="37" spans="1:15" ht="13" thickBot="1">
      <c r="A37" s="367"/>
      <c r="B37" s="397"/>
      <c r="C37" s="416"/>
      <c r="D37" s="273"/>
      <c r="E37" s="273"/>
      <c r="F37" s="452"/>
      <c r="G37" s="279"/>
      <c r="H37" s="279"/>
      <c r="I37" s="279"/>
      <c r="J37" s="279"/>
      <c r="K37" s="279"/>
      <c r="L37" s="279"/>
      <c r="M37" s="273"/>
      <c r="N37" s="459"/>
    </row>
    <row r="38" spans="1:15" ht="25.5" thickBot="1">
      <c r="A38" s="275" t="s">
        <v>934</v>
      </c>
      <c r="B38" s="644"/>
      <c r="C38" s="615"/>
      <c r="D38" s="274" t="s">
        <v>997</v>
      </c>
      <c r="E38" s="274"/>
      <c r="F38" s="456" t="str">
        <f>IF(OR($B38=yes,$B38=yes),'5-5 Cons prod'!K65, IF(OR($B38=no,$B38=no),"-", IF($B38=que,que, pres)))</f>
        <v>Présent ?</v>
      </c>
      <c r="G38" s="404" t="str">
        <f>IF(OR('Etape5-Trait.+recyclage déchets'!$B$4=yes,'Etape5-Trait.+recyclage déchets'!$B$4=no),IF($B38=yes,'5-5 Cons prod'!V65, IF($B38=no,"-", IF($B38=que,que, pres))),_SeF4)</f>
        <v>Présent ?</v>
      </c>
      <c r="H38" s="404" t="str">
        <f>IF(OR('Etape5-Trait.+recyclage déchets'!$B$4=yes,'Etape5-Trait.+recyclage déchets'!$B$4=no),IF($B38=yes,'5-5 Cons prod'!W65, IF($B38=no,"-", IF($B38=que,que, pres))),_SeF4)</f>
        <v>Présent ?</v>
      </c>
      <c r="I38" s="404" t="str">
        <f>IF(OR('Etape5-Trait.+recyclage déchets'!$B$4=yes,'Etape5-Trait.+recyclage déchets'!$B$4=no),IF($B38=yes,'5-5 Cons prod'!X65, IF($B38=no,"-", IF($B38=que,que, pres))),_SeF4)</f>
        <v>Présent ?</v>
      </c>
      <c r="J38" s="404" t="str">
        <f>IF(OR('Etape5-Trait.+recyclage déchets'!$B$4=yes,'Etape5-Trait.+recyclage déchets'!$B$4=no),IF($B38=yes,'5-5 Cons prod'!Y65, IF($B38=no,"-", IF($B38=que,que, pres))),_SeF4)</f>
        <v>Présent ?</v>
      </c>
      <c r="K38" s="404" t="str">
        <f>IF(OR('Etape5-Trait.+recyclage déchets'!$B$4=yes,'Etape5-Trait.+recyclage déchets'!$B$4=no),IF($B38=yes,'5-5 Cons prod'!Z65, IF($B38=no,"-", IF($B38=que,que, pres))),_SeF4)</f>
        <v>Présent ?</v>
      </c>
      <c r="L38" s="404" t="str">
        <f>IF(OR('Etape5-Trait.+recyclage déchets'!$B$4=yes,'Etape5-Trait.+recyclage déchets'!$B$4=no),IF($B38=yes,'5-5 Cons prod'!AA65, IF($B38=no,"-", IF($B38=que,que, pres))),_SeF4)</f>
        <v>Présent ?</v>
      </c>
      <c r="M38" s="273" t="s">
        <v>400</v>
      </c>
      <c r="N38" s="459"/>
      <c r="O38" s="338" t="str">
        <f>INDEX('Range-thresholds'!$G$6:$G$73,MATCH(A38,'Range-thresholds'!$A$6:$A$73,0))</f>
        <v/>
      </c>
    </row>
    <row r="39" spans="1:15" ht="13" thickBot="1">
      <c r="A39" s="367"/>
      <c r="B39" s="397"/>
      <c r="C39" s="416"/>
      <c r="D39" s="273"/>
      <c r="E39" s="273"/>
      <c r="F39" s="452"/>
      <c r="G39" s="279"/>
      <c r="H39" s="279"/>
      <c r="I39" s="279"/>
      <c r="J39" s="279"/>
      <c r="K39" s="279"/>
      <c r="L39" s="279"/>
      <c r="M39" s="273"/>
      <c r="N39" s="459"/>
    </row>
    <row r="40" spans="1:15" ht="25.5" thickBot="1">
      <c r="A40" s="275" t="s">
        <v>989</v>
      </c>
      <c r="B40" s="644"/>
      <c r="C40" s="399"/>
      <c r="D40" s="344" t="s">
        <v>993</v>
      </c>
      <c r="E40" s="344"/>
      <c r="F40" s="456" t="str">
        <f>IF(OR($B40=yes,$B40=yes),'5-6 Other int use'!K15, IF(OR($B40=no,$B40=no),"-", IF($B40=que,que, pres)))</f>
        <v>Présent ?</v>
      </c>
      <c r="G40" s="404" t="str">
        <f>IF(OR('Etape5-Trait.+recyclage déchets'!$B$4=yes,'Etape5-Trait.+recyclage déchets'!$B$4=no),IF($B40=yes,'5-6 Other int use'!V15, IF($B40=no,"-", IF($B40=que,que, pres))),_SeF4)</f>
        <v>Présent ?</v>
      </c>
      <c r="H40" s="404" t="str">
        <f>IF(OR('Etape5-Trait.+recyclage déchets'!$B$4=yes,'Etape5-Trait.+recyclage déchets'!$B$4=no),IF($B40=yes,'5-6 Other int use'!W15, IF($B40=no,"-", IF($B40=que,que, pres))),_SeF4)</f>
        <v>Présent ?</v>
      </c>
      <c r="I40" s="404" t="str">
        <f>IF(OR('Etape5-Trait.+recyclage déchets'!$B$4=yes,'Etape5-Trait.+recyclage déchets'!$B$4=no),IF($B40=yes,'5-6 Other int use'!X15, IF($B40=no,"-", IF($B40=que,que, pres))),_SeF4)</f>
        <v>Présent ?</v>
      </c>
      <c r="J40" s="404" t="str">
        <f>IF(OR('Etape5-Trait.+recyclage déchets'!$B$4=yes,'Etape5-Trait.+recyclage déchets'!$B$4=no),IF($B40=yes,'5-6 Other int use'!Y15, IF($B40=no,"-", IF($B40=que,que, pres))),_SeF4)</f>
        <v>Présent ?</v>
      </c>
      <c r="K40" s="404" t="str">
        <f>IF(OR('Etape5-Trait.+recyclage déchets'!$B$4=yes,'Etape5-Trait.+recyclage déchets'!$B$4=no),IF($B40=yes,'5-6 Other int use'!Z15, IF($B40=no,"-", IF($B40=que,que, pres))),_SeF4)</f>
        <v>Présent ?</v>
      </c>
      <c r="L40" s="404" t="str">
        <f>IF(OR('Etape5-Trait.+recyclage déchets'!$B$4=yes,'Etape5-Trait.+recyclage déchets'!$B$4=no),IF($B40=yes,'5-6 Other int use'!AA15, IF($B40=no,"-", IF($B40=que,que, pres))),_SeF4)</f>
        <v>Présent ?</v>
      </c>
      <c r="M40" s="273" t="s">
        <v>226</v>
      </c>
      <c r="N40" s="459"/>
      <c r="O40" s="338" t="str">
        <f>INDEX('Range-thresholds'!$G$6:$G$73,MATCH(A40,'Range-thresholds'!$A$6:$A$73,0))</f>
        <v/>
      </c>
    </row>
    <row r="41" spans="1:15" ht="13" thickBot="1">
      <c r="A41" s="367"/>
      <c r="B41" s="397"/>
      <c r="C41" s="416"/>
      <c r="D41" s="273"/>
      <c r="E41" s="273"/>
      <c r="F41" s="452"/>
      <c r="G41" s="279"/>
      <c r="H41" s="279"/>
      <c r="I41" s="279"/>
      <c r="J41" s="279"/>
      <c r="K41" s="279"/>
      <c r="L41" s="279"/>
      <c r="M41" s="273"/>
      <c r="N41" s="459"/>
    </row>
    <row r="42" spans="1:15" ht="25.5" thickBot="1">
      <c r="A42" s="275" t="s">
        <v>990</v>
      </c>
      <c r="B42" s="693"/>
      <c r="C42" s="418">
        <f>'Etape 1-Données pays'!$B$6</f>
        <v>0</v>
      </c>
      <c r="D42" s="273" t="s">
        <v>972</v>
      </c>
      <c r="E42" s="273"/>
      <c r="F42" s="456" t="str">
        <f>IF(OR($B42=yes,$B42=yes),'5-6 Other int use'!K24, IF(OR($B42=no,$B42=no),"-", IF($B42=que,que, pres)))</f>
        <v>Présent ?</v>
      </c>
      <c r="G42" s="404" t="str">
        <f>IF(OR('Etape5-Trait.+recyclage déchets'!$B$4=yes,'Etape5-Trait.+recyclage déchets'!$B$4=no),IF($B42=yes,'5-6 Other int use'!V24, IF($B42=no,"-", IF($B42=que,que, pres))),_SeF4)</f>
        <v>Présent ?</v>
      </c>
      <c r="H42" s="404" t="str">
        <f>IF(OR('Etape5-Trait.+recyclage déchets'!$B$4=yes,'Etape5-Trait.+recyclage déchets'!$B$4=no),IF($B42=yes,'5-6 Other int use'!W24, IF($B42=no,"-", IF($B42=que,que, pres))),_SeF4)</f>
        <v>Présent ?</v>
      </c>
      <c r="I42" s="404" t="str">
        <f>IF(OR('Etape5-Trait.+recyclage déchets'!$B$4=yes,'Etape5-Trait.+recyclage déchets'!$B$4=no),IF($B42=yes,'5-6 Other int use'!X24, IF($B42=no,"-", IF($B42=que,que, pres))),_SeF4)</f>
        <v>Présent ?</v>
      </c>
      <c r="J42" s="404" t="str">
        <f>IF(OR('Etape5-Trait.+recyclage déchets'!$B$4=yes,'Etape5-Trait.+recyclage déchets'!$B$4=no),IF($B42=yes,'5-6 Other int use'!Y24, IF($B42=no,"-", IF($B42=que,que, pres))),_SeF4)</f>
        <v>Présent ?</v>
      </c>
      <c r="K42" s="404" t="str">
        <f>IF(OR('Etape5-Trait.+recyclage déchets'!$B$4=yes,'Etape5-Trait.+recyclage déchets'!$B$4=no),IF($B42=yes,'5-6 Other int use'!Z24, IF($B42=no,"-", IF($B42=que,que, pres))),_SeF4)</f>
        <v>Présent ?</v>
      </c>
      <c r="L42" s="404" t="str">
        <f>IF(OR('Etape5-Trait.+recyclage déchets'!$B$4=yes,'Etape5-Trait.+recyclage déchets'!$B$4=no),IF($B42=yes,'5-6 Other int use'!AA24, IF($B42=no,"-", IF($B42=que,que, pres))),_SeF4)</f>
        <v>Présent ?</v>
      </c>
      <c r="M42" s="273" t="s">
        <v>226</v>
      </c>
      <c r="N42" s="459"/>
      <c r="O42" s="338" t="str">
        <f>INDEX('Range-thresholds'!$G$6:$G$73,MATCH(A42,'Range-thresholds'!$A$6:$A$73,0))</f>
        <v/>
      </c>
    </row>
    <row r="43" spans="1:15">
      <c r="A43" s="275"/>
      <c r="B43" s="275"/>
      <c r="C43" s="495">
        <f>'Etape 1-Données pays'!$D$23</f>
        <v>100</v>
      </c>
      <c r="D43" s="344" t="s">
        <v>994</v>
      </c>
      <c r="E43" s="344"/>
      <c r="F43" s="455"/>
      <c r="G43" s="404"/>
      <c r="H43" s="404"/>
      <c r="I43" s="404"/>
      <c r="J43" s="404"/>
      <c r="K43" s="404"/>
      <c r="L43" s="404"/>
      <c r="M43" s="273"/>
      <c r="N43" s="459"/>
    </row>
    <row r="44" spans="1:15" ht="13" thickBot="1">
      <c r="A44" s="275"/>
      <c r="B44" s="497"/>
      <c r="C44" s="495"/>
      <c r="D44" s="344"/>
      <c r="E44" s="344"/>
      <c r="F44" s="455"/>
      <c r="G44" s="404"/>
      <c r="H44" s="404"/>
      <c r="I44" s="404"/>
      <c r="J44" s="404"/>
      <c r="K44" s="404"/>
      <c r="L44" s="404"/>
      <c r="M44" s="273"/>
      <c r="N44" s="459"/>
    </row>
    <row r="45" spans="1:15" ht="13" thickBot="1">
      <c r="A45" s="275" t="s">
        <v>991</v>
      </c>
      <c r="B45" s="693"/>
      <c r="C45" s="418">
        <f>'Etape 1-Données pays'!$B$6</f>
        <v>0</v>
      </c>
      <c r="D45" s="273" t="s">
        <v>972</v>
      </c>
      <c r="E45" s="273"/>
      <c r="F45" s="456" t="str">
        <f>IF(OR($B45=yes,$B45=yes),'5-6 Other int use'!K37, IF(OR($B45=no,$B45=no),"-", IF($B45=que,que, pres)))</f>
        <v>Présent ?</v>
      </c>
      <c r="G45" s="404" t="str">
        <f>IF(OR('Etape5-Trait.+recyclage déchets'!$B$4=yes,'Etape5-Trait.+recyclage déchets'!$B$4=no),IF($B45=yes,'5-6 Other int use'!V37, IF($B45=no,"-", IF($B45=que,que, pres))),_SeF4)</f>
        <v>Présent ?</v>
      </c>
      <c r="H45" s="404" t="str">
        <f>IF(OR('Etape5-Trait.+recyclage déchets'!$B$4=yes,'Etape5-Trait.+recyclage déchets'!$B$4=no),IF($B45=yes,'5-6 Other int use'!W37, IF($B45=no,"-", IF($B45=que,que, pres))),_SeF4)</f>
        <v>Présent ?</v>
      </c>
      <c r="I45" s="404" t="str">
        <f>IF(OR('Etape5-Trait.+recyclage déchets'!$B$4=yes,'Etape5-Trait.+recyclage déchets'!$B$4=no),IF($B45=yes,'5-6 Other int use'!X37, IF($B45=no,"-", IF($B45=que,que, pres))),_SeF4)</f>
        <v>Présent ?</v>
      </c>
      <c r="J45" s="404" t="str">
        <f>IF(OR('Etape5-Trait.+recyclage déchets'!$B$4=yes,'Etape5-Trait.+recyclage déchets'!$B$4=no),IF($B45=yes,'5-6 Other int use'!Y37, IF($B45=no,"-", IF($B45=que,que, pres))),_SeF4)</f>
        <v>Présent ?</v>
      </c>
      <c r="K45" s="404" t="str">
        <f>IF(OR('Etape5-Trait.+recyclage déchets'!$B$4=yes,'Etape5-Trait.+recyclage déchets'!$B$4=no),IF($B45=yes,'5-6 Other int use'!Z37, IF($B45=no,"-", IF($B45=que,que, pres))),_SeF4)</f>
        <v>Présent ?</v>
      </c>
      <c r="L45" s="404" t="str">
        <f>IF(OR('Etape5-Trait.+recyclage déchets'!$B$4=yes,'Etape5-Trait.+recyclage déchets'!$B$4=no),IF($B45=yes,'5-6 Other int use'!AA37, IF($B45=no,"-", IF($B45=que,que, pres))),_SeF4)</f>
        <v>Présent ?</v>
      </c>
      <c r="M45" s="273" t="s">
        <v>230</v>
      </c>
      <c r="N45" s="459"/>
      <c r="O45" s="338" t="str">
        <f>INDEX('Range-thresholds'!$G$6:$G$73,MATCH(A45,'Range-thresholds'!$A$6:$A$73,0))</f>
        <v/>
      </c>
    </row>
    <row r="46" spans="1:15">
      <c r="A46" s="275"/>
      <c r="B46" s="275"/>
      <c r="C46" s="495">
        <f>'Etape 1-Données pays'!$D$23</f>
        <v>100</v>
      </c>
      <c r="D46" s="344" t="s">
        <v>994</v>
      </c>
      <c r="E46" s="344"/>
      <c r="F46" s="455"/>
      <c r="G46" s="404"/>
      <c r="H46" s="404"/>
      <c r="I46" s="404"/>
      <c r="J46" s="404"/>
      <c r="K46" s="404"/>
      <c r="L46" s="404"/>
      <c r="M46" s="273"/>
      <c r="N46" s="459"/>
    </row>
    <row r="47" spans="1:15" ht="13" thickBot="1">
      <c r="A47" s="275"/>
      <c r="B47" s="497"/>
      <c r="C47" s="495"/>
      <c r="D47" s="344"/>
      <c r="E47" s="344"/>
      <c r="F47" s="455"/>
      <c r="G47" s="404"/>
      <c r="H47" s="404"/>
      <c r="I47" s="404"/>
      <c r="J47" s="404"/>
      <c r="K47" s="404"/>
      <c r="L47" s="404"/>
      <c r="M47" s="273"/>
      <c r="N47" s="459"/>
    </row>
    <row r="48" spans="1:15" ht="25.5" thickBot="1">
      <c r="A48" s="275" t="s">
        <v>992</v>
      </c>
      <c r="B48" s="693"/>
      <c r="C48" s="418">
        <f>'Etape 1-Données pays'!$B$6</f>
        <v>0</v>
      </c>
      <c r="D48" s="273" t="s">
        <v>972</v>
      </c>
      <c r="E48" s="273"/>
      <c r="F48" s="456" t="str">
        <f>IF(OR($B48=yes,$B48=yes),'5-6 Other int use'!K38, IF(OR($B48=no,$B48=no),"-", IF($B48=que,que, pres)))</f>
        <v>Présent ?</v>
      </c>
      <c r="G48" s="404" t="str">
        <f>IF(OR('Etape5-Trait.+recyclage déchets'!$B$4=yes,'Etape5-Trait.+recyclage déchets'!$B$4=no),IF($B48=yes,'5-6 Other int use'!V38, IF($B48=no,"-", IF($B48=que,que, pres))),_SeF4)</f>
        <v>Présent ?</v>
      </c>
      <c r="H48" s="404" t="str">
        <f>IF(OR('Etape5-Trait.+recyclage déchets'!$B$4=yes,'Etape5-Trait.+recyclage déchets'!$B$4=no),IF($B48=yes,'5-6 Other int use'!W38, IF($B48=no,"-", IF($B48=que,que, pres))),_SeF4)</f>
        <v>Présent ?</v>
      </c>
      <c r="I48" s="404" t="str">
        <f>IF(OR('Etape5-Trait.+recyclage déchets'!$B$4=yes,'Etape5-Trait.+recyclage déchets'!$B$4=no),IF($B48=yes,'5-6 Other int use'!X38, IF($B48=no,"-", IF($B48=que,que, pres))),_SeF4)</f>
        <v>Présent ?</v>
      </c>
      <c r="J48" s="404" t="str">
        <f>IF(OR('Etape5-Trait.+recyclage déchets'!$B$4=yes,'Etape5-Trait.+recyclage déchets'!$B$4=no),IF($B48=yes,'5-6 Other int use'!Y38, IF($B48=no,"-", IF($B48=que,que, pres))),_SeF4)</f>
        <v>Présent ?</v>
      </c>
      <c r="K48" s="404" t="str">
        <f>IF(OR('Etape5-Trait.+recyclage déchets'!$B$4=yes,'Etape5-Trait.+recyclage déchets'!$B$4=no),IF($B48=yes,'5-6 Other int use'!Z38, IF($B48=no,"-", IF($B48=que,que, pres))),_SeF4)</f>
        <v>Présent ?</v>
      </c>
      <c r="L48" s="404" t="str">
        <f>IF(OR('Etape5-Trait.+recyclage déchets'!$B$4=yes,'Etape5-Trait.+recyclage déchets'!$B$4=no),IF($B48=yes,'5-6 Other int use'!AA38, IF($B48=no,"-", IF($B48=que,que, pres))),_SeF4)</f>
        <v>Présent ?</v>
      </c>
      <c r="M48" s="367" t="s">
        <v>373</v>
      </c>
      <c r="N48" s="459"/>
      <c r="O48" s="338" t="str">
        <f>INDEX('Range-thresholds'!$G$6:$G$73,MATCH(A48,'Range-thresholds'!$A$6:$A$73,0))</f>
        <v/>
      </c>
    </row>
    <row r="49" spans="1:14">
      <c r="A49" s="275"/>
      <c r="B49" s="275"/>
      <c r="C49" s="495">
        <f>'Etape 1-Données pays'!$D$23</f>
        <v>100</v>
      </c>
      <c r="D49" s="344" t="s">
        <v>994</v>
      </c>
      <c r="E49" s="344"/>
      <c r="F49" s="455"/>
      <c r="G49" s="404"/>
      <c r="H49" s="404"/>
      <c r="I49" s="404"/>
      <c r="J49" s="404"/>
      <c r="K49" s="404"/>
      <c r="L49" s="404"/>
      <c r="M49" s="273"/>
      <c r="N49" s="459"/>
    </row>
    <row r="52" spans="1:14">
      <c r="A52" s="807"/>
    </row>
    <row r="53" spans="1:14">
      <c r="A53" s="618"/>
    </row>
  </sheetData>
  <sheetProtection algorithmName="SHA-512" hashValue="NDesmAkXVyMZ8L0QknOWfVXKJ/qqQzwfMbKIO2odpKYX70o+SK+Xm8/Bh2tAWK7izMnisE/gT0cB7e9e5t9adQ==" saltValue="13euSUbl69cke/cxEzU7Cg==" spinCount="100000" sheet="1" objects="1" scenarios="1"/>
  <mergeCells count="5">
    <mergeCell ref="A2:M2"/>
    <mergeCell ref="F5:F6"/>
    <mergeCell ref="G6:M6"/>
    <mergeCell ref="G5:M5"/>
    <mergeCell ref="G3:L3"/>
  </mergeCells>
  <conditionalFormatting sqref="F7 F15 F20 F23 F28 F33 F36 F38 F40 F42 F45 F48">
    <cfRule type="expression" dxfId="13" priority="13" stopIfTrue="1">
      <formula>AND(B7="y",O7="n")</formula>
    </cfRule>
  </conditionalFormatting>
  <conditionalFormatting sqref="A2">
    <cfRule type="expression" dxfId="12" priority="12" stopIfTrue="1">
      <formula>$A$2&lt;&gt;""</formula>
    </cfRule>
  </conditionalFormatting>
  <conditionalFormatting sqref="E13:G13 E12:H12">
    <cfRule type="expression" dxfId="11" priority="5">
      <formula>OR($E$7="y", $E$7="s", $E$7="o", $E$7="da")</formula>
    </cfRule>
  </conditionalFormatting>
  <conditionalFormatting sqref="H13">
    <cfRule type="expression" dxfId="10" priority="4">
      <formula>OR($E$7="y", $E$7="s", $E$7="o", $E$7="da")</formula>
    </cfRule>
  </conditionalFormatting>
  <conditionalFormatting sqref="G13">
    <cfRule type="expression" dxfId="9" priority="3">
      <formula>$G$9&lt;0</formula>
    </cfRule>
  </conditionalFormatting>
  <conditionalFormatting sqref="D13">
    <cfRule type="expression" dxfId="8" priority="2">
      <formula>$G$13&lt;0</formula>
    </cfRule>
  </conditionalFormatting>
  <dataValidations count="8">
    <dataValidation type="list" allowBlank="1" showDropDown="1" showInputMessage="1" showErrorMessage="1" errorTitle="Input error" error="Enter only y, n or ? (or translation of these)" sqref="B19 B32 B34:B35 B37 B39 B41 B43:B44 B46:B47" xr:uid="{00000000-0002-0000-0C00-000000000000}">
      <formula1>yn?</formula1>
    </dataValidation>
    <dataValidation type="list" allowBlank="1" showInputMessage="1" showErrorMessage="1" errorTitle="Input error" error="Enter only y, n or ? (or translation of these)" sqref="B15 B28 B23" xr:uid="{00000000-0002-0000-0C00-000001000000}">
      <formula1>yn?</formula1>
    </dataValidation>
    <dataValidation type="list" allowBlank="1" showInputMessage="1" showErrorMessage="1" sqref="E7" xr:uid="{00000000-0002-0000-0C00-000002000000}">
      <formula1>yn</formula1>
    </dataValidation>
    <dataValidation allowBlank="1" showInputMessage="1" showErrorMessage="1" promptTitle="Contrôles" prompt="La cellule est bleue, si vous avez modifié la sélection des contrôles par défaut entrée à l'origine. Pour le restaurer, entrez la sélection des contrôles par défaut indiquée dans l'onglet &quot;Contrôles par défaut&quot;" sqref="M13" xr:uid="{00000000-0002-0000-0C00-000003000000}"/>
    <dataValidation allowBlank="1" showInputMessage="1" showErrorMessage="1" promptTitle="Contrôles" prompt="Inscrivez le pourcentage du taux d'activité total qui est utilisé dans les installations avec cliniques équipées avec des séparateurs d'amalgames très efficaces" sqref="H13" xr:uid="{00000000-0002-0000-0C00-000004000000}"/>
    <dataValidation allowBlank="1" showErrorMessage="1" promptTitle="Controls" prompt="Clinics with only chair strainers (automatically calculated)" sqref="G13" xr:uid="{00000000-0002-0000-0C00-000005000000}"/>
    <dataValidation type="list" allowBlank="1" showInputMessage="1" showErrorMessage="1" errorTitle="Input error" error="Enter only y, n or ? (or translation of these)" prompt="Entrer: O, N ou ?" sqref="B7 B16:B18 B20 B24:B26 B29:B31 B33 B36 B38 B40 B42 B45 B48" xr:uid="{00000000-0002-0000-0C00-000006000000}">
      <formula1>yn?</formula1>
    </dataValidation>
    <dataValidation type="decimal" allowBlank="1" showInputMessage="1" showErrorMessage="1" errorTitle="Input error" error="Use digits and decimal mark only." prompt="Utiliser des chiffres et décimales seulement." sqref="C29 C16:C18 C24:C26 C29:C31 C36 C38 C40" xr:uid="{00000000-0002-0000-0C00-000007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7" id="{93A2D4A2-7FB4-4F36-8536-C9BBE7D0CD0D}">
            <xm:f>'Insérer résultats IN2'!$K$51&lt;&gt;""</xm:f>
            <x14:dxf>
              <font>
                <color rgb="FFFF0000"/>
              </font>
            </x14:dxf>
          </x14:cfRule>
          <xm:sqref>A52</xm:sqref>
        </x14:conditionalFormatting>
        <x14:conditionalFormatting xmlns:xm="http://schemas.microsoft.com/office/excel/2006/main">
          <x14:cfRule type="expression" priority="1" id="{6D437C2E-AF25-4CE9-B5CF-BB145D0507B3}">
            <xm:f>OR($G$13&lt;&gt;'Contrôles par défaut'!$C$54,$H$13&lt;&gt;'Contrôles par défaut'!$D$54,$I$13&lt;&gt;'Contrôles par défaut'!$E$54,$J$13&lt;&gt;'Contrôles par défaut'!$F$54,$K$13&lt;&gt;'Contrôles par défaut'!$G$54,$L$13&lt;&gt;'Contrôles par défaut'!$H$54)</xm:f>
            <x14:dxf>
              <font>
                <color theme="1"/>
              </font>
              <fill>
                <patternFill>
                  <bgColor theme="8" tint="0.39994506668294322"/>
                </patternFill>
              </fill>
            </x14:dxf>
          </x14:cfRule>
          <xm:sqref>M13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K237"/>
  <sheetViews>
    <sheetView zoomScale="70" zoomScaleNormal="70" workbookViewId="0">
      <selection activeCell="G25" sqref="G25"/>
    </sheetView>
  </sheetViews>
  <sheetFormatPr defaultColWidth="8.81640625" defaultRowHeight="12.5"/>
  <cols>
    <col min="1" max="1" width="26" customWidth="1"/>
    <col min="2" max="2" width="14" customWidth="1"/>
    <col min="3" max="3" width="9.1796875" style="8"/>
    <col min="4" max="5" width="11.1796875" customWidth="1"/>
    <col min="6" max="6" width="10.1796875" customWidth="1"/>
    <col min="7" max="7" width="9.1796875" style="3"/>
    <col min="8" max="8" width="14.453125" customWidth="1"/>
    <col min="9" max="9" width="22.1796875" style="500" customWidth="1"/>
    <col min="10" max="10" width="18.453125" customWidth="1"/>
  </cols>
  <sheetData>
    <row r="1" spans="1:11" ht="13">
      <c r="A1" s="306" t="s">
        <v>700</v>
      </c>
      <c r="B1" s="8"/>
    </row>
    <row r="2" spans="1:11" ht="13">
      <c r="A2" s="5" t="s">
        <v>467</v>
      </c>
      <c r="B2" s="8"/>
    </row>
    <row r="3" spans="1:11" ht="13">
      <c r="A3" s="5" t="s">
        <v>468</v>
      </c>
      <c r="B3" s="8"/>
    </row>
    <row r="4" spans="1:11" ht="13">
      <c r="A4" s="5" t="s">
        <v>469</v>
      </c>
      <c r="B4" s="8"/>
    </row>
    <row r="6" spans="1:11">
      <c r="D6" s="3"/>
      <c r="E6" s="3"/>
      <c r="F6" s="3"/>
    </row>
    <row r="7" spans="1:11" ht="88">
      <c r="A7" s="125" t="s">
        <v>470</v>
      </c>
      <c r="B7" s="126" t="s">
        <v>1229</v>
      </c>
      <c r="C7" s="126" t="s">
        <v>598</v>
      </c>
      <c r="D7" s="126" t="s">
        <v>682</v>
      </c>
      <c r="E7" s="126" t="s">
        <v>683</v>
      </c>
      <c r="F7" s="126" t="s">
        <v>684</v>
      </c>
      <c r="G7" s="66" t="s">
        <v>685</v>
      </c>
      <c r="K7" s="507"/>
    </row>
    <row r="8" spans="1:11" s="529" customFormat="1" ht="13">
      <c r="A8" s="778" t="s">
        <v>1117</v>
      </c>
      <c r="B8" s="519">
        <v>0</v>
      </c>
      <c r="C8" s="520">
        <v>100</v>
      </c>
      <c r="D8" s="521">
        <v>0.82919079065322876</v>
      </c>
      <c r="E8" s="521"/>
      <c r="F8" s="522"/>
      <c r="G8" s="3"/>
      <c r="H8" s="530"/>
    </row>
    <row r="9" spans="1:11" s="529" customFormat="1" ht="13">
      <c r="A9" s="518" t="s">
        <v>471</v>
      </c>
      <c r="B9" s="523">
        <v>33736494</v>
      </c>
      <c r="C9" s="520">
        <v>15.5</v>
      </c>
      <c r="D9" s="521">
        <f t="shared" ref="D9:D16" si="0">IF(E9&lt;$B$211,$B$211,E9)</f>
        <v>2.8528733178973198E-2</v>
      </c>
      <c r="E9" s="521">
        <v>2.8528733178973198E-2</v>
      </c>
      <c r="F9" s="522">
        <v>2001</v>
      </c>
      <c r="G9" s="3" t="s">
        <v>596</v>
      </c>
      <c r="H9" s="530"/>
    </row>
    <row r="10" spans="1:11">
      <c r="A10" s="524" t="s">
        <v>599</v>
      </c>
      <c r="B10" s="523">
        <v>2923352</v>
      </c>
      <c r="C10" s="520">
        <v>100</v>
      </c>
      <c r="D10" s="521">
        <f t="shared" si="0"/>
        <v>0.44522741436958313</v>
      </c>
      <c r="E10" s="521">
        <v>0.44522741436958313</v>
      </c>
      <c r="F10" s="522">
        <v>1998</v>
      </c>
      <c r="K10" s="48"/>
    </row>
    <row r="11" spans="1:11" ht="14.5">
      <c r="A11" s="518" t="s">
        <v>472</v>
      </c>
      <c r="B11" s="501">
        <v>39871528</v>
      </c>
      <c r="C11" s="520">
        <v>99.3</v>
      </c>
      <c r="D11" s="521">
        <f t="shared" si="0"/>
        <v>0.3055395781993866</v>
      </c>
      <c r="E11" s="521">
        <v>0.3055395781993866</v>
      </c>
      <c r="F11" s="522">
        <v>2002</v>
      </c>
      <c r="G11" s="3" t="s">
        <v>596</v>
      </c>
      <c r="K11" s="48"/>
    </row>
    <row r="12" spans="1:11" ht="14.5">
      <c r="A12" s="518" t="s">
        <v>600</v>
      </c>
      <c r="B12" s="501">
        <v>78014</v>
      </c>
      <c r="C12" s="520">
        <v>99.8</v>
      </c>
      <c r="D12" s="521">
        <f t="shared" si="0"/>
        <v>0.66666668653488159</v>
      </c>
      <c r="E12" s="521">
        <v>0.66666668653488159</v>
      </c>
      <c r="F12" s="522">
        <v>2003</v>
      </c>
      <c r="K12" s="48"/>
    </row>
    <row r="13" spans="1:11" ht="14.5">
      <c r="A13" s="524" t="s">
        <v>473</v>
      </c>
      <c r="B13" s="501">
        <v>27859305</v>
      </c>
      <c r="C13" s="520">
        <v>26.2</v>
      </c>
      <c r="D13" s="521">
        <f t="shared" si="0"/>
        <v>1.6919938474893571E-2</v>
      </c>
      <c r="E13" s="521">
        <v>1.7471826868131757E-4</v>
      </c>
      <c r="F13" s="522">
        <v>1997</v>
      </c>
      <c r="G13" s="3" t="s">
        <v>596</v>
      </c>
      <c r="K13" s="531"/>
    </row>
    <row r="14" spans="1:11" ht="14.5">
      <c r="A14" s="518" t="s">
        <v>601</v>
      </c>
      <c r="B14" s="501">
        <v>99923</v>
      </c>
      <c r="C14" s="520">
        <v>99.8</v>
      </c>
      <c r="D14" s="521">
        <f t="shared" si="0"/>
        <v>0.18840579688549042</v>
      </c>
      <c r="E14" s="521">
        <v>0.18840579688549042</v>
      </c>
      <c r="F14" s="522">
        <v>1997</v>
      </c>
      <c r="I14" s="502"/>
    </row>
    <row r="15" spans="1:11" ht="14.5">
      <c r="A15" s="518" t="s">
        <v>474</v>
      </c>
      <c r="B15" s="501">
        <v>43417765</v>
      </c>
      <c r="C15" s="520">
        <v>97.2</v>
      </c>
      <c r="D15" s="521">
        <f t="shared" si="0"/>
        <v>0.79938042163848877</v>
      </c>
      <c r="E15" s="521">
        <v>0.79938042163848877</v>
      </c>
      <c r="F15" s="522">
        <v>1998</v>
      </c>
      <c r="G15" s="36" t="s">
        <v>596</v>
      </c>
      <c r="I15" s="502"/>
    </row>
    <row r="16" spans="1:11" ht="14.5">
      <c r="A16" s="518" t="s">
        <v>475</v>
      </c>
      <c r="B16" s="501">
        <v>2916950</v>
      </c>
      <c r="C16" s="520">
        <v>99.8</v>
      </c>
      <c r="D16" s="521">
        <f t="shared" si="0"/>
        <v>0.26200586557388306</v>
      </c>
      <c r="E16" s="521">
        <v>0.26200586557388306</v>
      </c>
      <c r="F16" s="522">
        <v>2003</v>
      </c>
      <c r="I16" s="502"/>
    </row>
    <row r="17" spans="1:9" ht="14.5">
      <c r="A17" s="518" t="s">
        <v>602</v>
      </c>
      <c r="B17" s="501">
        <v>23799556</v>
      </c>
      <c r="C17" s="520">
        <v>99.8</v>
      </c>
      <c r="D17" s="521">
        <f>IF(E17&lt;$B$209,$B$209,E17)</f>
        <v>1.1004546880722046</v>
      </c>
      <c r="E17" s="521">
        <v>1.1004546880722046</v>
      </c>
      <c r="F17" s="522">
        <v>2001</v>
      </c>
      <c r="G17" s="36" t="s">
        <v>586</v>
      </c>
      <c r="I17" s="502"/>
    </row>
    <row r="18" spans="1:9" ht="14.5">
      <c r="A18" s="518" t="s">
        <v>476</v>
      </c>
      <c r="B18" s="501">
        <v>8678657</v>
      </c>
      <c r="C18" s="520">
        <v>100</v>
      </c>
      <c r="D18" s="521">
        <v>0.49741253256797791</v>
      </c>
      <c r="E18" s="521">
        <v>0.49741253256797791</v>
      </c>
      <c r="F18" s="522">
        <v>2003</v>
      </c>
      <c r="G18" s="36" t="s">
        <v>586</v>
      </c>
      <c r="I18" s="502"/>
    </row>
    <row r="19" spans="1:9" ht="14.5">
      <c r="A19" s="518" t="s">
        <v>603</v>
      </c>
      <c r="B19" s="501">
        <v>9617484</v>
      </c>
      <c r="C19" s="520">
        <v>100</v>
      </c>
      <c r="D19" s="521">
        <f t="shared" ref="D19:D24" si="1">IF(E19&lt;$B$211,$B$211,E19)</f>
        <v>0.271445631980896</v>
      </c>
      <c r="E19" s="521">
        <v>0.271445631980896</v>
      </c>
      <c r="F19" s="522">
        <v>2003</v>
      </c>
      <c r="I19" s="502"/>
    </row>
    <row r="20" spans="1:9" ht="14.5">
      <c r="A20" s="518" t="s">
        <v>604</v>
      </c>
      <c r="B20" s="501">
        <v>386838</v>
      </c>
      <c r="C20" s="520">
        <v>100</v>
      </c>
      <c r="D20" s="521">
        <f t="shared" si="1"/>
        <v>7.0945948362350464E-2</v>
      </c>
      <c r="E20" s="521">
        <v>7.0945948362350464E-2</v>
      </c>
      <c r="F20" s="522">
        <v>1998</v>
      </c>
      <c r="I20" s="502"/>
    </row>
    <row r="21" spans="1:9" ht="14.5">
      <c r="A21" s="518" t="s">
        <v>477</v>
      </c>
      <c r="B21" s="501">
        <v>1371855</v>
      </c>
      <c r="C21" s="520">
        <v>99.4</v>
      </c>
      <c r="D21" s="521">
        <f t="shared" si="1"/>
        <v>0.46278753876686096</v>
      </c>
      <c r="E21" s="521">
        <v>0.46278753876686096</v>
      </c>
      <c r="F21" s="522">
        <v>2004</v>
      </c>
      <c r="G21" s="36" t="s">
        <v>596</v>
      </c>
      <c r="I21" s="502"/>
    </row>
    <row r="22" spans="1:9" ht="14.5">
      <c r="A22" s="518" t="s">
        <v>478</v>
      </c>
      <c r="B22" s="501">
        <v>161200886</v>
      </c>
      <c r="C22" s="520">
        <v>41</v>
      </c>
      <c r="D22" s="521">
        <f t="shared" si="1"/>
        <v>1.69513039290905E-2</v>
      </c>
      <c r="E22" s="521">
        <v>1.69513039290905E-2</v>
      </c>
      <c r="F22" s="522">
        <v>2004</v>
      </c>
      <c r="G22" s="36" t="s">
        <v>596</v>
      </c>
      <c r="I22" s="502"/>
    </row>
    <row r="23" spans="1:9" ht="14.5">
      <c r="A23" s="518" t="s">
        <v>605</v>
      </c>
      <c r="B23" s="501">
        <v>284217</v>
      </c>
      <c r="C23" s="520">
        <v>100</v>
      </c>
      <c r="D23" s="521">
        <f t="shared" si="1"/>
        <v>0.23595505952835083</v>
      </c>
      <c r="E23" s="521">
        <v>0.23595505952835083</v>
      </c>
      <c r="F23" s="522">
        <v>1999</v>
      </c>
      <c r="I23" s="502"/>
    </row>
    <row r="24" spans="1:9" ht="14.5">
      <c r="A24" s="518" t="s">
        <v>606</v>
      </c>
      <c r="B24" s="501">
        <v>9485772</v>
      </c>
      <c r="C24" s="520">
        <v>78.3</v>
      </c>
      <c r="D24" s="521">
        <f t="shared" si="1"/>
        <v>0.43607881665229797</v>
      </c>
      <c r="E24" s="521">
        <v>0.43607881665229797</v>
      </c>
      <c r="F24" s="522">
        <v>2003</v>
      </c>
      <c r="I24" s="502"/>
    </row>
    <row r="25" spans="1:9" ht="14.5">
      <c r="A25" s="518" t="s">
        <v>479</v>
      </c>
      <c r="B25" s="501">
        <v>11287940</v>
      </c>
      <c r="C25" s="520">
        <v>100</v>
      </c>
      <c r="D25" s="521">
        <v>0.80827504396438599</v>
      </c>
      <c r="E25" s="521">
        <v>0.80827504396438599</v>
      </c>
      <c r="F25" s="522">
        <v>2002</v>
      </c>
      <c r="G25" s="36" t="s">
        <v>586</v>
      </c>
      <c r="I25" s="502"/>
    </row>
    <row r="26" spans="1:9" ht="14.5">
      <c r="A26" s="518" t="s">
        <v>607</v>
      </c>
      <c r="B26" s="501">
        <v>359288</v>
      </c>
      <c r="C26" s="520">
        <v>85</v>
      </c>
      <c r="D26" s="521">
        <f t="shared" ref="D26:D38" si="2">IF(E26&lt;$B$211,$B$211,E26)</f>
        <v>0.13333334028720856</v>
      </c>
      <c r="E26" s="521">
        <v>0.13333334028720856</v>
      </c>
      <c r="F26" s="522">
        <v>2000</v>
      </c>
      <c r="I26" s="502"/>
    </row>
    <row r="27" spans="1:9" ht="14.5">
      <c r="A27" s="518" t="s">
        <v>480</v>
      </c>
      <c r="B27" s="501">
        <v>10575952</v>
      </c>
      <c r="C27" s="520">
        <v>24.8</v>
      </c>
      <c r="D27" s="521">
        <f t="shared" si="2"/>
        <v>1.6919938474893571E-2</v>
      </c>
      <c r="E27" s="521">
        <v>1.7346054082736373E-3</v>
      </c>
      <c r="F27" s="522">
        <v>2004</v>
      </c>
      <c r="G27" s="3" t="s">
        <v>596</v>
      </c>
      <c r="I27" s="502"/>
    </row>
    <row r="28" spans="1:9" ht="14.5">
      <c r="A28" s="518" t="s">
        <v>608</v>
      </c>
      <c r="B28" s="501">
        <v>787386</v>
      </c>
      <c r="C28" s="520">
        <v>72</v>
      </c>
      <c r="D28" s="521">
        <f t="shared" si="2"/>
        <v>2.4946236982941628E-2</v>
      </c>
      <c r="E28" s="521">
        <v>2.4946236982941628E-2</v>
      </c>
      <c r="F28" s="522">
        <v>2004</v>
      </c>
      <c r="I28" s="502"/>
    </row>
    <row r="29" spans="1:9" ht="14.5">
      <c r="A29" s="518" t="s">
        <v>481</v>
      </c>
      <c r="B29" s="501">
        <v>10724705</v>
      </c>
      <c r="C29" s="520">
        <v>77.5</v>
      </c>
      <c r="D29" s="521">
        <f t="shared" si="2"/>
        <v>0.70710998773574829</v>
      </c>
      <c r="E29" s="521">
        <v>0.70710998773574829</v>
      </c>
      <c r="F29" s="522">
        <v>2001</v>
      </c>
      <c r="G29" s="3" t="s">
        <v>596</v>
      </c>
      <c r="I29" s="502"/>
    </row>
    <row r="30" spans="1:9" ht="14.5">
      <c r="A30" s="518" t="s">
        <v>609</v>
      </c>
      <c r="B30" s="501">
        <v>3535961</v>
      </c>
      <c r="C30" s="520">
        <v>98.5</v>
      </c>
      <c r="D30" s="521">
        <f t="shared" si="2"/>
        <v>0.16582551598548889</v>
      </c>
      <c r="E30" s="521">
        <v>0.16582551598548889</v>
      </c>
      <c r="F30" s="522">
        <v>2003</v>
      </c>
      <c r="I30" s="502"/>
    </row>
    <row r="31" spans="1:9" ht="14.5">
      <c r="A31" s="518" t="s">
        <v>482</v>
      </c>
      <c r="B31" s="501">
        <v>2209197</v>
      </c>
      <c r="C31" s="520">
        <v>45.4</v>
      </c>
      <c r="D31" s="521">
        <f t="shared" si="2"/>
        <v>2.1169915795326233E-2</v>
      </c>
      <c r="E31" s="521">
        <v>2.1169915795326233E-2</v>
      </c>
      <c r="F31" s="522">
        <v>2004</v>
      </c>
      <c r="G31" s="3" t="s">
        <v>596</v>
      </c>
      <c r="I31" s="502"/>
    </row>
    <row r="32" spans="1:9" ht="14.5">
      <c r="A32" s="518" t="s">
        <v>483</v>
      </c>
      <c r="B32" s="501">
        <v>205962108</v>
      </c>
      <c r="C32" s="520">
        <v>98.3</v>
      </c>
      <c r="D32" s="521">
        <f t="shared" si="2"/>
        <v>1.1085705757141113</v>
      </c>
      <c r="E32" s="521">
        <v>1.1085705757141113</v>
      </c>
      <c r="F32" s="522">
        <v>2000</v>
      </c>
      <c r="G32" s="3" t="s">
        <v>596</v>
      </c>
      <c r="I32" s="502"/>
    </row>
    <row r="33" spans="1:9" ht="14.5">
      <c r="A33" s="524" t="s">
        <v>484</v>
      </c>
      <c r="B33" s="501">
        <v>417542</v>
      </c>
      <c r="C33" s="520">
        <v>99.7</v>
      </c>
      <c r="D33" s="521">
        <f t="shared" si="2"/>
        <v>0.14371258020401001</v>
      </c>
      <c r="E33" s="521">
        <v>0.14371258020401001</v>
      </c>
      <c r="F33" s="522">
        <v>2000</v>
      </c>
      <c r="G33" s="3" t="s">
        <v>596</v>
      </c>
      <c r="I33" s="502"/>
    </row>
    <row r="34" spans="1:9" ht="14.5">
      <c r="A34" s="518" t="s">
        <v>610</v>
      </c>
      <c r="B34" s="501">
        <v>7177396</v>
      </c>
      <c r="C34" s="520">
        <v>99</v>
      </c>
      <c r="D34" s="521">
        <f t="shared" si="2"/>
        <v>0.81993162631988525</v>
      </c>
      <c r="E34" s="521">
        <v>0.81993162631988525</v>
      </c>
      <c r="F34" s="522">
        <v>2003</v>
      </c>
      <c r="G34" s="36"/>
      <c r="I34" s="502"/>
    </row>
    <row r="35" spans="1:9" ht="14.5">
      <c r="A35" s="518" t="s">
        <v>485</v>
      </c>
      <c r="B35" s="501">
        <v>18110624</v>
      </c>
      <c r="C35" s="520">
        <v>14.6</v>
      </c>
      <c r="D35" s="521">
        <f t="shared" si="2"/>
        <v>1.6919938474893571E-2</v>
      </c>
      <c r="E35" s="521">
        <v>4.3306206353008747E-3</v>
      </c>
      <c r="F35" s="522">
        <v>2004</v>
      </c>
      <c r="G35" s="36" t="s">
        <v>596</v>
      </c>
      <c r="I35" s="502"/>
    </row>
    <row r="36" spans="1:9" ht="14.5">
      <c r="A36" s="518" t="s">
        <v>611</v>
      </c>
      <c r="B36" s="501">
        <v>10199270</v>
      </c>
      <c r="C36" s="520">
        <v>3.9</v>
      </c>
      <c r="D36" s="521">
        <f t="shared" si="2"/>
        <v>1.6919938474893571E-2</v>
      </c>
      <c r="E36" s="521">
        <v>1.9807582721114159E-3</v>
      </c>
      <c r="F36" s="522">
        <v>2004</v>
      </c>
      <c r="I36" s="502"/>
    </row>
    <row r="37" spans="1:9" ht="14.5">
      <c r="A37" s="518" t="s">
        <v>486</v>
      </c>
      <c r="B37" s="501">
        <v>15517635</v>
      </c>
      <c r="C37" s="520">
        <v>24</v>
      </c>
      <c r="D37" s="521">
        <f t="shared" si="2"/>
        <v>1.6919938474893571E-2</v>
      </c>
      <c r="E37" s="521">
        <v>1.5897162258625031E-2</v>
      </c>
      <c r="F37" s="522">
        <v>2000</v>
      </c>
      <c r="G37" s="3" t="s">
        <v>596</v>
      </c>
      <c r="I37" s="502"/>
    </row>
    <row r="38" spans="1:9" ht="14.5">
      <c r="A38" s="518" t="s">
        <v>487</v>
      </c>
      <c r="B38" s="501">
        <v>22834522</v>
      </c>
      <c r="C38" s="520">
        <v>48.7</v>
      </c>
      <c r="D38" s="521">
        <f t="shared" si="2"/>
        <v>1.6919938474893571E-2</v>
      </c>
      <c r="E38" s="521">
        <v>9.020618163049221E-3</v>
      </c>
      <c r="F38" s="522">
        <v>2004</v>
      </c>
      <c r="G38" s="3" t="s">
        <v>596</v>
      </c>
      <c r="I38" s="502"/>
    </row>
    <row r="39" spans="1:9" ht="14.5">
      <c r="A39" s="518" t="s">
        <v>612</v>
      </c>
      <c r="B39" s="501">
        <v>35949709</v>
      </c>
      <c r="C39" s="520">
        <v>97.3</v>
      </c>
      <c r="D39" s="521">
        <v>0.58680844306945801</v>
      </c>
      <c r="E39" s="521">
        <v>0.58680844306945801</v>
      </c>
      <c r="F39" s="522">
        <v>2003</v>
      </c>
      <c r="G39" s="36" t="s">
        <v>586</v>
      </c>
      <c r="I39" s="502"/>
    </row>
    <row r="40" spans="1:9" ht="14.5">
      <c r="A40" s="518" t="s">
        <v>613</v>
      </c>
      <c r="B40" s="501">
        <v>532913</v>
      </c>
      <c r="C40" s="520">
        <v>67</v>
      </c>
      <c r="D40" s="521">
        <f>IF(E40&lt;$B$211,$B$211,E40)</f>
        <v>2.3255813866853714E-2</v>
      </c>
      <c r="E40" s="521">
        <v>2.3255813866853714E-2</v>
      </c>
      <c r="F40" s="522">
        <v>2004</v>
      </c>
      <c r="I40" s="502"/>
    </row>
    <row r="41" spans="1:9" ht="14.5">
      <c r="A41" s="524" t="s">
        <v>614</v>
      </c>
      <c r="B41" s="501">
        <v>4546100</v>
      </c>
      <c r="C41" s="520">
        <v>6</v>
      </c>
      <c r="D41" s="521">
        <f>IF(E41&lt;$B$211,$B$211,E41)</f>
        <v>1.6919938474893571E-2</v>
      </c>
      <c r="E41" s="521">
        <v>3.3231084235012531E-3</v>
      </c>
      <c r="F41" s="522">
        <v>2004</v>
      </c>
      <c r="I41" s="502"/>
    </row>
    <row r="42" spans="1:9" ht="14.5">
      <c r="A42" s="524" t="s">
        <v>615</v>
      </c>
      <c r="B42" s="501">
        <v>14009413</v>
      </c>
      <c r="C42" s="520">
        <v>3.5</v>
      </c>
      <c r="D42" s="521">
        <f>IF(E42&lt;$B$211,$B$211,E42)</f>
        <v>1.6919938474893571E-2</v>
      </c>
      <c r="E42" s="521">
        <v>1.6941495705395937E-3</v>
      </c>
      <c r="F42" s="522">
        <v>2004</v>
      </c>
      <c r="I42" s="502"/>
    </row>
    <row r="43" spans="1:9" ht="14.5">
      <c r="A43" s="518" t="s">
        <v>488</v>
      </c>
      <c r="B43" s="501">
        <v>17762681</v>
      </c>
      <c r="C43" s="520">
        <v>98.5</v>
      </c>
      <c r="D43" s="521">
        <v>0.42705300450325012</v>
      </c>
      <c r="E43" s="521">
        <v>0.42705300450325012</v>
      </c>
      <c r="F43" s="522">
        <v>2003</v>
      </c>
      <c r="G43" s="36" t="s">
        <v>597</v>
      </c>
      <c r="I43" s="502"/>
    </row>
    <row r="44" spans="1:9" ht="14.5">
      <c r="A44" s="518" t="s">
        <v>489</v>
      </c>
      <c r="B44" s="501">
        <v>1397028553</v>
      </c>
      <c r="C44" s="520">
        <v>99.4</v>
      </c>
      <c r="D44" s="521">
        <f t="shared" ref="D44:D53" si="3">IF(E44&lt;$B$211,$B$211,E44)</f>
        <v>0.10561773180961609</v>
      </c>
      <c r="E44" s="521">
        <v>0.10561773180961609</v>
      </c>
      <c r="F44" s="522">
        <v>2001</v>
      </c>
      <c r="G44" s="3" t="s">
        <v>596</v>
      </c>
    </row>
    <row r="45" spans="1:9" ht="14.5">
      <c r="A45" s="518" t="s">
        <v>687</v>
      </c>
      <c r="B45" s="501">
        <v>23485755</v>
      </c>
      <c r="C45" s="520">
        <v>99</v>
      </c>
      <c r="D45" s="521">
        <f t="shared" si="3"/>
        <v>0.40781129896640778</v>
      </c>
      <c r="E45" s="521">
        <f>($E$44+$E$95)/2</f>
        <v>0.40781129896640778</v>
      </c>
      <c r="F45" s="528"/>
    </row>
    <row r="46" spans="1:9" ht="14.5">
      <c r="A46" s="518" t="s">
        <v>490</v>
      </c>
      <c r="B46" s="501">
        <v>48228697</v>
      </c>
      <c r="C46" s="520">
        <v>93.6</v>
      </c>
      <c r="D46" s="521">
        <f t="shared" si="3"/>
        <v>0.78001654148101807</v>
      </c>
      <c r="E46" s="521">
        <v>0.78001654148101807</v>
      </c>
      <c r="F46" s="522">
        <v>2002</v>
      </c>
      <c r="G46" s="36" t="s">
        <v>596</v>
      </c>
    </row>
    <row r="47" spans="1:9" ht="14.5">
      <c r="A47" s="518" t="s">
        <v>616</v>
      </c>
      <c r="B47" s="525">
        <v>777424</v>
      </c>
      <c r="C47" s="520">
        <v>44.8</v>
      </c>
      <c r="D47" s="521">
        <f t="shared" si="3"/>
        <v>3.6708861589431763E-2</v>
      </c>
      <c r="E47" s="521">
        <v>3.6708861589431763E-2</v>
      </c>
      <c r="F47" s="522">
        <v>2004</v>
      </c>
    </row>
    <row r="48" spans="1:9" ht="14.5">
      <c r="A48" s="518" t="s">
        <v>618</v>
      </c>
      <c r="B48" s="501">
        <v>17449</v>
      </c>
      <c r="C48" s="520">
        <v>99</v>
      </c>
      <c r="D48" s="521">
        <f t="shared" si="3"/>
        <v>0.55555558204650879</v>
      </c>
      <c r="E48" s="521">
        <v>0.55555558204650879</v>
      </c>
      <c r="F48" s="522">
        <v>2001</v>
      </c>
    </row>
    <row r="49" spans="1:11" ht="14.5">
      <c r="A49" s="518" t="s">
        <v>491</v>
      </c>
      <c r="B49" s="501">
        <v>4807852</v>
      </c>
      <c r="C49" s="520">
        <v>99.3</v>
      </c>
      <c r="D49" s="521">
        <f t="shared" si="3"/>
        <v>0.48485618829727173</v>
      </c>
      <c r="E49" s="521">
        <v>0.48485618829727173</v>
      </c>
      <c r="F49" s="522">
        <v>2000</v>
      </c>
      <c r="G49" s="3" t="s">
        <v>596</v>
      </c>
    </row>
    <row r="50" spans="1:11" ht="14.5">
      <c r="A50" s="524" t="s">
        <v>492</v>
      </c>
      <c r="B50" s="501">
        <v>23108472</v>
      </c>
      <c r="C50" s="520">
        <v>47.3</v>
      </c>
      <c r="D50" s="521">
        <f t="shared" si="3"/>
        <v>2.0062733441591263E-2</v>
      </c>
      <c r="E50" s="521">
        <v>2.0062733441591263E-2</v>
      </c>
      <c r="F50" s="522">
        <v>2004</v>
      </c>
      <c r="G50" s="3" t="s">
        <v>596</v>
      </c>
    </row>
    <row r="51" spans="1:11" ht="14.5">
      <c r="A51" s="518" t="s">
        <v>619</v>
      </c>
      <c r="B51" s="501">
        <v>4236016</v>
      </c>
      <c r="C51" s="520">
        <v>99</v>
      </c>
      <c r="D51" s="521">
        <f t="shared" si="3"/>
        <v>0.69670277833938599</v>
      </c>
      <c r="E51" s="521">
        <v>0.69670277833938599</v>
      </c>
      <c r="F51" s="522">
        <v>2003</v>
      </c>
      <c r="G51" s="36"/>
      <c r="J51" s="503"/>
      <c r="K51" s="502"/>
    </row>
    <row r="52" spans="1:11" ht="14.5">
      <c r="A52" s="518" t="s">
        <v>493</v>
      </c>
      <c r="B52" s="501">
        <v>11461432</v>
      </c>
      <c r="C52" s="520">
        <v>97</v>
      </c>
      <c r="D52" s="521">
        <f t="shared" si="3"/>
        <v>0.87312573194503784</v>
      </c>
      <c r="E52" s="521">
        <v>0.87312573194503784</v>
      </c>
      <c r="F52" s="522">
        <v>2002</v>
      </c>
      <c r="G52" s="36" t="s">
        <v>596</v>
      </c>
      <c r="J52" s="503"/>
      <c r="K52" s="504"/>
    </row>
    <row r="53" spans="1:11" ht="14.5">
      <c r="A53" s="518" t="s">
        <v>620</v>
      </c>
      <c r="B53" s="501">
        <v>1160985</v>
      </c>
      <c r="C53" s="520">
        <v>99.5</v>
      </c>
      <c r="D53" s="521">
        <f t="shared" si="3"/>
        <v>0.81658291816711426</v>
      </c>
      <c r="E53" s="521">
        <v>0.81658291816711426</v>
      </c>
      <c r="F53" s="522">
        <v>2002</v>
      </c>
      <c r="J53" s="503"/>
      <c r="K53" s="504"/>
    </row>
    <row r="54" spans="1:11" ht="14.5">
      <c r="A54" s="518" t="s">
        <v>621</v>
      </c>
      <c r="B54" s="501">
        <v>10603762</v>
      </c>
      <c r="C54" s="520">
        <v>99</v>
      </c>
      <c r="D54" s="521">
        <v>0.65816724300384521</v>
      </c>
      <c r="E54" s="521">
        <v>0.65816724300384521</v>
      </c>
      <c r="F54" s="522">
        <v>2003</v>
      </c>
      <c r="G54" s="36" t="s">
        <v>586</v>
      </c>
      <c r="J54" s="503"/>
      <c r="K54" s="504"/>
    </row>
    <row r="55" spans="1:11" ht="14.5">
      <c r="A55" s="524" t="s">
        <v>494</v>
      </c>
      <c r="B55" s="501">
        <v>25243917</v>
      </c>
      <c r="C55" s="520">
        <v>26</v>
      </c>
      <c r="D55" s="521">
        <f>IF(E55&lt;$B$211,$B$211,E55)</f>
        <v>0.36688140034675598</v>
      </c>
      <c r="E55" s="521">
        <v>0.36688140034675598</v>
      </c>
      <c r="F55" s="522">
        <v>2003</v>
      </c>
      <c r="G55" s="36" t="s">
        <v>596</v>
      </c>
      <c r="J55" s="503"/>
      <c r="K55" s="502"/>
    </row>
    <row r="56" spans="1:11" ht="14.5">
      <c r="A56" s="524" t="s">
        <v>495</v>
      </c>
      <c r="B56" s="501">
        <v>76196619</v>
      </c>
      <c r="C56" s="520">
        <v>11.1</v>
      </c>
      <c r="D56" s="521">
        <f>IF(E56&lt;$B$211,$B$211,E56)</f>
        <v>1.6919938474893571E-2</v>
      </c>
      <c r="E56" s="521">
        <v>2.9218809213489294E-3</v>
      </c>
      <c r="F56" s="522">
        <v>2004</v>
      </c>
      <c r="G56" s="36" t="s">
        <v>596</v>
      </c>
      <c r="J56" s="503"/>
      <c r="K56" s="504"/>
    </row>
    <row r="57" spans="1:11">
      <c r="A57" s="518" t="s">
        <v>496</v>
      </c>
      <c r="B57" s="523">
        <v>5688695</v>
      </c>
      <c r="C57" s="520">
        <v>100</v>
      </c>
      <c r="D57" s="521">
        <v>0.82919079065322876</v>
      </c>
      <c r="E57" s="521">
        <v>0.82919079065322876</v>
      </c>
      <c r="F57" s="522">
        <v>2002</v>
      </c>
      <c r="G57" s="36" t="s">
        <v>586</v>
      </c>
      <c r="J57" s="503"/>
      <c r="K57" s="502"/>
    </row>
    <row r="58" spans="1:11">
      <c r="A58" s="524" t="s">
        <v>622</v>
      </c>
      <c r="B58" s="523">
        <v>927414</v>
      </c>
      <c r="C58" s="520">
        <v>62.2</v>
      </c>
      <c r="D58" s="521">
        <f t="shared" ref="D58:D69" si="4">IF(E58&lt;$B$211,$B$211,E58)</f>
        <v>1.6919938474893571E-2</v>
      </c>
      <c r="E58" s="521">
        <v>1.4044944196939468E-2</v>
      </c>
      <c r="F58" s="522">
        <v>2004</v>
      </c>
      <c r="G58" s="36"/>
      <c r="J58" s="503"/>
      <c r="K58" s="504"/>
    </row>
    <row r="59" spans="1:11">
      <c r="A59" s="524" t="s">
        <v>623</v>
      </c>
      <c r="B59" s="523">
        <v>73162</v>
      </c>
      <c r="C59" s="520">
        <v>87.7</v>
      </c>
      <c r="D59" s="521">
        <f t="shared" si="4"/>
        <v>5.2631579339504242E-2</v>
      </c>
      <c r="E59" s="521">
        <v>5.2631579339504242E-2</v>
      </c>
      <c r="F59" s="522">
        <v>1997</v>
      </c>
      <c r="G59" s="36"/>
      <c r="J59" s="503"/>
      <c r="K59" s="502"/>
    </row>
    <row r="60" spans="1:11" ht="14.5">
      <c r="A60" s="518" t="s">
        <v>497</v>
      </c>
      <c r="B60" s="501">
        <v>10528394</v>
      </c>
      <c r="C60" s="520">
        <v>95.9</v>
      </c>
      <c r="D60" s="521">
        <f t="shared" si="4"/>
        <v>0.83802229166030884</v>
      </c>
      <c r="E60" s="521">
        <v>0.83802229166030884</v>
      </c>
      <c r="F60" s="522">
        <v>2000</v>
      </c>
      <c r="G60" s="36" t="s">
        <v>596</v>
      </c>
      <c r="J60" s="503"/>
      <c r="K60" s="504"/>
    </row>
    <row r="61" spans="1:11" ht="14.5">
      <c r="A61" s="518" t="s">
        <v>498</v>
      </c>
      <c r="B61" s="501">
        <v>16144368</v>
      </c>
      <c r="C61" s="520">
        <v>92.2</v>
      </c>
      <c r="D61" s="521">
        <f t="shared" si="4"/>
        <v>0.16602253913879395</v>
      </c>
      <c r="E61" s="521">
        <v>0.16602253913879395</v>
      </c>
      <c r="F61" s="522">
        <v>2000</v>
      </c>
      <c r="G61" s="36" t="s">
        <v>596</v>
      </c>
      <c r="J61" s="503"/>
      <c r="K61" s="504"/>
    </row>
    <row r="62" spans="1:11" ht="14.5">
      <c r="A62" s="518" t="s">
        <v>499</v>
      </c>
      <c r="B62" s="501">
        <v>93778172</v>
      </c>
      <c r="C62" s="520">
        <v>99.6</v>
      </c>
      <c r="D62" s="521">
        <f t="shared" si="4"/>
        <v>0.13512739539146423</v>
      </c>
      <c r="E62" s="521">
        <v>0.13512739539146423</v>
      </c>
      <c r="F62" s="522">
        <v>2004</v>
      </c>
      <c r="G62" s="36" t="s">
        <v>596</v>
      </c>
      <c r="J62" s="503"/>
      <c r="K62" s="504"/>
    </row>
    <row r="63" spans="1:11" ht="14.5">
      <c r="A63" s="518" t="s">
        <v>500</v>
      </c>
      <c r="B63" s="501">
        <v>6312478</v>
      </c>
      <c r="C63" s="520">
        <v>86.4</v>
      </c>
      <c r="D63" s="521">
        <f t="shared" si="4"/>
        <v>0.54014027118682861</v>
      </c>
      <c r="E63" s="521">
        <v>0.54014027118682861</v>
      </c>
      <c r="F63" s="522">
        <v>2002</v>
      </c>
      <c r="G63" s="36" t="s">
        <v>596</v>
      </c>
      <c r="J63" s="503"/>
      <c r="K63" s="502"/>
    </row>
    <row r="64" spans="1:11" ht="14.5">
      <c r="A64" s="524" t="s">
        <v>689</v>
      </c>
      <c r="B64" s="501">
        <v>1175389</v>
      </c>
      <c r="C64" s="520">
        <f>C73</f>
        <v>34.299999999999997</v>
      </c>
      <c r="D64" s="521">
        <f t="shared" si="4"/>
        <v>2.958579920232296E-2</v>
      </c>
      <c r="E64" s="521">
        <v>2.958579920232296E-2</v>
      </c>
      <c r="F64" s="522">
        <v>2004</v>
      </c>
      <c r="J64" s="503"/>
      <c r="K64" s="502"/>
    </row>
    <row r="65" spans="1:11" ht="14.5">
      <c r="A65" s="524" t="s">
        <v>501</v>
      </c>
      <c r="B65" s="501">
        <v>4846976</v>
      </c>
      <c r="C65" s="520">
        <v>32</v>
      </c>
      <c r="D65" s="521">
        <f t="shared" si="4"/>
        <v>1.6919938474893571E-2</v>
      </c>
      <c r="E65" s="521">
        <v>3.7235280033200979E-3</v>
      </c>
      <c r="F65" s="522">
        <v>2004</v>
      </c>
      <c r="G65" s="3" t="s">
        <v>596</v>
      </c>
      <c r="J65" s="503"/>
      <c r="K65" s="504"/>
    </row>
    <row r="66" spans="1:11" ht="14.5">
      <c r="A66" s="518" t="s">
        <v>624</v>
      </c>
      <c r="B66" s="501">
        <v>1315321</v>
      </c>
      <c r="C66" s="520">
        <v>99</v>
      </c>
      <c r="D66" s="521">
        <f t="shared" si="4"/>
        <v>1.2779809236526489</v>
      </c>
      <c r="E66" s="521">
        <v>1.2779809236526489</v>
      </c>
      <c r="F66" s="522">
        <v>2000</v>
      </c>
      <c r="G66" s="36" t="s">
        <v>586</v>
      </c>
      <c r="J66" s="503"/>
      <c r="K66" s="504"/>
    </row>
    <row r="67" spans="1:11" ht="14.5">
      <c r="A67" s="778" t="s">
        <v>1228</v>
      </c>
      <c r="B67" s="501">
        <v>1319011</v>
      </c>
      <c r="C67" s="520">
        <v>27</v>
      </c>
      <c r="D67" s="521">
        <f t="shared" si="4"/>
        <v>2.9547553509473801E-2</v>
      </c>
      <c r="E67" s="521">
        <v>2.9547553509473801E-2</v>
      </c>
      <c r="F67" s="522">
        <v>2004</v>
      </c>
      <c r="G67" s="36"/>
      <c r="J67" s="503"/>
      <c r="K67" s="502"/>
    </row>
    <row r="68" spans="1:11" ht="14.5">
      <c r="A68" s="518" t="s">
        <v>692</v>
      </c>
      <c r="B68" s="514">
        <v>99873033</v>
      </c>
      <c r="C68" s="520">
        <v>41</v>
      </c>
      <c r="D68" s="521">
        <f t="shared" si="4"/>
        <v>1.6919938474893571E-2</v>
      </c>
      <c r="E68" s="521">
        <f>($E$65+$E$169)/2</f>
        <v>2.8280098340474069E-3</v>
      </c>
      <c r="F68" s="522"/>
      <c r="J68" s="503"/>
      <c r="K68" s="502"/>
    </row>
    <row r="69" spans="1:11" ht="14.5">
      <c r="A69" s="518" t="s">
        <v>502</v>
      </c>
      <c r="B69" s="501">
        <v>892149</v>
      </c>
      <c r="C69" s="520">
        <v>87</v>
      </c>
      <c r="D69" s="521">
        <f t="shared" si="4"/>
        <v>3.9751552045345306E-2</v>
      </c>
      <c r="E69" s="521">
        <v>3.9751552045345306E-2</v>
      </c>
      <c r="F69" s="522">
        <v>1999</v>
      </c>
      <c r="G69" s="36" t="s">
        <v>586</v>
      </c>
    </row>
    <row r="70" spans="1:11" ht="14.5">
      <c r="A70" s="518" t="s">
        <v>503</v>
      </c>
      <c r="B70" s="501">
        <v>5481966</v>
      </c>
      <c r="C70" s="520">
        <v>100</v>
      </c>
      <c r="D70" s="521">
        <v>1.2842024564743042</v>
      </c>
      <c r="E70" s="521">
        <v>1.2842024564743042</v>
      </c>
      <c r="F70" s="522">
        <v>2002</v>
      </c>
      <c r="G70" s="36" t="s">
        <v>586</v>
      </c>
    </row>
    <row r="71" spans="1:11" ht="14.5">
      <c r="A71" s="518" t="s">
        <v>504</v>
      </c>
      <c r="B71" s="501">
        <v>64457201</v>
      </c>
      <c r="C71" s="520">
        <v>100</v>
      </c>
      <c r="D71" s="521">
        <v>0.67683756351470947</v>
      </c>
      <c r="E71" s="521">
        <v>0.67683756351470947</v>
      </c>
      <c r="F71" s="522">
        <v>2004</v>
      </c>
      <c r="G71" s="36" t="s">
        <v>596</v>
      </c>
    </row>
    <row r="72" spans="1:11" ht="14.5">
      <c r="A72" s="524" t="s">
        <v>505</v>
      </c>
      <c r="B72" s="501">
        <v>1930175</v>
      </c>
      <c r="C72" s="520">
        <v>36.700000000000003</v>
      </c>
      <c r="D72" s="521">
        <f>IF(E72&lt;$B$211,$B$211,E72)</f>
        <v>4.8852700740098953E-2</v>
      </c>
      <c r="E72" s="521">
        <v>4.8852700740098953E-2</v>
      </c>
      <c r="F72" s="522">
        <v>2004</v>
      </c>
    </row>
    <row r="73" spans="1:11" ht="14.5">
      <c r="A73" s="524" t="s">
        <v>625</v>
      </c>
      <c r="B73" s="501">
        <v>1977590</v>
      </c>
      <c r="C73" s="520">
        <v>34.299999999999997</v>
      </c>
      <c r="D73" s="521">
        <f>IF(E73&lt;$B$211,$B$211,E73)</f>
        <v>3.0154278501868248E-2</v>
      </c>
      <c r="E73" s="521">
        <v>3.0154278501868248E-2</v>
      </c>
      <c r="F73" s="522">
        <v>2003</v>
      </c>
      <c r="G73" s="36"/>
    </row>
    <row r="74" spans="1:11" ht="14.5">
      <c r="A74" s="518" t="s">
        <v>626</v>
      </c>
      <c r="B74" s="501">
        <v>3951524</v>
      </c>
      <c r="C74" s="520">
        <v>99.9</v>
      </c>
      <c r="D74" s="521">
        <f>IF(E74&lt;$B$211,$B$211,E74)</f>
        <v>0.28053063154220581</v>
      </c>
      <c r="E74" s="521">
        <v>0.28053063154220581</v>
      </c>
      <c r="F74" s="522">
        <v>2003</v>
      </c>
      <c r="G74" s="36" t="s">
        <v>586</v>
      </c>
    </row>
    <row r="75" spans="1:11" ht="14.5">
      <c r="A75" s="518" t="s">
        <v>506</v>
      </c>
      <c r="B75" s="501">
        <v>81707789</v>
      </c>
      <c r="C75" s="520">
        <v>100</v>
      </c>
      <c r="D75" s="521">
        <v>0.78336727619171143</v>
      </c>
      <c r="E75" s="521">
        <v>0.78336727619171143</v>
      </c>
      <c r="F75" s="522">
        <v>2003</v>
      </c>
      <c r="G75" s="36" t="s">
        <v>596</v>
      </c>
    </row>
    <row r="76" spans="1:11" ht="14.5">
      <c r="A76" s="518" t="s">
        <v>507</v>
      </c>
      <c r="B76" s="501">
        <v>27582821</v>
      </c>
      <c r="C76" s="520">
        <v>60.5</v>
      </c>
      <c r="D76" s="521">
        <f>IF(E76&lt;$B$211,$B$211,E76)</f>
        <v>1.8384244292974472E-2</v>
      </c>
      <c r="E76" s="521">
        <v>1.8384244292974472E-2</v>
      </c>
      <c r="F76" s="522">
        <v>2004</v>
      </c>
      <c r="G76" s="36" t="s">
        <v>586</v>
      </c>
    </row>
    <row r="77" spans="1:11" ht="14.5">
      <c r="A77" s="518" t="s">
        <v>508</v>
      </c>
      <c r="B77" s="501">
        <v>11217800</v>
      </c>
      <c r="C77" s="520">
        <v>100</v>
      </c>
      <c r="D77" s="521">
        <v>1.1321823596954346</v>
      </c>
      <c r="E77" s="521">
        <v>1.1321823596954346</v>
      </c>
      <c r="F77" s="522">
        <v>2001</v>
      </c>
    </row>
    <row r="78" spans="1:11" ht="14.5">
      <c r="A78" s="524" t="s">
        <v>627</v>
      </c>
      <c r="B78" s="501">
        <v>106823</v>
      </c>
      <c r="C78" s="520">
        <v>99.5</v>
      </c>
      <c r="D78" s="521">
        <f t="shared" ref="D78:D84" si="5">IF(E78&lt;$B$211,$B$211,E78)</f>
        <v>8.5365854203701019E-2</v>
      </c>
      <c r="E78" s="521">
        <v>8.5365854203701019E-2</v>
      </c>
      <c r="F78" s="522">
        <v>1997</v>
      </c>
      <c r="G78" s="3" t="s">
        <v>596</v>
      </c>
    </row>
    <row r="79" spans="1:11" ht="14.5">
      <c r="A79" s="518" t="s">
        <v>509</v>
      </c>
      <c r="B79" s="501">
        <v>16252429</v>
      </c>
      <c r="C79" s="520">
        <v>80.5</v>
      </c>
      <c r="D79" s="521">
        <f t="shared" si="5"/>
        <v>0.18397626280784607</v>
      </c>
      <c r="E79" s="521">
        <v>0.18397626280784607</v>
      </c>
      <c r="F79" s="522">
        <v>1999</v>
      </c>
    </row>
    <row r="80" spans="1:11" ht="14.5">
      <c r="A80" s="518" t="s">
        <v>628</v>
      </c>
      <c r="B80" s="501">
        <v>12091533</v>
      </c>
      <c r="C80" s="520">
        <v>20.2</v>
      </c>
      <c r="D80" s="521">
        <f t="shared" si="5"/>
        <v>1.6919938474893571E-2</v>
      </c>
      <c r="E80" s="521">
        <v>6.9605568423867226E-3</v>
      </c>
      <c r="F80" s="522">
        <v>2004</v>
      </c>
    </row>
    <row r="81" spans="1:7" ht="14.5">
      <c r="A81" s="518" t="s">
        <v>629</v>
      </c>
      <c r="B81" s="501">
        <v>1770526</v>
      </c>
      <c r="C81" s="520">
        <v>53.5</v>
      </c>
      <c r="D81" s="521">
        <f t="shared" si="5"/>
        <v>1.6919938474893571E-2</v>
      </c>
      <c r="E81" s="521">
        <v>1.430429145693779E-2</v>
      </c>
      <c r="F81" s="522">
        <v>2004</v>
      </c>
    </row>
    <row r="82" spans="1:7" ht="14.5">
      <c r="A82" s="518" t="s">
        <v>630</v>
      </c>
      <c r="B82" s="501">
        <v>768514</v>
      </c>
      <c r="C82" s="520">
        <v>77.5</v>
      </c>
      <c r="D82" s="521">
        <f t="shared" si="5"/>
        <v>3.9525691419839859E-2</v>
      </c>
      <c r="E82" s="521">
        <v>3.9525691419839859E-2</v>
      </c>
      <c r="F82" s="522">
        <v>2000</v>
      </c>
      <c r="G82" s="3" t="s">
        <v>596</v>
      </c>
    </row>
    <row r="83" spans="1:7" ht="14.5">
      <c r="A83" s="518" t="s">
        <v>510</v>
      </c>
      <c r="B83" s="501">
        <v>10711061</v>
      </c>
      <c r="C83" s="520">
        <v>38.5</v>
      </c>
      <c r="D83" s="521">
        <f t="shared" si="5"/>
        <v>1.6919938474893571E-2</v>
      </c>
      <c r="E83" s="521">
        <v>1.2055918574333191E-2</v>
      </c>
      <c r="F83" s="522">
        <v>1998</v>
      </c>
      <c r="G83" s="3" t="s">
        <v>596</v>
      </c>
    </row>
    <row r="84" spans="1:7" ht="14.5">
      <c r="A84" s="518" t="s">
        <v>511</v>
      </c>
      <c r="B84" s="501">
        <v>8960829</v>
      </c>
      <c r="C84" s="520">
        <v>70.3</v>
      </c>
      <c r="D84" s="521">
        <f t="shared" si="5"/>
        <v>0.21232770383358002</v>
      </c>
      <c r="E84" s="521">
        <v>0.21232770383358002</v>
      </c>
      <c r="F84" s="522">
        <v>2000</v>
      </c>
      <c r="G84" s="36" t="s">
        <v>586</v>
      </c>
    </row>
    <row r="85" spans="1:7" ht="14.5">
      <c r="A85" s="518" t="s">
        <v>631</v>
      </c>
      <c r="B85" s="501">
        <v>9783925</v>
      </c>
      <c r="C85" s="520">
        <v>99</v>
      </c>
      <c r="D85" s="521">
        <v>0.54307985305786133</v>
      </c>
      <c r="E85" s="521">
        <v>0.54307985305786133</v>
      </c>
      <c r="F85" s="522">
        <v>2003</v>
      </c>
      <c r="G85" s="36" t="s">
        <v>586</v>
      </c>
    </row>
    <row r="86" spans="1:7" ht="14.5">
      <c r="A86" s="518" t="s">
        <v>512</v>
      </c>
      <c r="B86" s="501">
        <v>330243</v>
      </c>
      <c r="C86" s="520">
        <v>100</v>
      </c>
      <c r="D86" s="521">
        <v>1.0035461187362671</v>
      </c>
      <c r="E86" s="521">
        <v>1.0035461187362671</v>
      </c>
      <c r="F86" s="522">
        <v>2000</v>
      </c>
      <c r="G86" s="36" t="s">
        <v>596</v>
      </c>
    </row>
    <row r="87" spans="1:7" ht="14.5">
      <c r="A87" s="518" t="s">
        <v>513</v>
      </c>
      <c r="B87" s="501">
        <v>1309053980</v>
      </c>
      <c r="C87" s="520">
        <v>75</v>
      </c>
      <c r="D87" s="521">
        <f>IF(E87&lt;$B$211,$B$211,E87)</f>
        <v>5.6809425354003906E-2</v>
      </c>
      <c r="E87" s="521">
        <v>5.6809425354003906E-2</v>
      </c>
      <c r="F87" s="522">
        <v>2004</v>
      </c>
      <c r="G87" s="36" t="s">
        <v>596</v>
      </c>
    </row>
    <row r="88" spans="1:7" ht="14.5">
      <c r="A88" s="518" t="s">
        <v>514</v>
      </c>
      <c r="B88" s="501">
        <v>258162113</v>
      </c>
      <c r="C88" s="520">
        <v>64.5</v>
      </c>
      <c r="D88" s="521">
        <f>IF(E88&lt;$B$211,$B$211,E88)</f>
        <v>3.1362134963274002E-2</v>
      </c>
      <c r="E88" s="521">
        <v>3.1362134963274002E-2</v>
      </c>
      <c r="F88" s="522">
        <v>2003</v>
      </c>
      <c r="G88" s="36" t="s">
        <v>596</v>
      </c>
    </row>
    <row r="89" spans="1:7" ht="14.5">
      <c r="A89" s="518" t="s">
        <v>515</v>
      </c>
      <c r="B89" s="501">
        <v>79360487</v>
      </c>
      <c r="C89" s="520">
        <v>98.4</v>
      </c>
      <c r="D89" s="521">
        <f>IF(E89&lt;$B$211,$B$211,E89)</f>
        <v>9.438449889421463E-2</v>
      </c>
      <c r="E89" s="521">
        <v>9.438449889421463E-2</v>
      </c>
      <c r="F89" s="522">
        <v>2004</v>
      </c>
      <c r="G89" s="36" t="s">
        <v>596</v>
      </c>
    </row>
    <row r="90" spans="1:7" ht="14.5">
      <c r="A90" s="524" t="s">
        <v>516</v>
      </c>
      <c r="B90" s="501">
        <v>36115649</v>
      </c>
      <c r="C90" s="520">
        <v>86</v>
      </c>
      <c r="D90" s="521">
        <f>IF(E90&lt;$B$211,$B$211,E90)</f>
        <v>0.44434559345245361</v>
      </c>
      <c r="E90" s="521">
        <v>0.44434559345245361</v>
      </c>
      <c r="F90" s="522">
        <v>2004</v>
      </c>
      <c r="G90" s="36" t="s">
        <v>586</v>
      </c>
    </row>
    <row r="91" spans="1:7" ht="14.5">
      <c r="A91" s="518" t="s">
        <v>517</v>
      </c>
      <c r="B91" s="501">
        <v>4700107</v>
      </c>
      <c r="C91" s="520">
        <v>100</v>
      </c>
      <c r="D91" s="521">
        <v>0.55938982963562012</v>
      </c>
      <c r="E91" s="521">
        <v>0.55938982963562012</v>
      </c>
      <c r="F91" s="522">
        <v>2004</v>
      </c>
      <c r="G91" s="36" t="s">
        <v>597</v>
      </c>
    </row>
    <row r="92" spans="1:7" ht="14.5">
      <c r="A92" s="518" t="s">
        <v>518</v>
      </c>
      <c r="B92" s="501">
        <v>8064547</v>
      </c>
      <c r="C92" s="520">
        <v>99.7</v>
      </c>
      <c r="D92" s="521">
        <v>1.1674180030822754</v>
      </c>
      <c r="E92" s="521">
        <v>1.1674180030822754</v>
      </c>
      <c r="F92" s="522">
        <v>2003</v>
      </c>
      <c r="G92" s="36" t="s">
        <v>586</v>
      </c>
    </row>
    <row r="93" spans="1:7" ht="14.5">
      <c r="A93" s="518" t="s">
        <v>519</v>
      </c>
      <c r="B93" s="501">
        <v>59504212</v>
      </c>
      <c r="C93" s="520">
        <v>100</v>
      </c>
      <c r="D93" s="521">
        <v>0.5754542350769043</v>
      </c>
      <c r="E93" s="521">
        <v>0.5754542350769043</v>
      </c>
      <c r="F93" s="522">
        <v>2004</v>
      </c>
      <c r="G93" s="36" t="s">
        <v>596</v>
      </c>
    </row>
    <row r="94" spans="1:7" ht="14.5">
      <c r="A94" s="518" t="s">
        <v>520</v>
      </c>
      <c r="B94" s="501">
        <v>2871934</v>
      </c>
      <c r="C94" s="520">
        <v>92</v>
      </c>
      <c r="D94" s="521">
        <f>IF(E94&lt;$B$211,$B$211,E94)</f>
        <v>7.9969823360443115E-2</v>
      </c>
      <c r="E94" s="521">
        <v>7.9969823360443115E-2</v>
      </c>
      <c r="F94" s="522">
        <v>2003</v>
      </c>
      <c r="G94" s="36" t="s">
        <v>586</v>
      </c>
    </row>
    <row r="95" spans="1:7" ht="14.5">
      <c r="A95" s="518" t="s">
        <v>632</v>
      </c>
      <c r="B95" s="501">
        <v>127974958</v>
      </c>
      <c r="C95" s="520">
        <v>100</v>
      </c>
      <c r="D95" s="521">
        <v>0.71000486612319946</v>
      </c>
      <c r="E95" s="521">
        <v>0.71000486612319946</v>
      </c>
      <c r="F95" s="522">
        <v>2002</v>
      </c>
      <c r="G95" s="36" t="s">
        <v>596</v>
      </c>
    </row>
    <row r="96" spans="1:7" ht="14.5">
      <c r="A96" s="518" t="s">
        <v>521</v>
      </c>
      <c r="B96" s="501">
        <v>9159302</v>
      </c>
      <c r="C96" s="520">
        <v>99.9</v>
      </c>
      <c r="D96" s="521">
        <f t="shared" ref="D96:D108" si="6">IF(E96&lt;$B$211,$B$211,E96)</f>
        <v>1.2949768304824829</v>
      </c>
      <c r="E96" s="521">
        <v>1.2949768304824829</v>
      </c>
      <c r="F96" s="522">
        <v>2004</v>
      </c>
    </row>
    <row r="97" spans="1:7" ht="14.5">
      <c r="A97" s="518" t="s">
        <v>633</v>
      </c>
      <c r="B97" s="501">
        <v>17749648</v>
      </c>
      <c r="C97" s="520">
        <v>72.7</v>
      </c>
      <c r="D97" s="521">
        <f t="shared" si="6"/>
        <v>0.33791226148605347</v>
      </c>
      <c r="E97" s="521">
        <v>0.33791226148605347</v>
      </c>
      <c r="F97" s="522">
        <v>2003</v>
      </c>
      <c r="G97" s="3" t="s">
        <v>596</v>
      </c>
    </row>
    <row r="98" spans="1:7" ht="14.5">
      <c r="A98" s="518" t="s">
        <v>522</v>
      </c>
      <c r="B98" s="501">
        <v>47236259</v>
      </c>
      <c r="C98" s="520">
        <v>16.100000000000001</v>
      </c>
      <c r="D98" s="521">
        <f t="shared" si="6"/>
        <v>4.1332509368658066E-2</v>
      </c>
      <c r="E98" s="521">
        <v>4.1332509368658066E-2</v>
      </c>
      <c r="F98" s="522">
        <v>2004</v>
      </c>
    </row>
    <row r="99" spans="1:7" ht="14.5">
      <c r="A99" s="524" t="s">
        <v>690</v>
      </c>
      <c r="B99" s="501">
        <v>112407</v>
      </c>
      <c r="C99" s="520">
        <f>C120</f>
        <v>95</v>
      </c>
      <c r="D99" s="521">
        <f t="shared" si="6"/>
        <v>4.9382716417312622E-2</v>
      </c>
      <c r="E99" s="521">
        <v>4.9382716417312622E-2</v>
      </c>
      <c r="F99" s="522">
        <v>1998</v>
      </c>
      <c r="G99" s="36" t="s">
        <v>596</v>
      </c>
    </row>
    <row r="100" spans="1:7" ht="14.5">
      <c r="A100" s="518" t="s">
        <v>523</v>
      </c>
      <c r="B100" s="501">
        <v>3935794</v>
      </c>
      <c r="C100" s="520">
        <v>100</v>
      </c>
      <c r="D100" s="521">
        <f t="shared" si="6"/>
        <v>0.28601783514022827</v>
      </c>
      <c r="E100" s="521">
        <v>0.28601783514022827</v>
      </c>
      <c r="F100" s="522">
        <v>2001</v>
      </c>
    </row>
    <row r="101" spans="1:7" ht="14.5">
      <c r="A101" s="518" t="s">
        <v>524</v>
      </c>
      <c r="B101" s="501">
        <v>5865401</v>
      </c>
      <c r="C101" s="520">
        <v>100</v>
      </c>
      <c r="D101" s="521">
        <f t="shared" si="6"/>
        <v>0.19307123124599457</v>
      </c>
      <c r="E101" s="521">
        <v>0.19307123124599457</v>
      </c>
      <c r="F101" s="522">
        <v>2003</v>
      </c>
      <c r="G101" s="3" t="s">
        <v>596</v>
      </c>
    </row>
    <row r="102" spans="1:7" ht="14.5">
      <c r="A102" s="518" t="s">
        <v>525</v>
      </c>
      <c r="B102" s="501">
        <v>6663967</v>
      </c>
      <c r="C102" s="520">
        <v>55</v>
      </c>
      <c r="D102" s="521">
        <f t="shared" si="6"/>
        <v>4.0824826806783676E-2</v>
      </c>
      <c r="E102" s="521">
        <v>4.0824826806783676E-2</v>
      </c>
      <c r="F102" s="522">
        <v>1996</v>
      </c>
      <c r="G102" s="36"/>
    </row>
    <row r="103" spans="1:7" ht="14.5">
      <c r="A103" s="518" t="s">
        <v>634</v>
      </c>
      <c r="B103" s="501">
        <v>1992663</v>
      </c>
      <c r="C103" s="520">
        <v>98</v>
      </c>
      <c r="D103" s="521">
        <f t="shared" si="6"/>
        <v>0.55786734819412231</v>
      </c>
      <c r="E103" s="521">
        <v>0.55786734819412231</v>
      </c>
      <c r="F103" s="522">
        <v>2003</v>
      </c>
      <c r="G103" s="3" t="s">
        <v>596</v>
      </c>
    </row>
    <row r="104" spans="1:7" ht="14.5">
      <c r="A104" s="524" t="s">
        <v>526</v>
      </c>
      <c r="B104" s="501">
        <v>5851479</v>
      </c>
      <c r="C104" s="520">
        <v>99.9</v>
      </c>
      <c r="D104" s="521">
        <f t="shared" si="6"/>
        <v>1.2109131813049316</v>
      </c>
      <c r="E104" s="521">
        <v>1.2109131813049316</v>
      </c>
      <c r="F104" s="522">
        <v>2001</v>
      </c>
      <c r="G104" s="3" t="s">
        <v>596</v>
      </c>
    </row>
    <row r="105" spans="1:7" ht="14.5">
      <c r="A105" s="518" t="s">
        <v>527</v>
      </c>
      <c r="B105" s="501">
        <v>2174645</v>
      </c>
      <c r="C105" s="520">
        <v>16</v>
      </c>
      <c r="D105" s="521">
        <f t="shared" si="6"/>
        <v>1.6919938474893571E-2</v>
      </c>
      <c r="E105" s="521">
        <v>8.8790236040949821E-3</v>
      </c>
      <c r="F105" s="522">
        <v>2003</v>
      </c>
    </row>
    <row r="106" spans="1:7" ht="14.5">
      <c r="A106" s="524" t="s">
        <v>635</v>
      </c>
      <c r="B106" s="501">
        <v>4499621</v>
      </c>
      <c r="C106" s="520">
        <v>1.9</v>
      </c>
      <c r="D106" s="521">
        <f t="shared" si="6"/>
        <v>1.6919938474893571E-2</v>
      </c>
      <c r="E106" s="521">
        <v>3.7281331606209278E-3</v>
      </c>
      <c r="F106" s="522">
        <v>2004</v>
      </c>
      <c r="G106" s="3" t="s">
        <v>596</v>
      </c>
    </row>
    <row r="107" spans="1:7" ht="14.5">
      <c r="A107" s="524" t="s">
        <v>528</v>
      </c>
      <c r="B107" s="501">
        <v>6234955</v>
      </c>
      <c r="C107" s="520">
        <v>99.8</v>
      </c>
      <c r="D107" s="521">
        <f t="shared" si="6"/>
        <v>0.14031180739402771</v>
      </c>
      <c r="E107" s="521">
        <v>0.14031180739402771</v>
      </c>
      <c r="F107" s="522">
        <v>1997</v>
      </c>
      <c r="G107" s="36"/>
    </row>
    <row r="108" spans="1:7" ht="14.5">
      <c r="A108" s="518" t="s">
        <v>636</v>
      </c>
      <c r="B108" s="501">
        <v>2931926</v>
      </c>
      <c r="C108" s="520">
        <v>99</v>
      </c>
      <c r="D108" s="521">
        <f t="shared" si="6"/>
        <v>0.68873405456542969</v>
      </c>
      <c r="E108" s="521">
        <v>0.68873405456542969</v>
      </c>
      <c r="F108" s="522">
        <v>2003</v>
      </c>
      <c r="G108" s="36" t="s">
        <v>586</v>
      </c>
    </row>
    <row r="109" spans="1:7" ht="14.5">
      <c r="A109" s="518" t="s">
        <v>529</v>
      </c>
      <c r="B109" s="501">
        <v>566741</v>
      </c>
      <c r="C109" s="520">
        <v>100</v>
      </c>
      <c r="D109" s="521">
        <v>0.71302425861358643</v>
      </c>
      <c r="E109" s="521">
        <v>0.71302425861358643</v>
      </c>
      <c r="F109" s="522">
        <v>2003</v>
      </c>
      <c r="G109" s="36" t="s">
        <v>596</v>
      </c>
    </row>
    <row r="110" spans="1:7" ht="14.5">
      <c r="A110" s="518" t="s">
        <v>530</v>
      </c>
      <c r="B110" s="501">
        <v>24234088</v>
      </c>
      <c r="C110" s="520">
        <v>19</v>
      </c>
      <c r="D110" s="521">
        <f t="shared" ref="D110:D118" si="7">IF(E110&lt;$B$211,$B$211,E110)</f>
        <v>2.2903747856616974E-2</v>
      </c>
      <c r="E110" s="521">
        <v>2.2903747856616974E-2</v>
      </c>
      <c r="F110" s="522">
        <v>2004</v>
      </c>
      <c r="G110" s="36" t="s">
        <v>596</v>
      </c>
    </row>
    <row r="111" spans="1:7" ht="14.5">
      <c r="A111" s="518" t="s">
        <v>697</v>
      </c>
      <c r="B111" s="501">
        <v>17573607</v>
      </c>
      <c r="C111" s="520">
        <v>9</v>
      </c>
      <c r="D111" s="521">
        <f t="shared" si="7"/>
        <v>1.6919938474893571E-2</v>
      </c>
      <c r="E111" s="521">
        <f>$E$125</f>
        <v>8.2890205085277557E-3</v>
      </c>
      <c r="F111" s="519"/>
      <c r="G111" s="36" t="s">
        <v>596</v>
      </c>
    </row>
    <row r="112" spans="1:7" ht="14.5">
      <c r="A112" s="518" t="s">
        <v>531</v>
      </c>
      <c r="B112" s="501">
        <v>30723155</v>
      </c>
      <c r="C112" s="520">
        <v>99.4</v>
      </c>
      <c r="D112" s="521">
        <f t="shared" si="7"/>
        <v>9.3213342130184174E-2</v>
      </c>
      <c r="E112" s="521">
        <v>9.3213342130184174E-2</v>
      </c>
      <c r="F112" s="522">
        <v>2000</v>
      </c>
    </row>
    <row r="113" spans="1:11" ht="14.5">
      <c r="A113" s="518" t="s">
        <v>637</v>
      </c>
      <c r="B113" s="501">
        <v>418403</v>
      </c>
      <c r="C113" s="520">
        <v>99.8</v>
      </c>
      <c r="D113" s="521">
        <f t="shared" si="7"/>
        <v>4.268292710185051E-2</v>
      </c>
      <c r="E113" s="521">
        <v>4.268292710185051E-2</v>
      </c>
      <c r="F113" s="522">
        <v>2004</v>
      </c>
    </row>
    <row r="114" spans="1:11" ht="14.5">
      <c r="A114" s="524" t="s">
        <v>638</v>
      </c>
      <c r="B114" s="501">
        <v>17467905</v>
      </c>
      <c r="C114" s="520">
        <v>16.600000000000001</v>
      </c>
      <c r="D114" s="521">
        <f t="shared" si="7"/>
        <v>1.6919938474893571E-2</v>
      </c>
      <c r="E114" s="521">
        <v>6.2644490972161293E-3</v>
      </c>
      <c r="F114" s="522">
        <v>2004</v>
      </c>
      <c r="G114" s="36"/>
      <c r="J114" s="503"/>
      <c r="K114" s="504"/>
    </row>
    <row r="115" spans="1:11" ht="14.5">
      <c r="A115" s="518" t="s">
        <v>532</v>
      </c>
      <c r="B115" s="501">
        <v>427616</v>
      </c>
      <c r="C115" s="520">
        <v>100</v>
      </c>
      <c r="D115" s="521">
        <f t="shared" si="7"/>
        <v>0.42385786771774292</v>
      </c>
      <c r="E115" s="521">
        <v>0.42385786771774292</v>
      </c>
      <c r="F115" s="522">
        <v>2003</v>
      </c>
      <c r="J115" s="503"/>
      <c r="K115" s="504"/>
    </row>
    <row r="116" spans="1:11" ht="14.5">
      <c r="A116" s="518" t="s">
        <v>639</v>
      </c>
      <c r="B116" s="501">
        <v>52994</v>
      </c>
      <c r="C116" s="520">
        <v>68.5</v>
      </c>
      <c r="D116" s="521">
        <f t="shared" si="7"/>
        <v>7.8431375324726105E-2</v>
      </c>
      <c r="E116" s="521">
        <v>7.8431375324726105E-2</v>
      </c>
      <c r="F116" s="522">
        <v>2000</v>
      </c>
      <c r="J116" s="503"/>
      <c r="K116" s="504"/>
    </row>
    <row r="117" spans="1:11" ht="14.5">
      <c r="A117" s="518" t="s">
        <v>640</v>
      </c>
      <c r="B117" s="501">
        <v>4182341.0000000005</v>
      </c>
      <c r="C117" s="520">
        <v>19</v>
      </c>
      <c r="D117" s="521">
        <f t="shared" si="7"/>
        <v>2.1476510912179947E-2</v>
      </c>
      <c r="E117" s="521">
        <v>2.1476510912179947E-2</v>
      </c>
      <c r="F117" s="522">
        <v>2004</v>
      </c>
      <c r="G117" s="3" t="s">
        <v>596</v>
      </c>
      <c r="J117" s="503"/>
      <c r="K117" s="502"/>
    </row>
    <row r="118" spans="1:11" ht="14.5">
      <c r="A118" s="518" t="s">
        <v>533</v>
      </c>
      <c r="B118" s="501">
        <v>1259456</v>
      </c>
      <c r="C118" s="520">
        <v>99.4</v>
      </c>
      <c r="D118" s="521">
        <f t="shared" si="7"/>
        <v>0.18896998465061188</v>
      </c>
      <c r="E118" s="521">
        <v>0.18896998465061188</v>
      </c>
      <c r="F118" s="522">
        <v>2004</v>
      </c>
      <c r="G118" s="36" t="s">
        <v>586</v>
      </c>
      <c r="J118" s="503"/>
      <c r="K118" s="504"/>
    </row>
    <row r="119" spans="1:11" ht="14.5">
      <c r="A119" s="518" t="s">
        <v>641</v>
      </c>
      <c r="B119" s="501">
        <v>125890949</v>
      </c>
      <c r="C119" s="520">
        <v>97</v>
      </c>
      <c r="D119" s="521">
        <v>0.79125267267227173</v>
      </c>
      <c r="E119" s="521">
        <v>0.79125267267227173</v>
      </c>
      <c r="F119" s="522">
        <v>2000</v>
      </c>
      <c r="J119" s="503"/>
      <c r="K119" s="502"/>
    </row>
    <row r="120" spans="1:11" ht="14.5">
      <c r="A120" s="518" t="s">
        <v>642</v>
      </c>
      <c r="B120" s="501">
        <v>104433</v>
      </c>
      <c r="C120" s="520">
        <v>95</v>
      </c>
      <c r="D120" s="521">
        <f t="shared" ref="D120:D129" si="8">IF(E120&lt;$B$211,$B$211,E120)</f>
        <v>0.13084112107753754</v>
      </c>
      <c r="E120" s="521">
        <v>0.13084112107753754</v>
      </c>
      <c r="F120" s="522">
        <v>2000</v>
      </c>
      <c r="G120" s="36"/>
      <c r="J120" s="503"/>
      <c r="K120" s="502"/>
    </row>
    <row r="121" spans="1:11" ht="14.5">
      <c r="A121" s="524" t="s">
        <v>534</v>
      </c>
      <c r="B121" s="501">
        <v>38307</v>
      </c>
      <c r="C121" s="520">
        <v>100</v>
      </c>
      <c r="D121" s="521">
        <f t="shared" si="8"/>
        <v>1.0625</v>
      </c>
      <c r="E121" s="521">
        <v>1.0625</v>
      </c>
      <c r="F121" s="522">
        <v>1995</v>
      </c>
      <c r="G121" s="3" t="s">
        <v>596</v>
      </c>
      <c r="J121" s="503"/>
      <c r="K121" s="504"/>
    </row>
    <row r="122" spans="1:11" ht="14.5">
      <c r="A122" s="518" t="s">
        <v>643</v>
      </c>
      <c r="B122" s="501">
        <v>2976877</v>
      </c>
      <c r="C122" s="520">
        <v>87.5</v>
      </c>
      <c r="D122" s="521">
        <f t="shared" si="8"/>
        <v>0.1316920667886734</v>
      </c>
      <c r="E122" s="521">
        <v>0.1316920667886734</v>
      </c>
      <c r="F122" s="522">
        <v>2002</v>
      </c>
      <c r="J122" s="503"/>
      <c r="K122" s="504"/>
    </row>
    <row r="123" spans="1:11" ht="14.5">
      <c r="A123" s="518" t="s">
        <v>593</v>
      </c>
      <c r="B123" s="501">
        <v>628178</v>
      </c>
      <c r="C123" s="520">
        <v>100</v>
      </c>
      <c r="D123" s="521">
        <f t="shared" si="8"/>
        <v>0.35994303226470947</v>
      </c>
      <c r="E123" s="521">
        <v>0.35994303226470947</v>
      </c>
      <c r="F123" s="522">
        <v>2002</v>
      </c>
      <c r="G123" s="3" t="s">
        <v>596</v>
      </c>
      <c r="J123" s="503"/>
      <c r="K123" s="504"/>
    </row>
    <row r="124" spans="1:11" ht="14.5">
      <c r="A124" s="518" t="s">
        <v>535</v>
      </c>
      <c r="B124" s="501">
        <v>34803322</v>
      </c>
      <c r="C124" s="520">
        <v>97</v>
      </c>
      <c r="D124" s="521">
        <f t="shared" si="8"/>
        <v>9.9504247307777405E-2</v>
      </c>
      <c r="E124" s="521">
        <v>9.9504247307777405E-2</v>
      </c>
      <c r="F124" s="522">
        <v>2004</v>
      </c>
      <c r="G124" s="3" t="s">
        <v>596</v>
      </c>
      <c r="J124" s="503"/>
      <c r="K124" s="502"/>
    </row>
    <row r="125" spans="1:11" ht="14.5">
      <c r="A125" s="518" t="s">
        <v>536</v>
      </c>
      <c r="B125" s="501">
        <v>28010691</v>
      </c>
      <c r="C125" s="520">
        <v>11.7</v>
      </c>
      <c r="D125" s="521">
        <f t="shared" si="8"/>
        <v>1.6919938474893571E-2</v>
      </c>
      <c r="E125" s="521">
        <v>8.2890205085277557E-3</v>
      </c>
      <c r="F125" s="522">
        <v>2004</v>
      </c>
      <c r="G125" s="3" t="s">
        <v>596</v>
      </c>
    </row>
    <row r="126" spans="1:11" ht="14.5">
      <c r="A126" s="524" t="s">
        <v>537</v>
      </c>
      <c r="B126" s="501">
        <v>52403669</v>
      </c>
      <c r="C126" s="520">
        <v>13</v>
      </c>
      <c r="D126" s="521">
        <f t="shared" si="8"/>
        <v>2.7863714843988419E-2</v>
      </c>
      <c r="E126" s="521">
        <v>2.7863714843988419E-2</v>
      </c>
      <c r="F126" s="522">
        <v>2004</v>
      </c>
      <c r="G126" s="3" t="s">
        <v>596</v>
      </c>
    </row>
    <row r="127" spans="1:11" ht="14.5">
      <c r="A127" s="518" t="s">
        <v>538</v>
      </c>
      <c r="B127" s="501">
        <v>2425561</v>
      </c>
      <c r="C127" s="520">
        <v>34</v>
      </c>
      <c r="D127" s="521">
        <f t="shared" si="8"/>
        <v>5.6190948933362961E-2</v>
      </c>
      <c r="E127" s="521">
        <v>5.6190948933362961E-2</v>
      </c>
      <c r="F127" s="522">
        <v>2004</v>
      </c>
    </row>
    <row r="128" spans="1:11" ht="14.5">
      <c r="A128" s="524" t="s">
        <v>696</v>
      </c>
      <c r="B128" s="501">
        <v>11260</v>
      </c>
      <c r="C128" s="520">
        <v>100</v>
      </c>
      <c r="D128" s="521">
        <f t="shared" si="8"/>
        <v>0.13084112107753754</v>
      </c>
      <c r="E128" s="521">
        <f>$E$120</f>
        <v>0.13084112107753754</v>
      </c>
      <c r="F128" s="519"/>
      <c r="G128" s="3" t="s">
        <v>596</v>
      </c>
    </row>
    <row r="129" spans="1:7" ht="14.5">
      <c r="A129" s="518" t="s">
        <v>539</v>
      </c>
      <c r="B129" s="501">
        <v>28656282</v>
      </c>
      <c r="C129" s="520">
        <v>43.6</v>
      </c>
      <c r="D129" s="521">
        <f t="shared" si="8"/>
        <v>1.6919938474893571E-2</v>
      </c>
      <c r="E129" s="521">
        <v>1.3955296017229557E-2</v>
      </c>
      <c r="F129" s="522">
        <v>2004</v>
      </c>
      <c r="G129" s="36" t="s">
        <v>586</v>
      </c>
    </row>
    <row r="130" spans="1:7" ht="14.5">
      <c r="A130" s="518" t="s">
        <v>540</v>
      </c>
      <c r="B130" s="501">
        <v>16938499</v>
      </c>
      <c r="C130" s="520">
        <v>100</v>
      </c>
      <c r="D130" s="521">
        <v>0.4804631769657135</v>
      </c>
      <c r="E130" s="521">
        <v>0.4804631769657135</v>
      </c>
      <c r="F130" s="522">
        <v>2003</v>
      </c>
      <c r="G130" s="36" t="s">
        <v>586</v>
      </c>
    </row>
    <row r="131" spans="1:7" ht="14.5">
      <c r="A131" s="518" t="s">
        <v>644</v>
      </c>
      <c r="B131" s="501">
        <v>4614532</v>
      </c>
      <c r="C131" s="520">
        <v>87</v>
      </c>
      <c r="D131" s="521">
        <v>0.67785060405731201</v>
      </c>
      <c r="E131" s="521">
        <v>0.67785060405731201</v>
      </c>
      <c r="F131" s="522">
        <v>2001</v>
      </c>
      <c r="G131" s="36" t="s">
        <v>596</v>
      </c>
    </row>
    <row r="132" spans="1:7" ht="14.5">
      <c r="A132" s="518" t="s">
        <v>541</v>
      </c>
      <c r="B132" s="501">
        <v>6082035</v>
      </c>
      <c r="C132" s="520">
        <v>72.099999999999994</v>
      </c>
      <c r="D132" s="521">
        <f>IF(E132&lt;$B$211,$B$211,E132)</f>
        <v>4.4456642121076584E-2</v>
      </c>
      <c r="E132" s="521">
        <v>4.4456642121076584E-2</v>
      </c>
      <c r="F132" s="522">
        <v>2003</v>
      </c>
    </row>
    <row r="133" spans="1:7" ht="14.5">
      <c r="A133" s="518" t="s">
        <v>645</v>
      </c>
      <c r="B133" s="501">
        <v>19896965</v>
      </c>
      <c r="C133" s="520">
        <v>9.3000000000000007</v>
      </c>
      <c r="D133" s="521">
        <f>IF(E133&lt;$B$211,$B$211,E133)</f>
        <v>1.6919938474893571E-2</v>
      </c>
      <c r="E133" s="521">
        <v>1.2082158355042338E-3</v>
      </c>
      <c r="F133" s="522">
        <v>2004</v>
      </c>
      <c r="G133" s="3" t="s">
        <v>596</v>
      </c>
    </row>
    <row r="134" spans="1:7" ht="14.5">
      <c r="A134" s="524" t="s">
        <v>542</v>
      </c>
      <c r="B134" s="501">
        <v>181181744</v>
      </c>
      <c r="C134" s="520">
        <v>50.6</v>
      </c>
      <c r="D134" s="521">
        <f>IF(E134&lt;$B$211,$B$211,E134)</f>
        <v>2.0014677196741104E-2</v>
      </c>
      <c r="E134" s="521">
        <v>2.0014677196741104E-2</v>
      </c>
      <c r="F134" s="522">
        <v>2003</v>
      </c>
    </row>
    <row r="135" spans="1:7" ht="14.5">
      <c r="A135" s="518" t="s">
        <v>646</v>
      </c>
      <c r="B135" s="501">
        <v>1629</v>
      </c>
      <c r="C135" s="520">
        <v>97</v>
      </c>
      <c r="D135" s="521">
        <f>IF(E135&lt;$B$211,$B$211,E135)</f>
        <v>1</v>
      </c>
      <c r="E135" s="521">
        <v>1</v>
      </c>
      <c r="F135" s="522">
        <v>1996</v>
      </c>
      <c r="G135" s="36" t="s">
        <v>586</v>
      </c>
    </row>
    <row r="136" spans="1:7" ht="14.5">
      <c r="A136" s="518" t="s">
        <v>543</v>
      </c>
      <c r="B136" s="501">
        <v>5199836</v>
      </c>
      <c r="C136" s="520">
        <v>100</v>
      </c>
      <c r="D136" s="521">
        <v>0.82351642847061157</v>
      </c>
      <c r="E136" s="521">
        <v>0.82351642847061157</v>
      </c>
      <c r="F136" s="522">
        <v>2003</v>
      </c>
      <c r="G136" s="36" t="s">
        <v>596</v>
      </c>
    </row>
    <row r="137" spans="1:7" ht="14.5">
      <c r="A137" s="518" t="s">
        <v>544</v>
      </c>
      <c r="B137" s="501">
        <v>4199810</v>
      </c>
      <c r="C137" s="520">
        <v>98</v>
      </c>
      <c r="D137" s="521">
        <f t="shared" ref="D137:D144" si="9">IF(E137&lt;$B$211,$B$211,E137)</f>
        <v>0.1853492259979248</v>
      </c>
      <c r="E137" s="521">
        <v>0.1853492259979248</v>
      </c>
      <c r="F137" s="522">
        <v>2004</v>
      </c>
      <c r="G137" s="36" t="s">
        <v>596</v>
      </c>
    </row>
    <row r="138" spans="1:7" ht="14.5">
      <c r="A138" s="524" t="s">
        <v>545</v>
      </c>
      <c r="B138" s="501">
        <v>189380513</v>
      </c>
      <c r="C138" s="520">
        <v>62.4</v>
      </c>
      <c r="D138" s="521">
        <f t="shared" si="9"/>
        <v>4.9976162612438202E-2</v>
      </c>
      <c r="E138" s="521">
        <v>4.9976162612438202E-2</v>
      </c>
      <c r="F138" s="522">
        <v>2004</v>
      </c>
    </row>
    <row r="139" spans="1:7" ht="14.5">
      <c r="A139" s="524" t="s">
        <v>647</v>
      </c>
      <c r="B139" s="501">
        <v>21288</v>
      </c>
      <c r="C139" s="520">
        <v>97</v>
      </c>
      <c r="D139" s="521">
        <f t="shared" si="9"/>
        <v>0.1111111119389534</v>
      </c>
      <c r="E139" s="521">
        <v>0.1111111119389534</v>
      </c>
      <c r="F139" s="522">
        <v>1998</v>
      </c>
      <c r="G139" s="36" t="s">
        <v>596</v>
      </c>
    </row>
    <row r="140" spans="1:7" ht="14.5">
      <c r="A140" s="518" t="s">
        <v>546</v>
      </c>
      <c r="B140" s="501">
        <v>3969249</v>
      </c>
      <c r="C140" s="520">
        <v>88.1</v>
      </c>
      <c r="D140" s="521">
        <f t="shared" si="9"/>
        <v>0.75627118349075317</v>
      </c>
      <c r="E140" s="521">
        <v>0.75627118349075317</v>
      </c>
      <c r="F140" s="522">
        <v>2000</v>
      </c>
    </row>
    <row r="141" spans="1:7" ht="14.5">
      <c r="A141" s="524" t="s">
        <v>648</v>
      </c>
      <c r="B141" s="501">
        <v>7919825</v>
      </c>
      <c r="C141" s="520">
        <v>11</v>
      </c>
      <c r="D141" s="521">
        <f t="shared" si="9"/>
        <v>1.6919938474893571E-2</v>
      </c>
      <c r="E141" s="521">
        <v>1.6872890293598175E-2</v>
      </c>
      <c r="F141" s="522">
        <v>2000</v>
      </c>
      <c r="G141" s="3" t="s">
        <v>596</v>
      </c>
    </row>
    <row r="142" spans="1:7" ht="14.5">
      <c r="A142" s="518" t="s">
        <v>547</v>
      </c>
      <c r="B142" s="501">
        <v>6639119</v>
      </c>
      <c r="C142" s="520">
        <v>96.7</v>
      </c>
      <c r="D142" s="521">
        <f t="shared" si="9"/>
        <v>0.55435538291931152</v>
      </c>
      <c r="E142" s="521">
        <v>0.55435538291931152</v>
      </c>
      <c r="F142" s="522">
        <v>2002</v>
      </c>
      <c r="G142" s="36" t="s">
        <v>596</v>
      </c>
    </row>
    <row r="143" spans="1:7" ht="14.5">
      <c r="A143" s="518" t="s">
        <v>548</v>
      </c>
      <c r="B143" s="501">
        <v>31376671</v>
      </c>
      <c r="C143" s="520">
        <v>85.7</v>
      </c>
      <c r="D143" s="521">
        <f t="shared" si="9"/>
        <v>0.11000587791204453</v>
      </c>
      <c r="E143" s="521">
        <v>0.11000587791204453</v>
      </c>
      <c r="F143" s="522">
        <v>1999</v>
      </c>
      <c r="G143" s="36" t="s">
        <v>596</v>
      </c>
    </row>
    <row r="144" spans="1:7" ht="14.5">
      <c r="A144" s="518" t="s">
        <v>549</v>
      </c>
      <c r="B144" s="501">
        <v>101716359</v>
      </c>
      <c r="C144" s="520">
        <v>89.7</v>
      </c>
      <c r="D144" s="521">
        <f t="shared" si="9"/>
        <v>0.11311434209346771</v>
      </c>
      <c r="E144" s="521">
        <v>0.11311434209346771</v>
      </c>
      <c r="F144" s="522">
        <v>2000</v>
      </c>
      <c r="G144" s="36" t="s">
        <v>586</v>
      </c>
    </row>
    <row r="145" spans="1:11" ht="14.5">
      <c r="A145" s="518" t="s">
        <v>649</v>
      </c>
      <c r="B145" s="501">
        <v>38265226</v>
      </c>
      <c r="C145" s="520">
        <v>100</v>
      </c>
      <c r="D145" s="521">
        <v>0.29675796627998352</v>
      </c>
      <c r="E145" s="521">
        <v>0.29675796627998352</v>
      </c>
      <c r="F145" s="522">
        <v>2003</v>
      </c>
      <c r="G145" s="36" t="s">
        <v>586</v>
      </c>
    </row>
    <row r="146" spans="1:11" ht="14.5">
      <c r="A146" s="518" t="s">
        <v>550</v>
      </c>
      <c r="B146" s="501">
        <v>10418473</v>
      </c>
      <c r="C146" s="520">
        <v>100</v>
      </c>
      <c r="D146" s="521">
        <v>0.54765927791595459</v>
      </c>
      <c r="E146" s="521">
        <v>0.54765927791595459</v>
      </c>
      <c r="F146" s="522">
        <v>2003</v>
      </c>
      <c r="G146" s="36" t="s">
        <v>596</v>
      </c>
    </row>
    <row r="147" spans="1:11" ht="14.5">
      <c r="A147" s="518" t="s">
        <v>551</v>
      </c>
      <c r="B147" s="501">
        <v>2481539</v>
      </c>
      <c r="C147" s="520">
        <v>98.7</v>
      </c>
      <c r="D147" s="521">
        <f>IF(E147&lt;$B$211,$B$211,E147)</f>
        <v>0.37225043773651123</v>
      </c>
      <c r="E147" s="521">
        <v>0.37225043773651123</v>
      </c>
      <c r="F147" s="522">
        <v>2001</v>
      </c>
      <c r="G147" s="36" t="s">
        <v>586</v>
      </c>
    </row>
    <row r="148" spans="1:11" ht="14.5">
      <c r="A148" s="518" t="s">
        <v>650</v>
      </c>
      <c r="B148" s="501">
        <v>50593662</v>
      </c>
      <c r="C148" s="520">
        <v>100</v>
      </c>
      <c r="D148" s="521">
        <v>0.33612158894538879</v>
      </c>
      <c r="E148" s="521">
        <v>0.33612158894538879</v>
      </c>
      <c r="F148" s="522">
        <v>2003</v>
      </c>
    </row>
    <row r="149" spans="1:11" ht="14.5">
      <c r="A149" s="518" t="s">
        <v>651</v>
      </c>
      <c r="B149" s="501">
        <v>4065980</v>
      </c>
      <c r="C149" s="520">
        <v>98.6</v>
      </c>
      <c r="D149" s="521">
        <f t="shared" ref="D149:D165" si="10">IF(E149&lt;$B$211,$B$211,E149)</f>
        <v>0.3288024365901947</v>
      </c>
      <c r="E149" s="521">
        <v>0.3288024365901947</v>
      </c>
      <c r="F149" s="522">
        <v>2003</v>
      </c>
      <c r="G149" s="3" t="s">
        <v>596</v>
      </c>
    </row>
    <row r="150" spans="1:11" ht="14.5">
      <c r="A150" s="524" t="s">
        <v>617</v>
      </c>
      <c r="B150" s="501">
        <v>4995648</v>
      </c>
      <c r="C150" s="520">
        <v>37.1</v>
      </c>
      <c r="D150" s="521">
        <f t="shared" si="10"/>
        <v>1.6919938474893571E-2</v>
      </c>
      <c r="E150" s="521">
        <v>3.1430067028850317E-3</v>
      </c>
      <c r="F150" s="522">
        <v>2004</v>
      </c>
    </row>
    <row r="151" spans="1:11" ht="14.5">
      <c r="A151" s="518" t="s">
        <v>552</v>
      </c>
      <c r="B151" s="501">
        <v>19876621</v>
      </c>
      <c r="C151" s="520">
        <v>99</v>
      </c>
      <c r="D151" s="521">
        <f t="shared" si="10"/>
        <v>0.22024714946746826</v>
      </c>
      <c r="E151" s="521">
        <v>0.22024714946746826</v>
      </c>
      <c r="F151" s="522">
        <v>2003</v>
      </c>
      <c r="G151" s="36"/>
    </row>
    <row r="152" spans="1:11" ht="14.5">
      <c r="A152" s="518" t="s">
        <v>652</v>
      </c>
      <c r="B152" s="501">
        <v>143888004</v>
      </c>
      <c r="C152" s="520">
        <v>93</v>
      </c>
      <c r="D152" s="521">
        <f t="shared" si="10"/>
        <v>0.32093042135238647</v>
      </c>
      <c r="E152" s="521">
        <v>0.32093042135238647</v>
      </c>
      <c r="F152" s="522">
        <v>2003</v>
      </c>
      <c r="J152" s="503"/>
      <c r="K152" s="504"/>
    </row>
    <row r="153" spans="1:11" ht="14.5">
      <c r="A153" s="518" t="s">
        <v>653</v>
      </c>
      <c r="B153" s="501">
        <v>11629553</v>
      </c>
      <c r="C153" s="520">
        <v>6</v>
      </c>
      <c r="D153" s="521">
        <f t="shared" si="10"/>
        <v>1.6919938474893571E-2</v>
      </c>
      <c r="E153" s="521">
        <v>2.4761231616139412E-3</v>
      </c>
      <c r="F153" s="522">
        <v>2004</v>
      </c>
      <c r="J153" s="503"/>
      <c r="K153" s="504"/>
    </row>
    <row r="154" spans="1:11" ht="14.5">
      <c r="A154" s="524" t="s">
        <v>553</v>
      </c>
      <c r="B154" s="501">
        <v>54288</v>
      </c>
      <c r="C154" s="520">
        <v>95</v>
      </c>
      <c r="D154" s="521">
        <f t="shared" si="10"/>
        <v>0.18604651093482971</v>
      </c>
      <c r="E154" s="521">
        <v>0.18604651093482971</v>
      </c>
      <c r="F154" s="522">
        <v>1997</v>
      </c>
      <c r="J154" s="503"/>
      <c r="K154" s="504"/>
    </row>
    <row r="155" spans="1:11" ht="14.5">
      <c r="A155" s="518" t="s">
        <v>554</v>
      </c>
      <c r="B155" s="501">
        <v>177206</v>
      </c>
      <c r="C155" s="520">
        <v>98</v>
      </c>
      <c r="D155" s="521">
        <f t="shared" si="10"/>
        <v>6.2068965286016464E-2</v>
      </c>
      <c r="E155" s="521">
        <v>6.2068965286016464E-2</v>
      </c>
      <c r="F155" s="522">
        <v>1999</v>
      </c>
      <c r="J155" s="503"/>
      <c r="K155" s="504"/>
    </row>
    <row r="156" spans="1:11" ht="14.5">
      <c r="A156" s="524" t="s">
        <v>654</v>
      </c>
      <c r="B156" s="501">
        <v>109455</v>
      </c>
      <c r="C156" s="520">
        <v>66.8</v>
      </c>
      <c r="D156" s="521">
        <f t="shared" si="10"/>
        <v>5.1724139600992203E-2</v>
      </c>
      <c r="E156" s="521">
        <v>5.1724139600992203E-2</v>
      </c>
      <c r="F156" s="522">
        <v>1997</v>
      </c>
      <c r="J156" s="503"/>
      <c r="K156" s="502"/>
    </row>
    <row r="157" spans="1:11" ht="14.5">
      <c r="A157" s="518" t="s">
        <v>555</v>
      </c>
      <c r="B157" s="501">
        <v>193759</v>
      </c>
      <c r="C157" s="520">
        <v>93</v>
      </c>
      <c r="D157" s="521">
        <f t="shared" si="10"/>
        <v>0.17543859779834747</v>
      </c>
      <c r="E157" s="521">
        <v>0.17543859779834747</v>
      </c>
      <c r="F157" s="522">
        <v>1999</v>
      </c>
      <c r="J157" s="503"/>
      <c r="K157" s="504"/>
    </row>
    <row r="158" spans="1:11" ht="14.5">
      <c r="A158" s="518" t="s">
        <v>655</v>
      </c>
      <c r="B158" s="501">
        <v>32960</v>
      </c>
      <c r="C158" s="520">
        <v>100</v>
      </c>
      <c r="D158" s="521">
        <f t="shared" si="10"/>
        <v>0.34782609343528748</v>
      </c>
      <c r="E158" s="521">
        <v>0.34782609343528748</v>
      </c>
      <c r="F158" s="522">
        <v>1990</v>
      </c>
    </row>
    <row r="159" spans="1:11" ht="14.5">
      <c r="A159" s="518" t="s">
        <v>656</v>
      </c>
      <c r="B159" s="501">
        <v>195553</v>
      </c>
      <c r="C159" s="520">
        <v>60</v>
      </c>
      <c r="D159" s="521">
        <f t="shared" si="10"/>
        <v>6.6666670143604279E-2</v>
      </c>
      <c r="E159" s="521">
        <v>6.6666670143604279E-2</v>
      </c>
      <c r="F159" s="522">
        <v>2004</v>
      </c>
      <c r="G159" s="36" t="s">
        <v>596</v>
      </c>
    </row>
    <row r="160" spans="1:11" ht="14.5">
      <c r="A160" s="518" t="s">
        <v>556</v>
      </c>
      <c r="B160" s="501">
        <v>31557144</v>
      </c>
      <c r="C160" s="520">
        <v>99</v>
      </c>
      <c r="D160" s="521">
        <f t="shared" si="10"/>
        <v>0.16995063424110413</v>
      </c>
      <c r="E160" s="521">
        <v>0.16995063424110413</v>
      </c>
      <c r="F160" s="522">
        <v>2004</v>
      </c>
      <c r="G160" s="3" t="s">
        <v>596</v>
      </c>
    </row>
    <row r="161" spans="1:7" ht="14.5">
      <c r="A161" s="518" t="s">
        <v>557</v>
      </c>
      <c r="B161" s="501">
        <v>14976994</v>
      </c>
      <c r="C161" s="520">
        <v>42</v>
      </c>
      <c r="D161" s="521">
        <f t="shared" si="10"/>
        <v>1.6919938474893571E-2</v>
      </c>
      <c r="E161" s="521">
        <v>9.3819517642259598E-3</v>
      </c>
      <c r="F161" s="522">
        <v>2004</v>
      </c>
      <c r="G161" s="36"/>
    </row>
    <row r="162" spans="1:7" ht="14.5">
      <c r="A162" s="518" t="s">
        <v>657</v>
      </c>
      <c r="B162" s="501">
        <v>8851280</v>
      </c>
      <c r="C162" s="520">
        <v>100</v>
      </c>
      <c r="D162" s="521">
        <f t="shared" si="10"/>
        <v>0.35994303226470947</v>
      </c>
      <c r="E162" s="521">
        <v>0.35994303226470947</v>
      </c>
      <c r="F162" s="522">
        <v>2002</v>
      </c>
    </row>
    <row r="163" spans="1:7" ht="14.5">
      <c r="A163" s="518" t="s">
        <v>658</v>
      </c>
      <c r="B163" s="501">
        <v>93742</v>
      </c>
      <c r="C163" s="520">
        <v>96</v>
      </c>
      <c r="D163" s="521">
        <f t="shared" si="10"/>
        <v>1.1749999523162842</v>
      </c>
      <c r="E163" s="521">
        <v>1.1749999523162842</v>
      </c>
      <c r="F163" s="522">
        <v>2004</v>
      </c>
    </row>
    <row r="164" spans="1:7" ht="14.5">
      <c r="A164" s="518" t="s">
        <v>659</v>
      </c>
      <c r="B164" s="501">
        <v>7237025</v>
      </c>
      <c r="C164" s="520">
        <v>12.1</v>
      </c>
      <c r="D164" s="521">
        <f t="shared" si="10"/>
        <v>1.6919938474893571E-2</v>
      </c>
      <c r="E164" s="521">
        <v>9.6749223303049803E-4</v>
      </c>
      <c r="F164" s="522">
        <v>2004</v>
      </c>
      <c r="G164" s="36" t="s">
        <v>596</v>
      </c>
    </row>
    <row r="165" spans="1:7" ht="14.5">
      <c r="A165" s="518" t="s">
        <v>660</v>
      </c>
      <c r="B165" s="501">
        <v>5535262</v>
      </c>
      <c r="C165" s="520">
        <v>99.9</v>
      </c>
      <c r="D165" s="521">
        <f t="shared" si="10"/>
        <v>0.26479902863502502</v>
      </c>
      <c r="E165" s="521">
        <v>0.26479902863502502</v>
      </c>
      <c r="F165" s="522">
        <v>2001</v>
      </c>
      <c r="G165" s="36" t="s">
        <v>586</v>
      </c>
    </row>
    <row r="166" spans="1:7" ht="14.5">
      <c r="A166" s="518" t="s">
        <v>558</v>
      </c>
      <c r="B166" s="501">
        <v>5439318</v>
      </c>
      <c r="C166" s="520">
        <v>98</v>
      </c>
      <c r="D166" s="521">
        <v>0.43761569261550903</v>
      </c>
      <c r="E166" s="521">
        <v>0.43761569261550903</v>
      </c>
      <c r="F166" s="522">
        <v>2003</v>
      </c>
      <c r="G166" s="36" t="s">
        <v>586</v>
      </c>
    </row>
    <row r="167" spans="1:7" ht="14.5">
      <c r="A167" s="518" t="s">
        <v>559</v>
      </c>
      <c r="B167" s="501">
        <v>2074788</v>
      </c>
      <c r="C167" s="520">
        <v>99</v>
      </c>
      <c r="D167" s="521">
        <v>0.6037260890007019</v>
      </c>
      <c r="E167" s="521">
        <v>0.6037260890007019</v>
      </c>
      <c r="F167" s="522">
        <v>2002</v>
      </c>
    </row>
    <row r="168" spans="1:7" ht="14.5">
      <c r="A168" s="518" t="s">
        <v>661</v>
      </c>
      <c r="B168" s="501">
        <v>587482</v>
      </c>
      <c r="C168" s="520">
        <v>15.7</v>
      </c>
      <c r="D168" s="521">
        <f>IF(E168&lt;$B$211,$B$211,E168)</f>
        <v>6.1320755630731583E-2</v>
      </c>
      <c r="E168" s="521">
        <v>6.1320755630731583E-2</v>
      </c>
      <c r="F168" s="522">
        <v>1999</v>
      </c>
    </row>
    <row r="169" spans="1:7" ht="14.5">
      <c r="A169" s="524" t="s">
        <v>662</v>
      </c>
      <c r="B169" s="501">
        <v>13908129</v>
      </c>
      <c r="C169" s="520">
        <v>30</v>
      </c>
      <c r="D169" s="521">
        <f>IF(E169&lt;$B$211,$B$211,E169)</f>
        <v>1.6919938474893571E-2</v>
      </c>
      <c r="E169" s="521">
        <v>1.9324916647747159E-3</v>
      </c>
      <c r="F169" s="522">
        <v>1997</v>
      </c>
      <c r="G169" s="36" t="s">
        <v>596</v>
      </c>
    </row>
    <row r="170" spans="1:7" ht="14.5">
      <c r="A170" s="518" t="s">
        <v>560</v>
      </c>
      <c r="B170" s="501">
        <v>55291225</v>
      </c>
      <c r="C170" s="520">
        <v>75</v>
      </c>
      <c r="D170" s="521">
        <f>IF(E170&lt;$B$211,$B$211,E170)</f>
        <v>0.13259167969226837</v>
      </c>
      <c r="E170" s="521">
        <v>0.13259167969226837</v>
      </c>
      <c r="F170" s="522">
        <v>2004</v>
      </c>
      <c r="G170" s="36" t="s">
        <v>586</v>
      </c>
    </row>
    <row r="171" spans="1:7" ht="14.5">
      <c r="A171" s="518" t="s">
        <v>561</v>
      </c>
      <c r="B171" s="501">
        <v>46397664</v>
      </c>
      <c r="C171" s="520">
        <v>100</v>
      </c>
      <c r="D171" s="521">
        <v>0.48721382021903992</v>
      </c>
      <c r="E171" s="521">
        <v>0.48721382021903992</v>
      </c>
      <c r="F171" s="522">
        <v>2003</v>
      </c>
      <c r="G171" s="36" t="s">
        <v>596</v>
      </c>
    </row>
    <row r="172" spans="1:7" ht="14.5">
      <c r="A172" s="518" t="s">
        <v>562</v>
      </c>
      <c r="B172" s="501">
        <v>20714040</v>
      </c>
      <c r="C172" s="520">
        <v>76.599999999999994</v>
      </c>
      <c r="D172" s="521">
        <f>IF(E172&lt;$B$211,$B$211,E172)</f>
        <v>6.4783014357089996E-2</v>
      </c>
      <c r="E172" s="521">
        <v>6.4783014357089996E-2</v>
      </c>
      <c r="F172" s="522">
        <v>2004</v>
      </c>
      <c r="G172" s="36" t="s">
        <v>596</v>
      </c>
    </row>
    <row r="173" spans="1:7" ht="14.5">
      <c r="A173" s="524" t="s">
        <v>563</v>
      </c>
      <c r="B173" s="501">
        <v>38647803</v>
      </c>
      <c r="C173" s="520">
        <v>35.9</v>
      </c>
      <c r="D173" s="521">
        <f>IF(E173&lt;$B$211,$B$211,E173)</f>
        <v>3.1514868140220642E-2</v>
      </c>
      <c r="E173" s="521">
        <v>3.1514868140220642E-2</v>
      </c>
      <c r="F173" s="522">
        <v>2004</v>
      </c>
    </row>
    <row r="174" spans="1:7" ht="14.5">
      <c r="A174" s="518" t="s">
        <v>663</v>
      </c>
      <c r="B174" s="501">
        <v>553208</v>
      </c>
      <c r="C174" s="520">
        <v>84</v>
      </c>
      <c r="D174" s="521">
        <f>IF(E174&lt;$B$211,$B$211,E174)</f>
        <v>1.6919938474893571E-2</v>
      </c>
      <c r="E174" s="521">
        <v>9.4117643311619759E-3</v>
      </c>
      <c r="F174" s="522">
        <v>2000</v>
      </c>
    </row>
    <row r="175" spans="1:7" ht="14.5">
      <c r="A175" s="518" t="s">
        <v>564</v>
      </c>
      <c r="B175" s="501">
        <v>9763565</v>
      </c>
      <c r="C175" s="520">
        <v>100</v>
      </c>
      <c r="D175" s="521">
        <v>0.81989401578903198</v>
      </c>
      <c r="E175" s="521">
        <v>0.81989401578903198</v>
      </c>
      <c r="F175" s="522">
        <v>2002</v>
      </c>
      <c r="G175" s="36" t="s">
        <v>586</v>
      </c>
    </row>
    <row r="176" spans="1:7" ht="14.5">
      <c r="A176" s="518" t="s">
        <v>565</v>
      </c>
      <c r="B176" s="501">
        <v>8319769</v>
      </c>
      <c r="C176" s="520">
        <v>100</v>
      </c>
      <c r="D176" s="521">
        <v>0.50188308954238892</v>
      </c>
      <c r="E176" s="521">
        <v>0.50188308954238892</v>
      </c>
      <c r="F176" s="522">
        <v>2003</v>
      </c>
      <c r="G176" s="36" t="s">
        <v>586</v>
      </c>
    </row>
    <row r="177" spans="1:7" ht="14.5">
      <c r="A177" s="524" t="s">
        <v>566</v>
      </c>
      <c r="B177" s="501">
        <v>18734987</v>
      </c>
      <c r="C177" s="520">
        <v>92.7</v>
      </c>
      <c r="D177" s="521">
        <f t="shared" ref="D177:D187" si="11">IF(E177&lt;$B$211,$B$211,E177)</f>
        <v>0.71935409307479858</v>
      </c>
      <c r="E177" s="521">
        <v>0.71935409307479858</v>
      </c>
      <c r="F177" s="522">
        <v>2001</v>
      </c>
      <c r="G177" s="36" t="s">
        <v>596</v>
      </c>
    </row>
    <row r="178" spans="1:7" ht="14.5">
      <c r="A178" s="524" t="s">
        <v>664</v>
      </c>
      <c r="B178" s="501">
        <v>8548651</v>
      </c>
      <c r="C178" s="520">
        <v>85</v>
      </c>
      <c r="D178" s="521">
        <f t="shared" si="11"/>
        <v>0.15132105350494385</v>
      </c>
      <c r="E178" s="521">
        <v>0.15132105350494385</v>
      </c>
      <c r="F178" s="522">
        <v>2003</v>
      </c>
    </row>
    <row r="179" spans="1:7" ht="14.5">
      <c r="A179" s="518" t="s">
        <v>694</v>
      </c>
      <c r="B179" s="514">
        <v>53879957</v>
      </c>
      <c r="C179" s="520">
        <v>12</v>
      </c>
      <c r="D179" s="521">
        <f t="shared" si="11"/>
        <v>4.1332509368658066E-2</v>
      </c>
      <c r="E179" s="521">
        <f>$E$98</f>
        <v>4.1332509368658066E-2</v>
      </c>
      <c r="F179" s="522"/>
      <c r="G179" s="36"/>
    </row>
    <row r="180" spans="1:7" ht="14.5">
      <c r="A180" s="518" t="s">
        <v>567</v>
      </c>
      <c r="B180" s="501">
        <v>68657600</v>
      </c>
      <c r="C180" s="520">
        <v>99.3</v>
      </c>
      <c r="D180" s="521">
        <f t="shared" si="11"/>
        <v>0.17167007923126221</v>
      </c>
      <c r="E180" s="521">
        <v>0.17167007923126221</v>
      </c>
      <c r="F180" s="522">
        <v>2000</v>
      </c>
      <c r="G180" s="3" t="s">
        <v>596</v>
      </c>
    </row>
    <row r="181" spans="1:7" ht="14.5">
      <c r="A181" s="518" t="s">
        <v>665</v>
      </c>
      <c r="B181" s="501">
        <v>2079308</v>
      </c>
      <c r="C181" s="520">
        <v>97.4</v>
      </c>
      <c r="D181" s="521">
        <f t="shared" si="11"/>
        <v>0.55282557010650635</v>
      </c>
      <c r="E181" s="521">
        <v>0.55282557010650635</v>
      </c>
      <c r="F181" s="522">
        <v>2001</v>
      </c>
    </row>
    <row r="182" spans="1:7" ht="14.5">
      <c r="A182" s="524" t="s">
        <v>568</v>
      </c>
      <c r="B182" s="501">
        <v>1240977</v>
      </c>
      <c r="C182" s="520">
        <v>17</v>
      </c>
      <c r="D182" s="521">
        <f t="shared" si="11"/>
        <v>1.6919938474893571E-2</v>
      </c>
      <c r="E182" s="521">
        <v>1.3158266665413976E-3</v>
      </c>
      <c r="F182" s="522">
        <v>2003</v>
      </c>
      <c r="G182" s="36" t="s">
        <v>596</v>
      </c>
    </row>
    <row r="183" spans="1:7" ht="14.5">
      <c r="A183" s="518" t="s">
        <v>568</v>
      </c>
      <c r="B183" s="501">
        <v>1240977</v>
      </c>
      <c r="C183" s="520">
        <v>22</v>
      </c>
      <c r="D183" s="521">
        <f t="shared" si="11"/>
        <v>5.4878048598766327E-2</v>
      </c>
      <c r="E183" s="521">
        <v>5.4878048598766327E-2</v>
      </c>
      <c r="F183" s="522">
        <v>2004</v>
      </c>
      <c r="G183" s="3" t="s">
        <v>596</v>
      </c>
    </row>
    <row r="184" spans="1:7" ht="14.5">
      <c r="A184" s="518" t="s">
        <v>569</v>
      </c>
      <c r="B184" s="501">
        <v>7416802</v>
      </c>
      <c r="C184" s="520">
        <v>20</v>
      </c>
      <c r="D184" s="521">
        <f t="shared" si="11"/>
        <v>1.6919938474893571E-2</v>
      </c>
      <c r="E184" s="521">
        <v>3.7871238309890032E-3</v>
      </c>
      <c r="F184" s="522">
        <v>2004</v>
      </c>
      <c r="G184" s="3" t="s">
        <v>596</v>
      </c>
    </row>
    <row r="185" spans="1:7" ht="14.5">
      <c r="A185" s="524" t="s">
        <v>570</v>
      </c>
      <c r="B185" s="501">
        <v>106364</v>
      </c>
      <c r="C185" s="520">
        <v>23</v>
      </c>
      <c r="D185" s="521">
        <f t="shared" si="11"/>
        <v>0.32352942228317261</v>
      </c>
      <c r="E185" s="521">
        <v>0.32352942228317261</v>
      </c>
      <c r="F185" s="522">
        <v>2001</v>
      </c>
    </row>
    <row r="186" spans="1:7" ht="14.5">
      <c r="A186" s="518" t="s">
        <v>571</v>
      </c>
      <c r="B186" s="501">
        <v>1360092</v>
      </c>
      <c r="C186" s="520">
        <v>99</v>
      </c>
      <c r="D186" s="521">
        <f t="shared" si="11"/>
        <v>8.3987444639205933E-2</v>
      </c>
      <c r="E186" s="521">
        <v>8.3987444639205933E-2</v>
      </c>
      <c r="F186" s="522">
        <v>1997</v>
      </c>
      <c r="G186" s="3" t="s">
        <v>596</v>
      </c>
    </row>
    <row r="187" spans="1:7" ht="14.5">
      <c r="A187" s="518" t="s">
        <v>572</v>
      </c>
      <c r="B187" s="501">
        <v>11273661</v>
      </c>
      <c r="C187" s="520">
        <v>99.5</v>
      </c>
      <c r="D187" s="521">
        <f t="shared" si="11"/>
        <v>0.24675455689430237</v>
      </c>
      <c r="E187" s="521">
        <v>0.24675455689430237</v>
      </c>
      <c r="F187" s="522">
        <v>2004</v>
      </c>
      <c r="G187" s="3" t="s">
        <v>596</v>
      </c>
    </row>
    <row r="188" spans="1:7" ht="14.5">
      <c r="A188" s="518" t="s">
        <v>666</v>
      </c>
      <c r="B188" s="501">
        <v>78271472</v>
      </c>
      <c r="C188" s="520">
        <v>99.9</v>
      </c>
      <c r="D188" s="521">
        <v>0.2411496639251709</v>
      </c>
      <c r="E188" s="521">
        <v>0.2411496639251709</v>
      </c>
      <c r="F188" s="522">
        <v>2003</v>
      </c>
      <c r="G188" s="36" t="s">
        <v>586</v>
      </c>
    </row>
    <row r="189" spans="1:7" ht="14.5">
      <c r="A189" s="524" t="s">
        <v>667</v>
      </c>
      <c r="B189" s="501">
        <v>5565284</v>
      </c>
      <c r="C189" s="520">
        <v>100</v>
      </c>
      <c r="D189" s="521">
        <f>IF(E189&lt;$B$211,$B$211,E189)</f>
        <v>0.18272840976715088</v>
      </c>
      <c r="E189" s="521">
        <v>0.18272840976715088</v>
      </c>
      <c r="F189" s="522">
        <v>2002</v>
      </c>
    </row>
    <row r="190" spans="1:7" ht="14.5">
      <c r="A190" s="524" t="s">
        <v>668</v>
      </c>
      <c r="B190" s="525">
        <v>11001</v>
      </c>
      <c r="C190" s="520">
        <v>92</v>
      </c>
      <c r="D190" s="521">
        <f>IF(E190&lt;$B$211,$B$211,E190)</f>
        <v>0.18181818723678589</v>
      </c>
      <c r="E190" s="521">
        <v>0.18181818723678589</v>
      </c>
      <c r="F190" s="522">
        <v>2002</v>
      </c>
    </row>
    <row r="191" spans="1:7" ht="14.5">
      <c r="A191" s="524" t="s">
        <v>573</v>
      </c>
      <c r="B191" s="501">
        <v>40144870</v>
      </c>
      <c r="C191" s="520">
        <v>9</v>
      </c>
      <c r="D191" s="521">
        <f>IF(E191&lt;$B$211,$B$211,E191)</f>
        <v>1.6919938474893571E-2</v>
      </c>
      <c r="E191" s="521">
        <v>1.3596015051007271E-2</v>
      </c>
      <c r="F191" s="522">
        <v>2004</v>
      </c>
      <c r="G191" s="3" t="s">
        <v>596</v>
      </c>
    </row>
    <row r="192" spans="1:7" ht="14.5">
      <c r="A192" s="518" t="s">
        <v>574</v>
      </c>
      <c r="B192" s="501">
        <v>44657704</v>
      </c>
      <c r="C192" s="520">
        <v>100</v>
      </c>
      <c r="D192" s="521">
        <f>IF(E192&lt;$B$211,$B$211,E192)</f>
        <v>0.39886239171028137</v>
      </c>
      <c r="E192" s="521">
        <v>0.39886239171028137</v>
      </c>
      <c r="F192" s="522">
        <v>2003</v>
      </c>
    </row>
    <row r="193" spans="1:7" ht="14.5">
      <c r="A193" s="524" t="s">
        <v>575</v>
      </c>
      <c r="B193" s="501">
        <v>9154302</v>
      </c>
      <c r="C193" s="520">
        <v>100</v>
      </c>
      <c r="D193" s="521">
        <f>IF(E193&lt;$B$211,$B$211,E193)</f>
        <v>0.33136504888534546</v>
      </c>
      <c r="E193" s="521">
        <v>0.33136504888534546</v>
      </c>
      <c r="F193" s="522">
        <v>2001</v>
      </c>
      <c r="G193" s="36"/>
    </row>
    <row r="194" spans="1:7" ht="14.5">
      <c r="A194" s="518" t="s">
        <v>576</v>
      </c>
      <c r="B194" s="501">
        <v>65397080</v>
      </c>
      <c r="C194" s="520">
        <v>100</v>
      </c>
      <c r="D194" s="521">
        <v>1.0108957290649414</v>
      </c>
      <c r="E194" s="521">
        <v>1.0108957290649414</v>
      </c>
      <c r="F194" s="522">
        <v>1997</v>
      </c>
      <c r="G194" s="36" t="s">
        <v>586</v>
      </c>
    </row>
    <row r="195" spans="1:7" ht="14.5">
      <c r="A195" s="524" t="s">
        <v>577</v>
      </c>
      <c r="B195" s="501">
        <v>53879957</v>
      </c>
      <c r="C195" s="520">
        <v>13.9</v>
      </c>
      <c r="D195" s="521">
        <f>IF(E195&lt;$B$211,$B$211,E195)</f>
        <v>1.6919938474893571E-2</v>
      </c>
      <c r="E195" s="521">
        <v>7.3602381162345409E-3</v>
      </c>
      <c r="F195" s="522">
        <v>2002</v>
      </c>
      <c r="G195" s="3" t="s">
        <v>596</v>
      </c>
    </row>
    <row r="196" spans="1:7" ht="14.5">
      <c r="A196" s="518" t="s">
        <v>578</v>
      </c>
      <c r="B196" s="501">
        <v>319929162</v>
      </c>
      <c r="C196" s="520">
        <v>100</v>
      </c>
      <c r="D196" s="521">
        <v>1.6268706321716309</v>
      </c>
      <c r="E196" s="521">
        <v>1.6268706321716309</v>
      </c>
      <c r="F196" s="522">
        <v>2000</v>
      </c>
      <c r="G196" s="36" t="s">
        <v>586</v>
      </c>
    </row>
    <row r="197" spans="1:7" ht="14.5">
      <c r="A197" s="518" t="s">
        <v>579</v>
      </c>
      <c r="B197" s="501">
        <v>3431552</v>
      </c>
      <c r="C197" s="520">
        <v>98.3</v>
      </c>
      <c r="D197" s="521">
        <f t="shared" ref="D197:D204" si="12">IF(E197&lt;$B$211,$B$211,E197)</f>
        <v>1.1607195138931274</v>
      </c>
      <c r="E197" s="521">
        <v>1.1607195138931274</v>
      </c>
      <c r="F197" s="522">
        <v>2002</v>
      </c>
      <c r="G197" s="36" t="s">
        <v>596</v>
      </c>
    </row>
    <row r="198" spans="1:7" ht="14.5">
      <c r="A198" s="524" t="s">
        <v>580</v>
      </c>
      <c r="B198" s="501">
        <v>30976021</v>
      </c>
      <c r="C198" s="520">
        <v>100</v>
      </c>
      <c r="D198" s="521">
        <f t="shared" si="12"/>
        <v>0.13819798827171326</v>
      </c>
      <c r="E198" s="521">
        <v>0.13819798827171326</v>
      </c>
      <c r="F198" s="522">
        <v>2003</v>
      </c>
    </row>
    <row r="199" spans="1:7" ht="14.5">
      <c r="A199" s="524" t="s">
        <v>699</v>
      </c>
      <c r="B199" s="501">
        <v>264603</v>
      </c>
      <c r="C199" s="520">
        <v>27</v>
      </c>
      <c r="D199" s="521">
        <f t="shared" si="12"/>
        <v>0.13084112107753754</v>
      </c>
      <c r="E199" s="521">
        <f>$E$120</f>
        <v>0.13084112107753754</v>
      </c>
      <c r="F199" s="519"/>
    </row>
    <row r="200" spans="1:7" ht="14.5">
      <c r="A200" s="518" t="s">
        <v>581</v>
      </c>
      <c r="B200" s="501">
        <v>31155134</v>
      </c>
      <c r="C200" s="520">
        <v>99</v>
      </c>
      <c r="D200" s="521">
        <f t="shared" si="12"/>
        <v>0.55268263816833496</v>
      </c>
      <c r="E200" s="521">
        <v>0.55268263816833496</v>
      </c>
      <c r="F200" s="522">
        <v>2001</v>
      </c>
      <c r="G200" s="3" t="s">
        <v>596</v>
      </c>
    </row>
    <row r="201" spans="1:7" ht="14.5">
      <c r="A201" s="518" t="s">
        <v>589</v>
      </c>
      <c r="B201" s="501">
        <v>93571567</v>
      </c>
      <c r="C201" s="520">
        <v>97.6</v>
      </c>
      <c r="D201" s="521">
        <f t="shared" si="12"/>
        <v>2.8360994532704353E-2</v>
      </c>
      <c r="E201" s="521">
        <f>($E$37+$E$102)/2</f>
        <v>2.8360994532704353E-2</v>
      </c>
      <c r="F201" s="519"/>
      <c r="G201" s="3" t="s">
        <v>596</v>
      </c>
    </row>
    <row r="202" spans="1:7" ht="14.5">
      <c r="A202" s="518" t="s">
        <v>582</v>
      </c>
      <c r="B202" s="501">
        <v>26916207</v>
      </c>
      <c r="C202" s="520">
        <v>39.6</v>
      </c>
      <c r="D202" s="521">
        <f t="shared" si="12"/>
        <v>4.0997441858053207E-2</v>
      </c>
      <c r="E202" s="521">
        <v>4.0997441858053207E-2</v>
      </c>
      <c r="F202" s="522">
        <v>2004</v>
      </c>
      <c r="G202" s="3" t="s">
        <v>596</v>
      </c>
    </row>
    <row r="203" spans="1:7" ht="14.5">
      <c r="A203" s="518" t="s">
        <v>583</v>
      </c>
      <c r="B203" s="501">
        <v>16100587</v>
      </c>
      <c r="C203" s="520">
        <v>18.8</v>
      </c>
      <c r="D203" s="521">
        <f t="shared" si="12"/>
        <v>4.4946905225515366E-2</v>
      </c>
      <c r="E203" s="521">
        <v>4.4946905225515366E-2</v>
      </c>
      <c r="F203" s="522">
        <v>2004</v>
      </c>
      <c r="G203" s="3" t="s">
        <v>596</v>
      </c>
    </row>
    <row r="204" spans="1:7" ht="14.5">
      <c r="A204" s="524" t="s">
        <v>584</v>
      </c>
      <c r="B204" s="526">
        <v>15777451</v>
      </c>
      <c r="C204" s="520">
        <v>41.5</v>
      </c>
      <c r="D204" s="521">
        <f t="shared" si="12"/>
        <v>2.3971542716026306E-2</v>
      </c>
      <c r="E204" s="521">
        <v>2.3971542716026306E-2</v>
      </c>
      <c r="F204" s="522">
        <v>2004</v>
      </c>
      <c r="G204" s="3" t="s">
        <v>596</v>
      </c>
    </row>
    <row r="205" spans="1:7">
      <c r="A205" s="519" t="s">
        <v>588</v>
      </c>
      <c r="B205" s="519"/>
      <c r="C205" s="522">
        <v>100</v>
      </c>
      <c r="D205" s="521">
        <f>B209</f>
        <v>0.73578588050954485</v>
      </c>
      <c r="E205" s="521"/>
      <c r="F205" s="522"/>
    </row>
    <row r="206" spans="1:7">
      <c r="A206" s="519" t="s">
        <v>587</v>
      </c>
      <c r="B206" s="519"/>
      <c r="C206" s="534">
        <f>B212</f>
        <v>68</v>
      </c>
      <c r="D206" s="527">
        <f>B210</f>
        <v>0.23139013240813858</v>
      </c>
      <c r="E206" s="521"/>
      <c r="F206" s="522"/>
    </row>
    <row r="207" spans="1:7">
      <c r="A207" s="278"/>
      <c r="B207" s="278"/>
      <c r="C207" s="491"/>
      <c r="D207" s="490"/>
      <c r="E207" s="490"/>
      <c r="F207" s="489"/>
    </row>
    <row r="208" spans="1:7" ht="13">
      <c r="A208" s="506" t="s">
        <v>704</v>
      </c>
      <c r="B208" s="508"/>
      <c r="C208" s="491"/>
      <c r="D208" s="490"/>
      <c r="E208" s="490"/>
      <c r="F208" s="489"/>
    </row>
    <row r="209" spans="1:6" ht="25">
      <c r="A209" s="533" t="s">
        <v>590</v>
      </c>
      <c r="B209" s="499">
        <v>0.73578588050954485</v>
      </c>
      <c r="C209" s="491"/>
      <c r="D209" s="490"/>
      <c r="E209" s="490"/>
      <c r="F209" s="489"/>
    </row>
    <row r="210" spans="1:6" ht="25">
      <c r="A210" s="505" t="s">
        <v>595</v>
      </c>
      <c r="B210" s="499">
        <v>0.23139013240813858</v>
      </c>
      <c r="C210" s="491"/>
      <c r="D210" s="490"/>
      <c r="E210" s="490"/>
      <c r="F210" s="489"/>
    </row>
    <row r="211" spans="1:6">
      <c r="A211" s="505" t="s">
        <v>591</v>
      </c>
      <c r="B211" s="499">
        <v>1.6919938474893571E-2</v>
      </c>
      <c r="C211" s="491"/>
      <c r="D211" s="490"/>
      <c r="E211" s="490"/>
      <c r="F211" s="489"/>
    </row>
    <row r="212" spans="1:6" ht="25">
      <c r="A212" s="505" t="s">
        <v>693</v>
      </c>
      <c r="B212" s="532">
        <v>68</v>
      </c>
      <c r="C212" s="491"/>
      <c r="D212" s="490"/>
      <c r="E212" s="490"/>
      <c r="F212" s="489"/>
    </row>
    <row r="213" spans="1:6">
      <c r="A213" s="515"/>
      <c r="B213" s="36"/>
      <c r="D213" s="3"/>
      <c r="E213" s="3"/>
      <c r="F213" s="3"/>
    </row>
    <row r="214" spans="1:6">
      <c r="A214" s="515" t="s">
        <v>56</v>
      </c>
    </row>
    <row r="215" spans="1:6">
      <c r="A215" s="515" t="s">
        <v>669</v>
      </c>
      <c r="B215" s="36"/>
    </row>
    <row r="216" spans="1:6">
      <c r="A216" s="515" t="s">
        <v>585</v>
      </c>
      <c r="B216" s="36"/>
    </row>
    <row r="217" spans="1:6">
      <c r="A217" s="515" t="s">
        <v>594</v>
      </c>
      <c r="B217" s="36"/>
    </row>
    <row r="218" spans="1:6">
      <c r="A218" s="516" t="s">
        <v>670</v>
      </c>
    </row>
    <row r="219" spans="1:6">
      <c r="A219" s="515" t="s">
        <v>671</v>
      </c>
    </row>
    <row r="220" spans="1:6">
      <c r="A220" s="516" t="s">
        <v>672</v>
      </c>
    </row>
    <row r="221" spans="1:6">
      <c r="A221" s="791" t="s">
        <v>1218</v>
      </c>
    </row>
    <row r="222" spans="1:6">
      <c r="A222" s="792" t="s">
        <v>1219</v>
      </c>
    </row>
    <row r="223" spans="1:6">
      <c r="A223" s="515" t="s">
        <v>592</v>
      </c>
    </row>
    <row r="224" spans="1:6">
      <c r="A224" s="517" t="s">
        <v>673</v>
      </c>
    </row>
    <row r="225" spans="1:1">
      <c r="A225" s="516" t="s">
        <v>674</v>
      </c>
    </row>
    <row r="226" spans="1:1">
      <c r="A226" s="517" t="s">
        <v>675</v>
      </c>
    </row>
    <row r="227" spans="1:1">
      <c r="A227" s="516" t="s">
        <v>676</v>
      </c>
    </row>
    <row r="228" spans="1:1">
      <c r="A228" s="517" t="s">
        <v>677</v>
      </c>
    </row>
    <row r="229" spans="1:1">
      <c r="A229" s="517" t="s">
        <v>678</v>
      </c>
    </row>
    <row r="230" spans="1:1">
      <c r="A230" s="516" t="s">
        <v>679</v>
      </c>
    </row>
    <row r="231" spans="1:1">
      <c r="A231" s="517" t="s">
        <v>680</v>
      </c>
    </row>
    <row r="232" spans="1:1">
      <c r="A232" s="516" t="s">
        <v>681</v>
      </c>
    </row>
    <row r="233" spans="1:1">
      <c r="A233" s="513" t="s">
        <v>686</v>
      </c>
    </row>
    <row r="234" spans="1:1">
      <c r="A234" s="513" t="s">
        <v>688</v>
      </c>
    </row>
    <row r="235" spans="1:1">
      <c r="A235" s="513" t="s">
        <v>691</v>
      </c>
    </row>
    <row r="236" spans="1:1">
      <c r="A236" s="513" t="s">
        <v>695</v>
      </c>
    </row>
    <row r="237" spans="1:1">
      <c r="A237" s="513" t="s">
        <v>698</v>
      </c>
    </row>
  </sheetData>
  <sheetProtection algorithmName="SHA-512" hashValue="xb1hlV1HJoiIAiquTD6cr2kZK+k+MDgQhUxQe8DZP5FUVqQ9kQ7e50kGuSyuP8Latx7xce6jUWF/VKlSUhnN8Q==" saltValue="8SQ8SJmWHxEKbo93NXQNKQ==" spinCount="100000" sheet="1" objects="1" scenarios="1"/>
  <hyperlinks>
    <hyperlink ref="A227" r:id="rId1" location="!display=line&amp;ds=1459!g6f=6.12.15.n.g" display="http://datamarket.com/data/set/1459/household-electrification-rate-of-households - !display=line&amp;ds=1459!g6f=6.12.15.n.g" xr:uid="{00000000-0004-0000-0D00-000000000000}"/>
    <hyperlink ref="A225" r:id="rId2" xr:uid="{00000000-0004-0000-0D00-000001000000}"/>
    <hyperlink ref="A230" r:id="rId3" xr:uid="{00000000-0004-0000-0D00-000002000000}"/>
    <hyperlink ref="A232" r:id="rId4" xr:uid="{00000000-0004-0000-0D00-000003000000}"/>
    <hyperlink ref="A220" r:id="rId5" xr:uid="{00000000-0004-0000-0D00-000004000000}"/>
    <hyperlink ref="A218" r:id="rId6" xr:uid="{00000000-0004-0000-0D00-000005000000}"/>
    <hyperlink ref="A222" r:id="rId7" xr:uid="{00000000-0004-0000-0D00-000006000000}"/>
  </hyperlinks>
  <pageMargins left="0.7" right="0.7" top="0.75" bottom="0.75" header="0.3" footer="0.3"/>
  <pageSetup paperSize="9" orientation="portrait" r:id="rId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81"/>
  <sheetViews>
    <sheetView topLeftCell="A11" zoomScale="85" zoomScaleNormal="70" workbookViewId="0">
      <selection activeCell="E28" sqref="E28:G33"/>
    </sheetView>
  </sheetViews>
  <sheetFormatPr defaultColWidth="8.81640625" defaultRowHeight="12.5"/>
  <cols>
    <col min="1" max="1" width="3.453125" customWidth="1"/>
    <col min="2" max="2" width="5.1796875" customWidth="1"/>
    <col min="3" max="3" width="25.81640625" customWidth="1"/>
    <col min="4" max="4" width="7.453125" customWidth="1"/>
    <col min="5" max="5" width="10.36328125" customWidth="1"/>
    <col min="6" max="6" width="16.36328125" customWidth="1"/>
    <col min="7" max="7" width="10.1796875" customWidth="1"/>
    <col min="8" max="8" width="19.36328125" customWidth="1"/>
    <col min="9" max="9" width="18.36328125" style="240" customWidth="1"/>
    <col min="10" max="10" width="25.36328125" customWidth="1"/>
    <col min="11" max="11" width="10.36328125" bestFit="1" customWidth="1"/>
    <col min="13" max="13" width="27.453125" style="13" customWidth="1"/>
    <col min="14" max="14" width="9.1796875" style="240"/>
    <col min="21" max="21" width="16.453125" customWidth="1"/>
    <col min="26" max="26" width="12.81640625" customWidth="1"/>
    <col min="27" max="27" width="17" customWidth="1"/>
    <col min="28" max="28" width="63.453125" customWidth="1"/>
  </cols>
  <sheetData>
    <row r="1" spans="1:28" ht="18">
      <c r="A1" s="1" t="s">
        <v>765</v>
      </c>
      <c r="I1" s="231"/>
      <c r="N1" s="231"/>
      <c r="V1" s="3"/>
      <c r="W1" s="3"/>
      <c r="X1" s="3"/>
      <c r="Y1" s="3"/>
      <c r="Z1" s="3"/>
      <c r="AA1" s="3"/>
    </row>
    <row r="2" spans="1:28" ht="14">
      <c r="A2" s="54" t="s">
        <v>313</v>
      </c>
      <c r="I2" s="231"/>
      <c r="L2" s="48"/>
      <c r="M2" s="48"/>
      <c r="N2" s="231"/>
    </row>
    <row r="3" spans="1:28" s="5" customFormat="1" ht="13">
      <c r="D3" s="7"/>
      <c r="E3" s="7"/>
      <c r="F3" s="7"/>
      <c r="G3" s="7"/>
      <c r="H3" s="7"/>
      <c r="I3" s="255"/>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245" t="s">
        <v>51</v>
      </c>
      <c r="J4" s="144" t="s">
        <v>35</v>
      </c>
      <c r="K4" s="84" t="s">
        <v>61</v>
      </c>
      <c r="L4" s="143" t="s">
        <v>35</v>
      </c>
      <c r="M4" s="146" t="s">
        <v>57</v>
      </c>
      <c r="N4" s="245" t="s">
        <v>92</v>
      </c>
      <c r="O4" s="143" t="s">
        <v>35</v>
      </c>
      <c r="P4" s="111" t="s">
        <v>38</v>
      </c>
      <c r="Q4" s="111" t="s">
        <v>39</v>
      </c>
      <c r="R4" s="111" t="s">
        <v>40</v>
      </c>
      <c r="S4" s="111" t="s">
        <v>374</v>
      </c>
      <c r="T4" s="112" t="s">
        <v>42</v>
      </c>
      <c r="U4" s="112" t="s">
        <v>228</v>
      </c>
      <c r="V4" s="56" t="s">
        <v>38</v>
      </c>
      <c r="W4" s="56" t="s">
        <v>39</v>
      </c>
      <c r="X4" s="56" t="s">
        <v>40</v>
      </c>
      <c r="Y4" s="56" t="s">
        <v>394</v>
      </c>
      <c r="Z4" s="57" t="s">
        <v>42</v>
      </c>
      <c r="AA4" s="57" t="s">
        <v>228</v>
      </c>
      <c r="AB4" s="111" t="s">
        <v>87</v>
      </c>
    </row>
    <row r="5" spans="1:28" s="129" customFormat="1" ht="39">
      <c r="A5" s="129" t="s">
        <v>88</v>
      </c>
      <c r="C5" s="134" t="s">
        <v>213</v>
      </c>
      <c r="D5" s="111"/>
      <c r="F5" s="128"/>
      <c r="G5" s="76"/>
      <c r="H5" s="128"/>
      <c r="I5" s="331"/>
      <c r="K5" s="113"/>
      <c r="L5" s="128"/>
      <c r="M5" s="135"/>
      <c r="N5" s="247"/>
      <c r="O5" s="128"/>
      <c r="P5" s="76"/>
      <c r="Q5" s="76"/>
      <c r="R5" s="76"/>
      <c r="S5" s="76"/>
      <c r="T5" s="76"/>
      <c r="U5" s="76"/>
      <c r="V5" s="58"/>
      <c r="W5" s="58"/>
      <c r="X5" s="58"/>
      <c r="Y5" s="58"/>
      <c r="Z5" s="58"/>
      <c r="AA5" s="58"/>
      <c r="AB5" s="76"/>
    </row>
    <row r="6" spans="1:28" ht="13">
      <c r="B6" t="s">
        <v>89</v>
      </c>
      <c r="C6" s="12" t="s">
        <v>90</v>
      </c>
      <c r="D6" s="111"/>
      <c r="G6" s="76"/>
      <c r="I6" s="331"/>
      <c r="K6" s="114"/>
      <c r="L6" s="3"/>
      <c r="M6" s="14"/>
      <c r="N6" s="247"/>
      <c r="O6" s="3"/>
      <c r="P6" s="282"/>
      <c r="Q6" s="282"/>
      <c r="R6" s="282"/>
      <c r="S6" s="282"/>
      <c r="T6" s="282"/>
      <c r="U6" s="282"/>
      <c r="V6" s="114">
        <f t="shared" ref="V6:AA6" si="0">SUM(V7:V17)</f>
        <v>0</v>
      </c>
      <c r="W6" s="114">
        <f t="shared" si="0"/>
        <v>0</v>
      </c>
      <c r="X6" s="114">
        <f t="shared" si="0"/>
        <v>0</v>
      </c>
      <c r="Y6" s="114">
        <f t="shared" si="0"/>
        <v>0</v>
      </c>
      <c r="Z6" s="114">
        <f t="shared" si="0"/>
        <v>0</v>
      </c>
      <c r="AA6" s="114">
        <f t="shared" si="0"/>
        <v>0</v>
      </c>
      <c r="AB6" s="76"/>
    </row>
    <row r="7" spans="1:28" ht="13">
      <c r="C7" s="12" t="s">
        <v>352</v>
      </c>
      <c r="D7" s="111"/>
      <c r="E7" s="6"/>
      <c r="F7" s="3"/>
      <c r="G7" s="76">
        <v>1</v>
      </c>
      <c r="H7" s="3"/>
      <c r="I7" s="332">
        <f>'Etape 4-Utilis. Industrielle Hg'!C10</f>
        <v>0</v>
      </c>
      <c r="J7" s="8" t="s">
        <v>390</v>
      </c>
      <c r="K7" s="168">
        <f>I7*G7</f>
        <v>0</v>
      </c>
      <c r="L7" s="3" t="s">
        <v>36</v>
      </c>
      <c r="M7" s="14" t="s">
        <v>352</v>
      </c>
      <c r="N7" s="248">
        <f>K7</f>
        <v>0</v>
      </c>
      <c r="O7" s="3" t="s">
        <v>36</v>
      </c>
      <c r="P7" s="295">
        <v>0.01</v>
      </c>
      <c r="Q7" s="295">
        <v>5.0000000000000001E-3</v>
      </c>
      <c r="R7" s="295">
        <v>0.1</v>
      </c>
      <c r="S7" s="295"/>
      <c r="T7" s="295">
        <v>0.1</v>
      </c>
      <c r="U7" s="295">
        <v>0.01</v>
      </c>
      <c r="V7" s="116">
        <f t="shared" ref="V7:AA7" si="1">$N7*P7</f>
        <v>0</v>
      </c>
      <c r="W7" s="116">
        <f t="shared" si="1"/>
        <v>0</v>
      </c>
      <c r="X7" s="116">
        <f t="shared" si="1"/>
        <v>0</v>
      </c>
      <c r="Y7" s="116">
        <f t="shared" si="1"/>
        <v>0</v>
      </c>
      <c r="Z7" s="116">
        <f>$N7*T7</f>
        <v>0</v>
      </c>
      <c r="AA7" s="116">
        <f t="shared" si="1"/>
        <v>0</v>
      </c>
      <c r="AB7" s="76"/>
    </row>
    <row r="8" spans="1:28" ht="13">
      <c r="C8" s="53" t="s">
        <v>93</v>
      </c>
      <c r="D8" s="76"/>
      <c r="E8" s="6" t="s">
        <v>106</v>
      </c>
      <c r="F8" s="3" t="s">
        <v>110</v>
      </c>
      <c r="G8" s="76">
        <v>1</v>
      </c>
      <c r="H8" s="3" t="s">
        <v>110</v>
      </c>
      <c r="I8" s="248"/>
      <c r="J8" t="s">
        <v>111</v>
      </c>
      <c r="K8" s="115">
        <f>G8*I8/1000</f>
        <v>0</v>
      </c>
      <c r="L8" s="3" t="s">
        <v>36</v>
      </c>
      <c r="M8" s="15"/>
      <c r="N8" s="248"/>
      <c r="O8" s="3"/>
      <c r="P8" s="295"/>
      <c r="Q8" s="295"/>
      <c r="R8" s="295"/>
      <c r="S8" s="295"/>
      <c r="T8" s="295"/>
      <c r="U8" s="295"/>
      <c r="V8" s="116"/>
      <c r="W8" s="116"/>
      <c r="X8" s="116"/>
      <c r="Y8" s="116"/>
      <c r="Z8" s="116"/>
      <c r="AA8" s="116"/>
      <c r="AB8" s="76"/>
    </row>
    <row r="9" spans="1:28" ht="13">
      <c r="C9" s="53" t="s">
        <v>94</v>
      </c>
      <c r="D9" s="76"/>
      <c r="E9" s="6" t="s">
        <v>108</v>
      </c>
      <c r="F9" s="3" t="s">
        <v>110</v>
      </c>
      <c r="G9" s="76">
        <v>3.5</v>
      </c>
      <c r="H9" s="3" t="s">
        <v>110</v>
      </c>
      <c r="I9" s="248"/>
      <c r="J9" t="s">
        <v>111</v>
      </c>
      <c r="K9" s="115">
        <f>G9*I9/1000</f>
        <v>0</v>
      </c>
      <c r="L9" s="3" t="s">
        <v>36</v>
      </c>
      <c r="M9" s="15"/>
      <c r="N9" s="248"/>
      <c r="O9" s="3"/>
      <c r="P9" s="295"/>
      <c r="Q9" s="295"/>
      <c r="R9" s="295"/>
      <c r="S9" s="295"/>
      <c r="T9" s="295"/>
      <c r="U9" s="295"/>
      <c r="V9" s="116"/>
      <c r="W9" s="116"/>
      <c r="X9" s="116"/>
      <c r="Y9" s="116"/>
      <c r="Z9" s="116"/>
      <c r="AA9" s="116"/>
      <c r="AB9" s="76"/>
    </row>
    <row r="10" spans="1:28" ht="13">
      <c r="C10" s="53" t="s">
        <v>95</v>
      </c>
      <c r="D10" s="76"/>
      <c r="E10" s="6" t="s">
        <v>107</v>
      </c>
      <c r="F10" s="3" t="s">
        <v>110</v>
      </c>
      <c r="G10" s="76">
        <v>103</v>
      </c>
      <c r="H10" s="3" t="s">
        <v>110</v>
      </c>
      <c r="I10" s="248"/>
      <c r="J10" t="s">
        <v>111</v>
      </c>
      <c r="K10" s="115">
        <f>G10*I10/1000</f>
        <v>0</v>
      </c>
      <c r="L10" s="3" t="s">
        <v>36</v>
      </c>
      <c r="M10" s="15"/>
      <c r="N10" s="248"/>
      <c r="O10" s="3"/>
      <c r="P10" s="295"/>
      <c r="Q10" s="295"/>
      <c r="R10" s="295"/>
      <c r="S10" s="295"/>
      <c r="T10" s="295"/>
      <c r="U10" s="295"/>
      <c r="V10" s="116"/>
      <c r="W10" s="116"/>
      <c r="X10" s="116"/>
      <c r="Y10" s="116"/>
      <c r="Z10" s="116"/>
      <c r="AA10" s="116"/>
      <c r="AB10" s="76"/>
    </row>
    <row r="11" spans="1:28" ht="13">
      <c r="C11" s="53" t="s">
        <v>96</v>
      </c>
      <c r="D11" s="76"/>
      <c r="E11" s="6" t="s">
        <v>109</v>
      </c>
      <c r="F11" s="3" t="s">
        <v>110</v>
      </c>
      <c r="G11" s="76">
        <v>20.5</v>
      </c>
      <c r="H11" s="3" t="s">
        <v>110</v>
      </c>
      <c r="I11" s="248"/>
      <c r="J11" t="s">
        <v>111</v>
      </c>
      <c r="K11" s="115">
        <f>G11*I11/1000</f>
        <v>0</v>
      </c>
      <c r="L11" s="3" t="s">
        <v>36</v>
      </c>
      <c r="N11" s="248"/>
      <c r="O11" s="3"/>
      <c r="P11" s="295"/>
      <c r="Q11" s="295"/>
      <c r="R11" s="295"/>
      <c r="S11" s="295"/>
      <c r="T11" s="295"/>
      <c r="U11" s="295"/>
      <c r="V11" s="116"/>
      <c r="W11" s="116"/>
      <c r="X11" s="116"/>
      <c r="Y11" s="116"/>
      <c r="Z11" s="116"/>
      <c r="AA11" s="116"/>
      <c r="AB11" s="76"/>
    </row>
    <row r="12" spans="1:28" ht="13">
      <c r="C12" s="67" t="s">
        <v>100</v>
      </c>
      <c r="D12" s="111"/>
      <c r="E12" s="6"/>
      <c r="F12" s="3"/>
      <c r="G12" s="76"/>
      <c r="H12" s="3"/>
      <c r="I12" s="248"/>
      <c r="J12" s="306" t="s">
        <v>393</v>
      </c>
      <c r="K12" s="168">
        <f>SUM(K13:K16)</f>
        <v>0</v>
      </c>
      <c r="L12" s="3" t="s">
        <v>36</v>
      </c>
      <c r="M12" s="16" t="s">
        <v>100</v>
      </c>
      <c r="N12" s="248"/>
      <c r="O12" s="3" t="s">
        <v>36</v>
      </c>
      <c r="P12" s="295"/>
      <c r="Q12" s="295"/>
      <c r="R12" s="295"/>
      <c r="S12" s="295"/>
      <c r="T12" s="295"/>
      <c r="U12" s="296"/>
      <c r="V12" s="116"/>
      <c r="W12" s="116"/>
      <c r="X12" s="116"/>
      <c r="Y12" s="116"/>
      <c r="Z12" s="116"/>
      <c r="AA12" s="116"/>
      <c r="AB12" s="76"/>
    </row>
    <row r="13" spans="1:28" ht="26">
      <c r="C13" s="53" t="s">
        <v>93</v>
      </c>
      <c r="D13" s="76"/>
      <c r="E13" s="6" t="s">
        <v>106</v>
      </c>
      <c r="F13" s="3" t="s">
        <v>110</v>
      </c>
      <c r="G13" s="76">
        <v>1</v>
      </c>
      <c r="H13" s="3" t="s">
        <v>110</v>
      </c>
      <c r="I13" s="248">
        <f>IF('Etape6-Produits-substances Hg'!B16=yes,'Etape6-Produits-substances Hg'!C16,0)</f>
        <v>0</v>
      </c>
      <c r="J13" t="s">
        <v>111</v>
      </c>
      <c r="K13" s="115">
        <f>G13*I13/1000</f>
        <v>0</v>
      </c>
      <c r="L13" s="3" t="s">
        <v>36</v>
      </c>
      <c r="M13" s="15" t="s">
        <v>97</v>
      </c>
      <c r="N13" s="320">
        <f>IF(AND('Etape5-Trait.+recyclage déchets'!$B$4=yes,'Etape5-Trait.+recyclage déchets'!$E$4=no),K12,0)</f>
        <v>0</v>
      </c>
      <c r="O13" s="3" t="s">
        <v>36</v>
      </c>
      <c r="P13" s="295">
        <v>0.1</v>
      </c>
      <c r="Q13" s="295">
        <v>0.3</v>
      </c>
      <c r="R13" s="295"/>
      <c r="S13" s="295"/>
      <c r="T13" s="295">
        <v>0.6</v>
      </c>
      <c r="U13" s="295"/>
      <c r="V13" s="116">
        <f t="shared" ref="V13:Y15" si="2">$N13*P13</f>
        <v>0</v>
      </c>
      <c r="W13" s="116">
        <f t="shared" si="2"/>
        <v>0</v>
      </c>
      <c r="X13" s="116">
        <f t="shared" si="2"/>
        <v>0</v>
      </c>
      <c r="Y13" s="116">
        <f t="shared" si="2"/>
        <v>0</v>
      </c>
      <c r="Z13" s="116">
        <f t="shared" ref="Z13:AA15" si="3">$N13*T13</f>
        <v>0</v>
      </c>
      <c r="AA13" s="116">
        <f t="shared" si="3"/>
        <v>0</v>
      </c>
      <c r="AB13" s="76"/>
    </row>
    <row r="14" spans="1:28" ht="26">
      <c r="C14" s="53" t="s">
        <v>94</v>
      </c>
      <c r="D14" s="76"/>
      <c r="E14" s="6" t="s">
        <v>108</v>
      </c>
      <c r="F14" s="3" t="s">
        <v>110</v>
      </c>
      <c r="G14" s="76">
        <v>3.5</v>
      </c>
      <c r="H14" s="3" t="s">
        <v>110</v>
      </c>
      <c r="I14" s="248">
        <f>IF('Etape6-Produits-substances Hg'!B17=yes,0.5*'Etape6-Produits-substances Hg'!C17,0)</f>
        <v>0</v>
      </c>
      <c r="J14" t="s">
        <v>111</v>
      </c>
      <c r="K14" s="115">
        <f>G14*I14/1000</f>
        <v>0</v>
      </c>
      <c r="L14" s="3" t="s">
        <v>36</v>
      </c>
      <c r="M14" s="15" t="s">
        <v>112</v>
      </c>
      <c r="N14" s="320">
        <f>IF(AND('Etape5-Trait.+recyclage déchets'!$B$4=no,OR('Etape5-Trait.+recyclage déchets'!$E$4=no,'Etape5-Trait.+recyclage déchets'!$E$4=yes,'Etape5-Trait.+recyclage déchets'!$E$4="")),K12,0)</f>
        <v>0</v>
      </c>
      <c r="O14" s="3" t="s">
        <v>36</v>
      </c>
      <c r="P14" s="295">
        <v>0.2</v>
      </c>
      <c r="Q14" s="295">
        <v>0.3</v>
      </c>
      <c r="R14" s="295">
        <v>0.2</v>
      </c>
      <c r="S14" s="295"/>
      <c r="T14" s="295">
        <v>0.3</v>
      </c>
      <c r="U14" s="295"/>
      <c r="V14" s="116">
        <f t="shared" si="2"/>
        <v>0</v>
      </c>
      <c r="W14" s="116">
        <f t="shared" si="2"/>
        <v>0</v>
      </c>
      <c r="X14" s="116">
        <f t="shared" si="2"/>
        <v>0</v>
      </c>
      <c r="Y14" s="116">
        <f t="shared" si="2"/>
        <v>0</v>
      </c>
      <c r="Z14" s="116">
        <f t="shared" si="3"/>
        <v>0</v>
      </c>
      <c r="AA14" s="116">
        <f t="shared" si="3"/>
        <v>0</v>
      </c>
      <c r="AB14" s="76"/>
    </row>
    <row r="15" spans="1:28" ht="26">
      <c r="C15" s="53" t="s">
        <v>95</v>
      </c>
      <c r="D15" s="76"/>
      <c r="E15" s="6" t="s">
        <v>107</v>
      </c>
      <c r="F15" s="3" t="s">
        <v>110</v>
      </c>
      <c r="G15" s="76">
        <v>103</v>
      </c>
      <c r="H15" s="3" t="s">
        <v>110</v>
      </c>
      <c r="I15" s="248">
        <f>IF('Etape6-Produits-substances Hg'!B18=yes,'Etape6-Produits-substances Hg'!C18,0)</f>
        <v>0</v>
      </c>
      <c r="J15" t="s">
        <v>111</v>
      </c>
      <c r="K15" s="115">
        <f>G15*I15/1000</f>
        <v>0</v>
      </c>
      <c r="L15" s="3" t="s">
        <v>36</v>
      </c>
      <c r="M15" s="15" t="s">
        <v>98</v>
      </c>
      <c r="N15" s="320">
        <f>IF(AND('Etape5-Trait.+recyclage déchets'!$B$4=yes,'Etape5-Trait.+recyclage déchets'!$E$4=yes),K12,0)</f>
        <v>0</v>
      </c>
      <c r="O15" s="3" t="s">
        <v>36</v>
      </c>
      <c r="P15" s="295">
        <v>0.1</v>
      </c>
      <c r="Q15" s="295">
        <v>0.3</v>
      </c>
      <c r="R15" s="295"/>
      <c r="S15" s="295"/>
      <c r="T15" s="295">
        <v>0.3</v>
      </c>
      <c r="U15" s="295">
        <v>0.3</v>
      </c>
      <c r="V15" s="116">
        <f t="shared" si="2"/>
        <v>0</v>
      </c>
      <c r="W15" s="116">
        <f t="shared" si="2"/>
        <v>0</v>
      </c>
      <c r="X15" s="116">
        <f t="shared" si="2"/>
        <v>0</v>
      </c>
      <c r="Y15" s="116">
        <f t="shared" si="2"/>
        <v>0</v>
      </c>
      <c r="Z15" s="116">
        <f t="shared" si="3"/>
        <v>0</v>
      </c>
      <c r="AA15" s="116">
        <f t="shared" si="3"/>
        <v>0</v>
      </c>
      <c r="AB15" s="76"/>
    </row>
    <row r="16" spans="1:28" ht="13">
      <c r="C16" s="53" t="s">
        <v>96</v>
      </c>
      <c r="D16" s="76"/>
      <c r="E16" s="27" t="s">
        <v>109</v>
      </c>
      <c r="F16" s="3" t="s">
        <v>110</v>
      </c>
      <c r="G16" s="76">
        <v>20.5</v>
      </c>
      <c r="H16" s="3" t="s">
        <v>110</v>
      </c>
      <c r="I16" s="248">
        <f>IF('Etape6-Produits-substances Hg'!B17=yes,0.5*'Etape6-Produits-substances Hg'!C17,0)</f>
        <v>0</v>
      </c>
      <c r="J16" t="s">
        <v>111</v>
      </c>
      <c r="K16" s="115">
        <f>G16*I16/1000</f>
        <v>0</v>
      </c>
      <c r="L16" s="3" t="s">
        <v>36</v>
      </c>
      <c r="N16" s="248"/>
      <c r="O16" s="3"/>
      <c r="P16" s="295"/>
      <c r="Q16" s="295"/>
      <c r="R16" s="295"/>
      <c r="S16" s="295"/>
      <c r="T16" s="295"/>
      <c r="U16" s="296"/>
      <c r="V16" s="116"/>
      <c r="W16" s="116"/>
      <c r="X16" s="116"/>
      <c r="Y16" s="116"/>
      <c r="Z16" s="116"/>
      <c r="AA16" s="116"/>
      <c r="AB16" s="76"/>
    </row>
    <row r="17" spans="2:28" s="55" customFormat="1" ht="13">
      <c r="C17" s="161"/>
      <c r="D17" s="76"/>
      <c r="E17" s="106"/>
      <c r="F17" s="104"/>
      <c r="G17" s="76"/>
      <c r="H17" s="104"/>
      <c r="I17" s="248"/>
      <c r="K17" s="115"/>
      <c r="L17" s="104"/>
      <c r="M17" s="162"/>
      <c r="N17" s="248"/>
      <c r="O17" s="104"/>
      <c r="P17" s="295"/>
      <c r="Q17" s="295"/>
      <c r="R17" s="295"/>
      <c r="S17" s="295"/>
      <c r="T17" s="295"/>
      <c r="U17" s="296"/>
      <c r="V17" s="116"/>
      <c r="W17" s="116"/>
      <c r="X17" s="116"/>
      <c r="Y17" s="116"/>
      <c r="Z17" s="116"/>
      <c r="AA17" s="116"/>
      <c r="AB17" s="76"/>
    </row>
    <row r="18" spans="2:28" ht="26">
      <c r="B18" t="s">
        <v>114</v>
      </c>
      <c r="C18" s="12" t="s">
        <v>113</v>
      </c>
      <c r="D18" s="111"/>
      <c r="G18" s="76"/>
      <c r="I18" s="247"/>
      <c r="K18" s="114"/>
      <c r="L18" s="3"/>
      <c r="M18" s="14"/>
      <c r="N18" s="248"/>
      <c r="O18" s="3"/>
      <c r="P18" s="296"/>
      <c r="Q18" s="296"/>
      <c r="R18" s="296"/>
      <c r="S18" s="296"/>
      <c r="T18" s="296"/>
      <c r="U18" s="296"/>
      <c r="V18" s="114">
        <f t="shared" ref="V18:AA18" si="4">SUM(V19:V23)</f>
        <v>0</v>
      </c>
      <c r="W18" s="114">
        <f t="shared" si="4"/>
        <v>0</v>
      </c>
      <c r="X18" s="114">
        <f t="shared" si="4"/>
        <v>0</v>
      </c>
      <c r="Y18" s="114">
        <f t="shared" si="4"/>
        <v>0</v>
      </c>
      <c r="Z18" s="114">
        <f t="shared" si="4"/>
        <v>0</v>
      </c>
      <c r="AA18" s="114">
        <f t="shared" si="4"/>
        <v>0</v>
      </c>
      <c r="AB18" s="76"/>
    </row>
    <row r="19" spans="2:28" ht="13">
      <c r="C19" s="12" t="s">
        <v>99</v>
      </c>
      <c r="D19" s="111"/>
      <c r="F19" s="3"/>
      <c r="G19" s="76">
        <v>1</v>
      </c>
      <c r="H19" s="3"/>
      <c r="I19" s="248">
        <f>'Etape 4-Utilis. Industrielle Hg'!C11</f>
        <v>0</v>
      </c>
      <c r="J19" s="8" t="s">
        <v>390</v>
      </c>
      <c r="K19" s="115">
        <f>I19*G19</f>
        <v>0</v>
      </c>
      <c r="L19" s="3"/>
      <c r="M19" s="14" t="s">
        <v>99</v>
      </c>
      <c r="N19" s="248">
        <f>K19</f>
        <v>0</v>
      </c>
      <c r="O19" s="3"/>
      <c r="P19" s="295">
        <v>0.01</v>
      </c>
      <c r="Q19" s="295">
        <v>5.0000000000000001E-3</v>
      </c>
      <c r="R19" s="295">
        <v>0.1</v>
      </c>
      <c r="S19" s="295"/>
      <c r="T19" s="295">
        <v>0.1</v>
      </c>
      <c r="U19" s="295">
        <v>0.01</v>
      </c>
      <c r="V19" s="116">
        <f t="shared" ref="V19:AA19" si="5">$N19*P19</f>
        <v>0</v>
      </c>
      <c r="W19" s="116">
        <f t="shared" si="5"/>
        <v>0</v>
      </c>
      <c r="X19" s="116">
        <f t="shared" si="5"/>
        <v>0</v>
      </c>
      <c r="Y19" s="116">
        <f t="shared" si="5"/>
        <v>0</v>
      </c>
      <c r="Z19" s="116">
        <f t="shared" si="5"/>
        <v>0</v>
      </c>
      <c r="AA19" s="116">
        <f t="shared" si="5"/>
        <v>0</v>
      </c>
      <c r="AB19" s="76"/>
    </row>
    <row r="20" spans="2:28" ht="13">
      <c r="C20" s="67" t="s">
        <v>100</v>
      </c>
      <c r="D20" s="111"/>
      <c r="E20" t="s">
        <v>115</v>
      </c>
      <c r="F20" s="3" t="s">
        <v>118</v>
      </c>
      <c r="G20" s="282">
        <v>0.14000000000000001</v>
      </c>
      <c r="H20" s="3" t="s">
        <v>118</v>
      </c>
      <c r="I20" s="248">
        <f>'Etape 1-Données pays'!B6</f>
        <v>0</v>
      </c>
      <c r="J20" s="3" t="s">
        <v>117</v>
      </c>
      <c r="K20" s="169">
        <f>(G20*I20/1000)*'Etape6-Produits-substances Hg'!$C$21/100</f>
        <v>0</v>
      </c>
      <c r="L20" s="3" t="s">
        <v>36</v>
      </c>
      <c r="M20" s="16" t="s">
        <v>100</v>
      </c>
      <c r="N20" s="248"/>
      <c r="O20" s="3"/>
      <c r="P20" s="295"/>
      <c r="Q20" s="295"/>
      <c r="R20" s="295"/>
      <c r="S20" s="295"/>
      <c r="T20" s="295"/>
      <c r="U20" s="296"/>
      <c r="V20" s="116"/>
      <c r="W20" s="116"/>
      <c r="X20" s="116"/>
      <c r="Y20" s="116"/>
      <c r="Z20" s="116"/>
      <c r="AA20" s="116"/>
      <c r="AB20" s="76"/>
    </row>
    <row r="21" spans="2:28" ht="26">
      <c r="C21" s="53"/>
      <c r="D21" s="76"/>
      <c r="E21" s="6"/>
      <c r="F21" s="3"/>
      <c r="G21" s="76"/>
      <c r="H21" s="3"/>
      <c r="I21" s="248"/>
      <c r="K21" s="115"/>
      <c r="L21" s="3"/>
      <c r="M21" s="15" t="s">
        <v>97</v>
      </c>
      <c r="N21" s="320">
        <f>IF(AND('Etape5-Trait.+recyclage déchets'!$B$4=yes,'Etape5-Trait.+recyclage déchets'!$E$4=no),K20,0)</f>
        <v>0</v>
      </c>
      <c r="O21" s="3"/>
      <c r="P21" s="295">
        <v>0.1</v>
      </c>
      <c r="Q21" s="295"/>
      <c r="R21" s="295">
        <v>0.1</v>
      </c>
      <c r="S21" s="295"/>
      <c r="T21" s="295">
        <v>0.8</v>
      </c>
      <c r="U21" s="295"/>
      <c r="V21" s="116">
        <f t="shared" ref="V21:Y23" si="6">$N21*P21</f>
        <v>0</v>
      </c>
      <c r="W21" s="116">
        <f t="shared" si="6"/>
        <v>0</v>
      </c>
      <c r="X21" s="116">
        <f t="shared" si="6"/>
        <v>0</v>
      </c>
      <c r="Y21" s="116">
        <f t="shared" si="6"/>
        <v>0</v>
      </c>
      <c r="Z21" s="116">
        <f t="shared" ref="Z21:AA23" si="7">$N21*T21</f>
        <v>0</v>
      </c>
      <c r="AA21" s="116">
        <f t="shared" si="7"/>
        <v>0</v>
      </c>
      <c r="AB21" s="76"/>
    </row>
    <row r="22" spans="2:28" ht="26">
      <c r="C22" s="53"/>
      <c r="D22" s="76"/>
      <c r="E22" s="6"/>
      <c r="F22" s="3"/>
      <c r="G22" s="76"/>
      <c r="H22" s="3"/>
      <c r="I22" s="248"/>
      <c r="K22" s="115"/>
      <c r="L22" s="3"/>
      <c r="M22" s="15" t="s">
        <v>112</v>
      </c>
      <c r="N22" s="320">
        <f>IF(AND('Etape5-Trait.+recyclage déchets'!$B$4=no,OR('Etape5-Trait.+recyclage déchets'!$E$4=no,'Etape5-Trait.+recyclage déchets'!$E$4=yes,'Etape5-Trait.+recyclage déchets'!$E$4="")),K20,0)</f>
        <v>0</v>
      </c>
      <c r="O22" s="3"/>
      <c r="P22" s="295">
        <v>0.3</v>
      </c>
      <c r="Q22" s="295"/>
      <c r="R22" s="295">
        <v>0.4</v>
      </c>
      <c r="S22" s="295"/>
      <c r="T22" s="295">
        <v>0.3</v>
      </c>
      <c r="U22" s="295"/>
      <c r="V22" s="116">
        <f t="shared" si="6"/>
        <v>0</v>
      </c>
      <c r="W22" s="116">
        <f t="shared" si="6"/>
        <v>0</v>
      </c>
      <c r="X22" s="116">
        <f t="shared" si="6"/>
        <v>0</v>
      </c>
      <c r="Y22" s="116">
        <f t="shared" si="6"/>
        <v>0</v>
      </c>
      <c r="Z22" s="116">
        <f t="shared" si="7"/>
        <v>0</v>
      </c>
      <c r="AA22" s="116">
        <f t="shared" si="7"/>
        <v>0</v>
      </c>
      <c r="AB22" s="76"/>
    </row>
    <row r="23" spans="2:28" ht="26">
      <c r="C23" s="53"/>
      <c r="D23" s="76"/>
      <c r="E23" s="6"/>
      <c r="F23" s="3"/>
      <c r="G23" s="76"/>
      <c r="H23" s="3"/>
      <c r="I23" s="248"/>
      <c r="K23" s="115"/>
      <c r="L23" s="3"/>
      <c r="M23" s="15" t="s">
        <v>98</v>
      </c>
      <c r="N23" s="320">
        <f>IF(AND('Etape5-Trait.+recyclage déchets'!$B$4=yes,'Etape5-Trait.+recyclage déchets'!$E$4=yes),K20,0)</f>
        <v>0</v>
      </c>
      <c r="O23" s="3"/>
      <c r="P23" s="295">
        <v>0.1</v>
      </c>
      <c r="Q23" s="295"/>
      <c r="R23" s="295">
        <v>0.1</v>
      </c>
      <c r="S23" s="295"/>
      <c r="T23" s="295">
        <v>0.4</v>
      </c>
      <c r="U23" s="295">
        <v>0.4</v>
      </c>
      <c r="V23" s="116">
        <f t="shared" si="6"/>
        <v>0</v>
      </c>
      <c r="W23" s="116">
        <f t="shared" si="6"/>
        <v>0</v>
      </c>
      <c r="X23" s="116">
        <f t="shared" si="6"/>
        <v>0</v>
      </c>
      <c r="Y23" s="116">
        <f t="shared" si="6"/>
        <v>0</v>
      </c>
      <c r="Z23" s="116">
        <f t="shared" si="7"/>
        <v>0</v>
      </c>
      <c r="AA23" s="116">
        <f t="shared" si="7"/>
        <v>0</v>
      </c>
      <c r="AB23" s="76"/>
    </row>
    <row r="24" spans="2:28" s="55" customFormat="1" ht="13">
      <c r="C24" s="161"/>
      <c r="D24" s="76"/>
      <c r="E24" s="106"/>
      <c r="F24" s="104"/>
      <c r="G24" s="76"/>
      <c r="H24" s="104"/>
      <c r="I24" s="248"/>
      <c r="K24" s="115"/>
      <c r="L24" s="104"/>
      <c r="M24" s="107"/>
      <c r="N24" s="248"/>
      <c r="O24" s="104"/>
      <c r="P24" s="295"/>
      <c r="Q24" s="295"/>
      <c r="R24" s="295"/>
      <c r="S24" s="295"/>
      <c r="T24" s="295"/>
      <c r="U24" s="295"/>
      <c r="V24" s="116"/>
      <c r="W24" s="116"/>
      <c r="X24" s="116"/>
      <c r="Y24" s="116"/>
      <c r="Z24" s="116"/>
      <c r="AA24" s="116"/>
      <c r="AB24" s="76"/>
    </row>
    <row r="25" spans="2:28" ht="13">
      <c r="B25" t="s">
        <v>119</v>
      </c>
      <c r="C25" s="5" t="s">
        <v>321</v>
      </c>
      <c r="D25" s="111"/>
      <c r="G25" s="76"/>
      <c r="I25" s="247"/>
      <c r="K25" s="114"/>
      <c r="L25" s="3"/>
      <c r="M25" s="14"/>
      <c r="N25" s="248"/>
      <c r="O25" s="3"/>
      <c r="P25" s="296"/>
      <c r="Q25" s="296"/>
      <c r="R25" s="296"/>
      <c r="S25" s="296"/>
      <c r="T25" s="296"/>
      <c r="U25" s="296"/>
      <c r="V25" s="114">
        <f t="shared" ref="V25:AA25" si="8">SUM(V26:V33)</f>
        <v>0</v>
      </c>
      <c r="W25" s="114">
        <f t="shared" si="8"/>
        <v>0</v>
      </c>
      <c r="X25" s="114">
        <f t="shared" si="8"/>
        <v>0</v>
      </c>
      <c r="Y25" s="114">
        <f t="shared" si="8"/>
        <v>0</v>
      </c>
      <c r="Z25" s="114">
        <f t="shared" si="8"/>
        <v>0</v>
      </c>
      <c r="AA25" s="114">
        <f t="shared" si="8"/>
        <v>0</v>
      </c>
      <c r="AB25" s="76"/>
    </row>
    <row r="26" spans="2:28" ht="13">
      <c r="C26" s="12" t="s">
        <v>99</v>
      </c>
      <c r="D26" s="111"/>
      <c r="F26" s="3"/>
      <c r="G26" s="76">
        <v>1</v>
      </c>
      <c r="H26" s="3"/>
      <c r="I26" s="248">
        <f>'Etape 4-Utilis. Industrielle Hg'!C12</f>
        <v>0</v>
      </c>
      <c r="J26" s="8" t="s">
        <v>390</v>
      </c>
      <c r="K26" s="115">
        <f>I26*G26</f>
        <v>0</v>
      </c>
      <c r="L26" s="3" t="s">
        <v>36</v>
      </c>
      <c r="M26" s="14" t="s">
        <v>99</v>
      </c>
      <c r="N26" s="248">
        <f>K26</f>
        <v>0</v>
      </c>
      <c r="O26" s="3"/>
      <c r="P26" s="295">
        <v>0.01</v>
      </c>
      <c r="Q26" s="295">
        <v>5.0000000000000001E-3</v>
      </c>
      <c r="R26" s="295">
        <v>0.1</v>
      </c>
      <c r="S26" s="295"/>
      <c r="T26" s="295">
        <v>0.1</v>
      </c>
      <c r="U26" s="295">
        <v>0.01</v>
      </c>
      <c r="V26" s="116">
        <f t="shared" ref="V26:AA26" si="9">$N26*P26</f>
        <v>0</v>
      </c>
      <c r="W26" s="116">
        <f t="shared" si="9"/>
        <v>0</v>
      </c>
      <c r="X26" s="116">
        <f t="shared" si="9"/>
        <v>0</v>
      </c>
      <c r="Y26" s="116">
        <f t="shared" si="9"/>
        <v>0</v>
      </c>
      <c r="Z26" s="116">
        <f t="shared" si="9"/>
        <v>0</v>
      </c>
      <c r="AA26" s="116">
        <f t="shared" si="9"/>
        <v>0</v>
      </c>
      <c r="AB26" s="76"/>
    </row>
    <row r="27" spans="2:28" ht="13">
      <c r="C27" s="67" t="s">
        <v>100</v>
      </c>
      <c r="D27" s="111"/>
      <c r="E27" s="6"/>
      <c r="F27" s="3"/>
      <c r="G27" s="76"/>
      <c r="H27" s="3"/>
      <c r="I27" s="248"/>
      <c r="K27" s="168">
        <f>SUM(K28:K33)</f>
        <v>0</v>
      </c>
      <c r="L27" s="3" t="s">
        <v>36</v>
      </c>
      <c r="M27" s="16" t="s">
        <v>100</v>
      </c>
      <c r="N27" s="248"/>
      <c r="O27" s="3"/>
      <c r="P27" s="295"/>
      <c r="Q27" s="295"/>
      <c r="R27" s="295"/>
      <c r="S27" s="295"/>
      <c r="T27" s="295"/>
      <c r="U27" s="296"/>
      <c r="V27" s="116"/>
      <c r="W27" s="116"/>
      <c r="X27" s="116"/>
      <c r="Y27" s="116"/>
      <c r="Z27" s="116"/>
      <c r="AA27" s="116"/>
      <c r="AB27" s="76"/>
    </row>
    <row r="28" spans="2:28" ht="26">
      <c r="C28" s="53" t="s">
        <v>120</v>
      </c>
      <c r="D28" s="166"/>
      <c r="E28" t="s">
        <v>1234</v>
      </c>
      <c r="F28" s="3" t="s">
        <v>128</v>
      </c>
      <c r="G28" s="76">
        <v>8</v>
      </c>
      <c r="H28" s="3" t="s">
        <v>128</v>
      </c>
      <c r="I28" s="248">
        <f>IF('Etape6-Produits-substances Hg'!B24=yes,'Etape6-Produits-substances Hg'!C24,0)</f>
        <v>0</v>
      </c>
      <c r="J28" t="s">
        <v>111</v>
      </c>
      <c r="K28" s="115">
        <f t="shared" ref="K28:K33" si="10">G28*I28/1000000</f>
        <v>0</v>
      </c>
      <c r="L28" s="3" t="s">
        <v>36</v>
      </c>
      <c r="M28" s="15" t="s">
        <v>97</v>
      </c>
      <c r="N28" s="320">
        <f>IF(AND('Etape5-Trait.+recyclage déchets'!$B$4=yes,'Etape5-Trait.+recyclage déchets'!$E$4=no),K27,0)</f>
        <v>0</v>
      </c>
      <c r="O28" s="3"/>
      <c r="P28" s="295">
        <v>0.05</v>
      </c>
      <c r="Q28" s="295"/>
      <c r="R28" s="295"/>
      <c r="S28" s="295"/>
      <c r="T28" s="295">
        <v>0.95</v>
      </c>
      <c r="U28" s="295"/>
      <c r="V28" s="116">
        <f t="shared" ref="V28:Y30" si="11">$N28*P28</f>
        <v>0</v>
      </c>
      <c r="W28" s="116">
        <f t="shared" si="11"/>
        <v>0</v>
      </c>
      <c r="X28" s="116">
        <f t="shared" si="11"/>
        <v>0</v>
      </c>
      <c r="Y28" s="116">
        <f t="shared" si="11"/>
        <v>0</v>
      </c>
      <c r="Z28" s="116">
        <f t="shared" ref="Z28:AA30" si="12">$N28*T28</f>
        <v>0</v>
      </c>
      <c r="AA28" s="116">
        <f t="shared" si="12"/>
        <v>0</v>
      </c>
      <c r="AB28" s="76"/>
    </row>
    <row r="29" spans="2:28" ht="26">
      <c r="C29" s="53" t="s">
        <v>121</v>
      </c>
      <c r="D29" s="166"/>
      <c r="E29" t="s">
        <v>1235</v>
      </c>
      <c r="F29" s="3" t="s">
        <v>128</v>
      </c>
      <c r="G29" s="76">
        <v>2.7</v>
      </c>
      <c r="H29" s="3" t="s">
        <v>128</v>
      </c>
      <c r="I29" s="248">
        <f>IF('Etape6-Produits-substances Hg'!B25=yes,'Etape6-Produits-substances Hg'!C25,0)</f>
        <v>0</v>
      </c>
      <c r="J29" t="s">
        <v>111</v>
      </c>
      <c r="K29" s="115">
        <f t="shared" si="10"/>
        <v>0</v>
      </c>
      <c r="L29" s="3" t="s">
        <v>36</v>
      </c>
      <c r="M29" s="15" t="s">
        <v>112</v>
      </c>
      <c r="N29" s="320">
        <f>IF(AND('Etape5-Trait.+recyclage déchets'!$B$4=no,OR('Etape5-Trait.+recyclage déchets'!$E$4=no,'Etape5-Trait.+recyclage déchets'!$E$4=yes,'Etape5-Trait.+recyclage déchets'!$E$4="")),K27,0)</f>
        <v>0</v>
      </c>
      <c r="O29" s="3"/>
      <c r="P29" s="295">
        <v>0.3</v>
      </c>
      <c r="Q29" s="295"/>
      <c r="R29" s="295">
        <v>0.3</v>
      </c>
      <c r="S29" s="295"/>
      <c r="T29" s="295">
        <v>0.4</v>
      </c>
      <c r="U29" s="295"/>
      <c r="V29" s="116">
        <f t="shared" si="11"/>
        <v>0</v>
      </c>
      <c r="W29" s="116">
        <f t="shared" si="11"/>
        <v>0</v>
      </c>
      <c r="X29" s="116">
        <f t="shared" si="11"/>
        <v>0</v>
      </c>
      <c r="Y29" s="116">
        <f t="shared" si="11"/>
        <v>0</v>
      </c>
      <c r="Z29" s="116">
        <f t="shared" si="12"/>
        <v>0</v>
      </c>
      <c r="AA29" s="116">
        <f t="shared" si="12"/>
        <v>0</v>
      </c>
      <c r="AB29" s="76"/>
    </row>
    <row r="30" spans="2:28" ht="26">
      <c r="C30" s="53" t="s">
        <v>122</v>
      </c>
      <c r="D30" s="130"/>
      <c r="E30" t="s">
        <v>1236</v>
      </c>
      <c r="F30" s="3" t="s">
        <v>128</v>
      </c>
      <c r="G30" s="76">
        <v>40</v>
      </c>
      <c r="H30" s="3" t="s">
        <v>128</v>
      </c>
      <c r="I30" s="248">
        <f>IF('Etape6-Produits-substances Hg'!B26=yes,'Etape6-Produits-substances Hg'!C26/4,0)</f>
        <v>0</v>
      </c>
      <c r="J30" t="s">
        <v>111</v>
      </c>
      <c r="K30" s="115">
        <f t="shared" si="10"/>
        <v>0</v>
      </c>
      <c r="L30" s="3" t="s">
        <v>36</v>
      </c>
      <c r="M30" s="15" t="s">
        <v>98</v>
      </c>
      <c r="N30" s="320">
        <f>IF(AND('Etape5-Trait.+recyclage déchets'!$B$4=yes,'Etape5-Trait.+recyclage déchets'!$E$4=yes),K27,0)</f>
        <v>0</v>
      </c>
      <c r="O30" s="3"/>
      <c r="P30" s="295">
        <v>0.05</v>
      </c>
      <c r="Q30" s="295"/>
      <c r="R30" s="295"/>
      <c r="S30" s="295"/>
      <c r="T30" s="295">
        <v>0.8</v>
      </c>
      <c r="U30" s="295">
        <v>0.15</v>
      </c>
      <c r="V30" s="116">
        <f t="shared" si="11"/>
        <v>0</v>
      </c>
      <c r="W30" s="116">
        <f t="shared" si="11"/>
        <v>0</v>
      </c>
      <c r="X30" s="116">
        <f t="shared" si="11"/>
        <v>0</v>
      </c>
      <c r="Y30" s="116">
        <f t="shared" si="11"/>
        <v>0</v>
      </c>
      <c r="Z30" s="116">
        <f t="shared" si="12"/>
        <v>0</v>
      </c>
      <c r="AA30" s="116">
        <f t="shared" si="12"/>
        <v>0</v>
      </c>
      <c r="AB30" s="76"/>
    </row>
    <row r="31" spans="2:28" ht="13">
      <c r="C31" s="53" t="s">
        <v>123</v>
      </c>
      <c r="D31" s="166"/>
      <c r="E31" t="s">
        <v>126</v>
      </c>
      <c r="F31" s="3" t="s">
        <v>128</v>
      </c>
      <c r="G31" s="76">
        <v>20</v>
      </c>
      <c r="H31" s="3" t="s">
        <v>128</v>
      </c>
      <c r="I31" s="248">
        <f>IF('Etape6-Produits-substances Hg'!B26=yes,'Etape6-Produits-substances Hg'!C26/4,0)</f>
        <v>0</v>
      </c>
      <c r="J31" t="s">
        <v>111</v>
      </c>
      <c r="K31" s="115">
        <f t="shared" si="10"/>
        <v>0</v>
      </c>
      <c r="L31" s="3" t="s">
        <v>36</v>
      </c>
      <c r="N31" s="248"/>
      <c r="O31" s="3"/>
      <c r="P31" s="295"/>
      <c r="Q31" s="295"/>
      <c r="R31" s="295"/>
      <c r="S31" s="295"/>
      <c r="T31" s="295"/>
      <c r="U31" s="296"/>
      <c r="V31" s="116"/>
      <c r="W31" s="116"/>
      <c r="X31" s="116"/>
      <c r="Y31" s="116"/>
      <c r="Z31" s="116"/>
      <c r="AA31" s="116"/>
      <c r="AB31" s="76"/>
    </row>
    <row r="32" spans="2:28" ht="13">
      <c r="C32" s="53" t="s">
        <v>124</v>
      </c>
      <c r="D32" s="166"/>
      <c r="E32" t="s">
        <v>127</v>
      </c>
      <c r="F32" s="3" t="s">
        <v>128</v>
      </c>
      <c r="G32" s="76">
        <v>15</v>
      </c>
      <c r="H32" s="3" t="s">
        <v>128</v>
      </c>
      <c r="I32" s="248">
        <f>IF('Etape6-Produits-substances Hg'!B26=yes,'Etape6-Produits-substances Hg'!C26/4,0)</f>
        <v>0</v>
      </c>
      <c r="J32" t="s">
        <v>111</v>
      </c>
      <c r="K32" s="115">
        <f t="shared" si="10"/>
        <v>0</v>
      </c>
      <c r="L32" s="3" t="s">
        <v>36</v>
      </c>
      <c r="M32" s="15"/>
      <c r="N32" s="248"/>
      <c r="O32" s="3"/>
      <c r="P32" s="295"/>
      <c r="Q32" s="295"/>
      <c r="R32" s="295"/>
      <c r="S32" s="295"/>
      <c r="T32" s="295"/>
      <c r="U32" s="295"/>
      <c r="V32" s="116"/>
      <c r="W32" s="116"/>
      <c r="X32" s="116"/>
      <c r="Y32" s="116"/>
      <c r="Z32" s="116"/>
      <c r="AA32" s="116"/>
      <c r="AB32" s="76"/>
    </row>
    <row r="33" spans="2:28" ht="13">
      <c r="C33" s="53" t="s">
        <v>125</v>
      </c>
      <c r="D33" s="130"/>
      <c r="E33" t="s">
        <v>1237</v>
      </c>
      <c r="F33" s="3" t="s">
        <v>128</v>
      </c>
      <c r="G33" s="76">
        <v>25</v>
      </c>
      <c r="H33" s="3" t="s">
        <v>128</v>
      </c>
      <c r="I33" s="248">
        <f>IF('Etape6-Produits-substances Hg'!B26=yes,'Etape6-Produits-substances Hg'!C26/4,0)</f>
        <v>0</v>
      </c>
      <c r="J33" t="s">
        <v>111</v>
      </c>
      <c r="K33" s="115">
        <f t="shared" si="10"/>
        <v>0</v>
      </c>
      <c r="L33" s="3" t="s">
        <v>36</v>
      </c>
      <c r="M33" s="15"/>
      <c r="N33" s="248"/>
      <c r="O33" s="3"/>
      <c r="P33" s="295"/>
      <c r="Q33" s="295"/>
      <c r="R33" s="295"/>
      <c r="S33" s="295"/>
      <c r="T33" s="295"/>
      <c r="U33" s="295"/>
      <c r="V33" s="116"/>
      <c r="W33" s="116"/>
      <c r="X33" s="116"/>
      <c r="Y33" s="116"/>
      <c r="Z33" s="116"/>
      <c r="AA33" s="116"/>
      <c r="AB33" s="76"/>
    </row>
    <row r="34" spans="2:28" s="55" customFormat="1" ht="13">
      <c r="C34" s="161"/>
      <c r="D34" s="76"/>
      <c r="E34"/>
      <c r="F34" s="104"/>
      <c r="G34" s="76"/>
      <c r="H34" s="104"/>
      <c r="I34" s="248"/>
      <c r="K34" s="115"/>
      <c r="L34" s="104"/>
      <c r="M34" s="107"/>
      <c r="N34" s="248"/>
      <c r="O34" s="104"/>
      <c r="P34" s="295"/>
      <c r="Q34" s="295"/>
      <c r="R34" s="295"/>
      <c r="S34" s="295"/>
      <c r="T34" s="295"/>
      <c r="U34" s="295"/>
      <c r="V34" s="116"/>
      <c r="W34" s="116"/>
      <c r="X34" s="116"/>
      <c r="Y34" s="116"/>
      <c r="Z34" s="116"/>
      <c r="AA34" s="116"/>
      <c r="AB34" s="76"/>
    </row>
    <row r="35" spans="2:28" ht="13">
      <c r="B35" t="s">
        <v>131</v>
      </c>
      <c r="C35" s="12" t="s">
        <v>132</v>
      </c>
      <c r="D35" s="111"/>
      <c r="G35" s="76"/>
      <c r="I35" s="247"/>
      <c r="K35" s="114"/>
      <c r="L35" s="3"/>
      <c r="M35" s="14"/>
      <c r="N35" s="248"/>
      <c r="O35" s="3"/>
      <c r="P35" s="296"/>
      <c r="Q35" s="296"/>
      <c r="R35" s="296"/>
      <c r="S35" s="296"/>
      <c r="T35" s="296"/>
      <c r="U35" s="296"/>
      <c r="V35" s="114">
        <f t="shared" ref="V35:AA35" si="13">SUM(V36:V47)</f>
        <v>0</v>
      </c>
      <c r="W35" s="114">
        <f t="shared" si="13"/>
        <v>0</v>
      </c>
      <c r="X35" s="114">
        <f t="shared" si="13"/>
        <v>0</v>
      </c>
      <c r="Y35" s="114">
        <f t="shared" si="13"/>
        <v>0</v>
      </c>
      <c r="Z35" s="114">
        <f t="shared" si="13"/>
        <v>0</v>
      </c>
      <c r="AA35" s="114">
        <f t="shared" si="13"/>
        <v>0</v>
      </c>
      <c r="AB35" s="76"/>
    </row>
    <row r="36" spans="2:28" ht="13">
      <c r="C36" s="12" t="s">
        <v>352</v>
      </c>
      <c r="D36" s="111"/>
      <c r="F36" s="3"/>
      <c r="G36" s="76">
        <v>1</v>
      </c>
      <c r="H36" s="3"/>
      <c r="I36" s="248">
        <f>'Etape 4-Utilis. Industrielle Hg'!C13</f>
        <v>0</v>
      </c>
      <c r="J36" s="8" t="s">
        <v>390</v>
      </c>
      <c r="K36" s="115">
        <f>I36*G36</f>
        <v>0</v>
      </c>
      <c r="L36" s="3"/>
      <c r="M36" s="14" t="s">
        <v>352</v>
      </c>
      <c r="N36" s="248">
        <f>K36</f>
        <v>0</v>
      </c>
      <c r="O36" s="3" t="s">
        <v>36</v>
      </c>
      <c r="P36" s="295">
        <v>5.0000000000000001E-3</v>
      </c>
      <c r="Q36" s="295">
        <v>5.0000000000000001E-3</v>
      </c>
      <c r="R36" s="295">
        <v>0.1</v>
      </c>
      <c r="S36" s="295"/>
      <c r="T36" s="295">
        <v>0.1</v>
      </c>
      <c r="U36" s="295">
        <v>0.01</v>
      </c>
      <c r="V36" s="116">
        <f t="shared" ref="V36:AA36" si="14">$N36*P36</f>
        <v>0</v>
      </c>
      <c r="W36" s="116">
        <f t="shared" si="14"/>
        <v>0</v>
      </c>
      <c r="X36" s="116">
        <f t="shared" si="14"/>
        <v>0</v>
      </c>
      <c r="Y36" s="116">
        <f t="shared" si="14"/>
        <v>0</v>
      </c>
      <c r="Z36" s="116">
        <f t="shared" si="14"/>
        <v>0</v>
      </c>
      <c r="AA36" s="116">
        <f t="shared" si="14"/>
        <v>0</v>
      </c>
      <c r="AB36" s="76"/>
    </row>
    <row r="37" spans="2:28" ht="25.5">
      <c r="C37" s="53" t="s">
        <v>133</v>
      </c>
      <c r="D37" s="130"/>
      <c r="E37" s="443">
        <v>320</v>
      </c>
      <c r="F37" s="3" t="s">
        <v>338</v>
      </c>
      <c r="G37" s="167">
        <v>320</v>
      </c>
      <c r="H37" s="3" t="s">
        <v>338</v>
      </c>
      <c r="I37" s="248"/>
      <c r="J37" t="s">
        <v>330</v>
      </c>
      <c r="K37" s="115">
        <f>G37*I37</f>
        <v>0</v>
      </c>
      <c r="L37" s="3" t="s">
        <v>36</v>
      </c>
      <c r="M37" s="15"/>
      <c r="N37" s="248"/>
      <c r="O37" s="3"/>
      <c r="P37" s="295"/>
      <c r="Q37" s="295"/>
      <c r="R37" s="295"/>
      <c r="S37" s="295"/>
      <c r="T37" s="295"/>
      <c r="U37" s="295"/>
      <c r="V37" s="116"/>
      <c r="W37" s="116"/>
      <c r="X37" s="116"/>
      <c r="Y37" s="116"/>
      <c r="Z37" s="116"/>
      <c r="AA37" s="116"/>
      <c r="AB37" s="76"/>
    </row>
    <row r="38" spans="2:28" ht="13">
      <c r="C38" s="53" t="s">
        <v>134</v>
      </c>
      <c r="D38" s="130"/>
      <c r="E38" s="443">
        <v>12</v>
      </c>
      <c r="F38" s="3" t="s">
        <v>338</v>
      </c>
      <c r="G38" s="167">
        <v>12</v>
      </c>
      <c r="H38" s="3" t="s">
        <v>338</v>
      </c>
      <c r="I38" s="248"/>
      <c r="J38" t="s">
        <v>330</v>
      </c>
      <c r="K38" s="115">
        <f>G38*I38</f>
        <v>0</v>
      </c>
      <c r="L38" s="3" t="s">
        <v>36</v>
      </c>
      <c r="M38" s="15"/>
      <c r="N38" s="248"/>
      <c r="O38" s="3"/>
      <c r="P38" s="295"/>
      <c r="Q38" s="295"/>
      <c r="R38" s="295"/>
      <c r="S38" s="295"/>
      <c r="T38" s="295"/>
      <c r="U38" s="295"/>
      <c r="V38" s="116"/>
      <c r="W38" s="116"/>
      <c r="X38" s="116"/>
      <c r="Y38" s="116"/>
      <c r="Z38" s="116"/>
      <c r="AA38" s="116"/>
      <c r="AB38" s="76"/>
    </row>
    <row r="39" spans="2:28" ht="13">
      <c r="C39" s="53" t="s">
        <v>135</v>
      </c>
      <c r="D39" s="130"/>
      <c r="E39" s="443">
        <v>5</v>
      </c>
      <c r="F39" s="3" t="s">
        <v>338</v>
      </c>
      <c r="G39" s="167">
        <v>5</v>
      </c>
      <c r="H39" s="3" t="s">
        <v>338</v>
      </c>
      <c r="I39" s="248"/>
      <c r="J39" t="s">
        <v>330</v>
      </c>
      <c r="K39" s="115">
        <f>G39*I39</f>
        <v>0</v>
      </c>
      <c r="L39" s="3" t="s">
        <v>36</v>
      </c>
      <c r="M39" s="15"/>
      <c r="N39" s="248"/>
      <c r="O39" s="3"/>
      <c r="P39" s="295"/>
      <c r="Q39" s="295"/>
      <c r="R39" s="295"/>
      <c r="S39" s="295"/>
      <c r="T39" s="295"/>
      <c r="U39" s="295"/>
      <c r="V39" s="116"/>
      <c r="W39" s="116"/>
      <c r="X39" s="116"/>
      <c r="Y39" s="116"/>
      <c r="Z39" s="116"/>
      <c r="AA39" s="116"/>
      <c r="AB39" s="76"/>
    </row>
    <row r="40" spans="2:28" ht="13">
      <c r="C40" s="53" t="s">
        <v>136</v>
      </c>
      <c r="D40" s="130"/>
      <c r="E40" s="443">
        <v>4</v>
      </c>
      <c r="F40" s="3" t="s">
        <v>338</v>
      </c>
      <c r="G40" s="167">
        <v>4</v>
      </c>
      <c r="H40" s="3" t="s">
        <v>338</v>
      </c>
      <c r="I40" s="248"/>
      <c r="J40" t="s">
        <v>330</v>
      </c>
      <c r="K40" s="115">
        <f>G40*I40</f>
        <v>0</v>
      </c>
      <c r="L40" s="3" t="s">
        <v>36</v>
      </c>
      <c r="N40" s="248"/>
      <c r="O40" s="3"/>
      <c r="P40" s="295"/>
      <c r="Q40" s="295"/>
      <c r="R40" s="295"/>
      <c r="S40" s="295"/>
      <c r="T40" s="295"/>
      <c r="U40" s="296"/>
      <c r="V40" s="116"/>
      <c r="W40" s="116"/>
      <c r="X40" s="116"/>
      <c r="Y40" s="116"/>
      <c r="Z40" s="116"/>
      <c r="AA40" s="116"/>
      <c r="AB40" s="76"/>
    </row>
    <row r="41" spans="2:28" ht="25.5">
      <c r="C41" s="53" t="s">
        <v>137</v>
      </c>
      <c r="D41" s="130"/>
      <c r="E41" s="443" t="s">
        <v>116</v>
      </c>
      <c r="F41" s="3" t="s">
        <v>338</v>
      </c>
      <c r="G41" s="167">
        <v>0.25</v>
      </c>
      <c r="H41" s="3" t="s">
        <v>338</v>
      </c>
      <c r="I41" s="248"/>
      <c r="J41" t="s">
        <v>330</v>
      </c>
      <c r="K41" s="115">
        <f>G41*I41</f>
        <v>0</v>
      </c>
      <c r="L41" s="3" t="s">
        <v>36</v>
      </c>
      <c r="N41" s="248"/>
      <c r="O41" s="3"/>
      <c r="P41" s="295"/>
      <c r="Q41" s="295"/>
      <c r="R41" s="295"/>
      <c r="S41" s="295"/>
      <c r="T41" s="295"/>
      <c r="U41" s="296"/>
      <c r="V41" s="171"/>
      <c r="W41" s="171"/>
      <c r="X41" s="171"/>
      <c r="Y41" s="171"/>
      <c r="Z41" s="171"/>
      <c r="AA41" s="171"/>
      <c r="AB41" s="76"/>
    </row>
    <row r="42" spans="2:28" ht="13">
      <c r="C42" s="12" t="s">
        <v>100</v>
      </c>
      <c r="D42" s="111"/>
      <c r="E42" s="443"/>
      <c r="F42" s="3"/>
      <c r="G42" s="76"/>
      <c r="H42" s="3"/>
      <c r="I42" s="248"/>
      <c r="K42" s="168">
        <f>SUM(K43:K47)</f>
        <v>0</v>
      </c>
      <c r="L42" s="3" t="s">
        <v>36</v>
      </c>
      <c r="M42" s="16" t="s">
        <v>100</v>
      </c>
      <c r="N42" s="248"/>
      <c r="O42" s="3"/>
      <c r="P42" s="295"/>
      <c r="Q42" s="295"/>
      <c r="R42" s="295"/>
      <c r="S42" s="295"/>
      <c r="T42" s="295"/>
      <c r="U42" s="296"/>
      <c r="V42" s="171"/>
      <c r="W42" s="171"/>
      <c r="X42" s="171"/>
      <c r="Y42" s="171"/>
      <c r="Z42" s="171"/>
      <c r="AA42" s="171"/>
      <c r="AB42" s="76"/>
    </row>
    <row r="43" spans="2:28" ht="26">
      <c r="C43" s="53" t="s">
        <v>133</v>
      </c>
      <c r="D43" s="130"/>
      <c r="E43" s="443">
        <v>320</v>
      </c>
      <c r="F43" s="3" t="s">
        <v>338</v>
      </c>
      <c r="G43" s="167">
        <v>320</v>
      </c>
      <c r="H43" s="3" t="s">
        <v>338</v>
      </c>
      <c r="I43" s="248">
        <f>IF('Etape6-Produits-substances Hg'!B29=yes,'Etape6-Produits-substances Hg'!C29,0)</f>
        <v>0</v>
      </c>
      <c r="J43" t="s">
        <v>330</v>
      </c>
      <c r="K43" s="115">
        <f>G43*I43</f>
        <v>0</v>
      </c>
      <c r="L43" s="3" t="s">
        <v>36</v>
      </c>
      <c r="M43" s="15" t="s">
        <v>97</v>
      </c>
      <c r="N43" s="320">
        <f>IF(AND('Etape5-Trait.+recyclage déchets'!$B$4=yes,'Etape5-Trait.+recyclage déchets'!$E$4=no),K42,0)</f>
        <v>0</v>
      </c>
      <c r="O43" s="3"/>
      <c r="P43" s="295"/>
      <c r="Q43" s="295"/>
      <c r="R43" s="295"/>
      <c r="S43" s="295"/>
      <c r="T43" s="295">
        <v>1</v>
      </c>
      <c r="U43" s="295"/>
      <c r="V43" s="116">
        <f t="shared" ref="V43:Y45" si="15">$N43*P43</f>
        <v>0</v>
      </c>
      <c r="W43" s="116">
        <f t="shared" si="15"/>
        <v>0</v>
      </c>
      <c r="X43" s="116">
        <f t="shared" si="15"/>
        <v>0</v>
      </c>
      <c r="Y43" s="116">
        <f t="shared" si="15"/>
        <v>0</v>
      </c>
      <c r="Z43" s="116">
        <f t="shared" ref="Z43:AA45" si="16">$N43*T43</f>
        <v>0</v>
      </c>
      <c r="AA43" s="116">
        <f t="shared" si="16"/>
        <v>0</v>
      </c>
      <c r="AB43" s="76"/>
    </row>
    <row r="44" spans="2:28" ht="26">
      <c r="C44" s="53" t="s">
        <v>134</v>
      </c>
      <c r="D44" s="130"/>
      <c r="E44" s="443">
        <v>12</v>
      </c>
      <c r="F44" s="3" t="s">
        <v>338</v>
      </c>
      <c r="G44" s="167">
        <v>12</v>
      </c>
      <c r="H44" s="3" t="s">
        <v>338</v>
      </c>
      <c r="I44" s="248">
        <f>IF('Etape6-Produits-substances Hg'!B30=yes,'Etape6-Produits-substances Hg'!C30/3,0)</f>
        <v>0</v>
      </c>
      <c r="J44" s="231" t="s">
        <v>330</v>
      </c>
      <c r="K44" s="115">
        <f>G44*I44</f>
        <v>0</v>
      </c>
      <c r="L44" s="3" t="s">
        <v>36</v>
      </c>
      <c r="M44" s="15" t="s">
        <v>112</v>
      </c>
      <c r="N44" s="320">
        <f>IF(AND('Etape5-Trait.+recyclage déchets'!$B$4=no,OR('Etape5-Trait.+recyclage déchets'!$E$4=no,'Etape5-Trait.+recyclage déchets'!$E$4=yes,'Etape5-Trait.+recyclage déchets'!$E$4="")),K42,0)</f>
        <v>0</v>
      </c>
      <c r="O44" s="3"/>
      <c r="P44" s="295">
        <v>0.25</v>
      </c>
      <c r="Q44" s="295"/>
      <c r="R44" s="295">
        <v>0.25</v>
      </c>
      <c r="S44" s="295"/>
      <c r="T44" s="295">
        <v>0.5</v>
      </c>
      <c r="U44" s="295"/>
      <c r="V44" s="116">
        <f t="shared" si="15"/>
        <v>0</v>
      </c>
      <c r="W44" s="116">
        <f t="shared" si="15"/>
        <v>0</v>
      </c>
      <c r="X44" s="116">
        <f t="shared" si="15"/>
        <v>0</v>
      </c>
      <c r="Y44" s="116">
        <f t="shared" si="15"/>
        <v>0</v>
      </c>
      <c r="Z44" s="116">
        <f t="shared" si="16"/>
        <v>0</v>
      </c>
      <c r="AA44" s="116">
        <f t="shared" si="16"/>
        <v>0</v>
      </c>
      <c r="AB44" s="76"/>
    </row>
    <row r="45" spans="2:28" ht="26">
      <c r="C45" s="53" t="s">
        <v>135</v>
      </c>
      <c r="D45" s="130"/>
      <c r="E45" s="443">
        <v>5</v>
      </c>
      <c r="F45" s="3" t="s">
        <v>338</v>
      </c>
      <c r="G45" s="167">
        <v>5</v>
      </c>
      <c r="H45" s="3" t="s">
        <v>338</v>
      </c>
      <c r="I45" s="248">
        <f>IF('Etape6-Produits-substances Hg'!B30=yes,'Etape6-Produits-substances Hg'!C30/3,0)</f>
        <v>0</v>
      </c>
      <c r="J45" t="s">
        <v>330</v>
      </c>
      <c r="K45" s="115">
        <f>G45*I45</f>
        <v>0</v>
      </c>
      <c r="L45" s="3" t="s">
        <v>36</v>
      </c>
      <c r="M45" s="15" t="s">
        <v>98</v>
      </c>
      <c r="N45" s="320">
        <f>IF(AND('Etape5-Trait.+recyclage déchets'!$B$4=yes,'Etape5-Trait.+recyclage déchets'!$E$4=yes),K42,0)</f>
        <v>0</v>
      </c>
      <c r="O45" s="3"/>
      <c r="P45" s="295"/>
      <c r="Q45" s="295"/>
      <c r="R45" s="295"/>
      <c r="S45" s="295"/>
      <c r="T45" s="295">
        <v>0.6</v>
      </c>
      <c r="U45" s="295">
        <v>0.4</v>
      </c>
      <c r="V45" s="116">
        <f t="shared" si="15"/>
        <v>0</v>
      </c>
      <c r="W45" s="116">
        <f t="shared" si="15"/>
        <v>0</v>
      </c>
      <c r="X45" s="116">
        <f t="shared" si="15"/>
        <v>0</v>
      </c>
      <c r="Y45" s="116">
        <f t="shared" si="15"/>
        <v>0</v>
      </c>
      <c r="Z45" s="116">
        <f t="shared" si="16"/>
        <v>0</v>
      </c>
      <c r="AA45" s="116">
        <f t="shared" si="16"/>
        <v>0</v>
      </c>
      <c r="AB45" s="76"/>
    </row>
    <row r="46" spans="2:28" ht="13">
      <c r="C46" s="53" t="s">
        <v>136</v>
      </c>
      <c r="D46" s="130"/>
      <c r="E46">
        <v>4</v>
      </c>
      <c r="F46" s="3" t="s">
        <v>338</v>
      </c>
      <c r="G46" s="167">
        <v>4</v>
      </c>
      <c r="H46" s="3" t="s">
        <v>338</v>
      </c>
      <c r="I46" s="248">
        <f>IF('Etape6-Produits-substances Hg'!B30=yes,'Etape6-Produits-substances Hg'!C30/3,0)</f>
        <v>0</v>
      </c>
      <c r="J46" t="s">
        <v>330</v>
      </c>
      <c r="K46" s="115">
        <f>G46*I46</f>
        <v>0</v>
      </c>
      <c r="L46" s="3" t="s">
        <v>36</v>
      </c>
      <c r="N46" s="248"/>
      <c r="O46" s="3"/>
      <c r="P46" s="295"/>
      <c r="Q46" s="295"/>
      <c r="R46" s="295"/>
      <c r="S46" s="295"/>
      <c r="T46" s="295"/>
      <c r="U46" s="296"/>
      <c r="V46" s="116"/>
      <c r="W46" s="116"/>
      <c r="X46" s="116"/>
      <c r="Y46" s="116"/>
      <c r="Z46" s="116"/>
      <c r="AA46" s="116"/>
      <c r="AB46" s="76"/>
    </row>
    <row r="47" spans="2:28" ht="25.5">
      <c r="C47" s="53" t="s">
        <v>137</v>
      </c>
      <c r="D47" s="130"/>
      <c r="E47" t="s">
        <v>116</v>
      </c>
      <c r="F47" s="3" t="s">
        <v>338</v>
      </c>
      <c r="G47" s="167">
        <v>0.25</v>
      </c>
      <c r="H47" s="3" t="s">
        <v>338</v>
      </c>
      <c r="I47" s="248">
        <f>IF('Etape6-Produits-substances Hg'!B31=yes,'Etape6-Produits-substances Hg'!C31,0)</f>
        <v>0</v>
      </c>
      <c r="J47" t="s">
        <v>330</v>
      </c>
      <c r="K47" s="115">
        <f>G47*I47</f>
        <v>0</v>
      </c>
      <c r="L47" s="3" t="s">
        <v>36</v>
      </c>
      <c r="N47" s="248"/>
      <c r="O47" s="3"/>
      <c r="P47" s="295"/>
      <c r="Q47" s="295"/>
      <c r="R47" s="295"/>
      <c r="S47" s="295"/>
      <c r="T47" s="295"/>
      <c r="U47" s="296"/>
      <c r="V47" s="116"/>
      <c r="W47" s="116"/>
      <c r="X47" s="116"/>
      <c r="Y47" s="116"/>
      <c r="Z47" s="116"/>
      <c r="AA47" s="116"/>
      <c r="AB47" s="76"/>
    </row>
    <row r="48" spans="2:28" s="55" customFormat="1">
      <c r="C48" s="105"/>
      <c r="D48" s="76"/>
      <c r="G48" s="76"/>
      <c r="I48" s="247"/>
      <c r="K48" s="58"/>
      <c r="M48" s="162"/>
      <c r="N48" s="248"/>
      <c r="O48" s="104"/>
      <c r="P48" s="296"/>
      <c r="Q48" s="296"/>
      <c r="R48" s="296"/>
      <c r="S48" s="296"/>
      <c r="T48" s="296"/>
      <c r="U48" s="296"/>
      <c r="V48" s="58"/>
      <c r="W48" s="58"/>
      <c r="X48" s="58"/>
      <c r="Y48" s="58"/>
      <c r="Z48" s="58"/>
      <c r="AA48" s="58"/>
      <c r="AB48" s="76"/>
    </row>
    <row r="49" spans="1:28" s="48" customFormat="1" ht="26">
      <c r="B49" s="8" t="s">
        <v>130</v>
      </c>
      <c r="C49" s="12" t="s">
        <v>402</v>
      </c>
      <c r="D49" s="76"/>
      <c r="G49" s="76"/>
      <c r="I49" s="247"/>
      <c r="K49" s="58"/>
      <c r="M49" s="13"/>
      <c r="N49" s="248"/>
      <c r="O49" s="28"/>
      <c r="P49" s="296"/>
      <c r="Q49" s="296"/>
      <c r="R49" s="296"/>
      <c r="S49" s="296"/>
      <c r="T49" s="296"/>
      <c r="U49" s="296"/>
      <c r="V49" s="671">
        <f t="shared" ref="V49:AA49" si="17">SUM(V50:V53)</f>
        <v>0</v>
      </c>
      <c r="W49" s="671">
        <f t="shared" si="17"/>
        <v>0</v>
      </c>
      <c r="X49" s="671">
        <f t="shared" si="17"/>
        <v>0</v>
      </c>
      <c r="Y49" s="671">
        <f t="shared" si="17"/>
        <v>0</v>
      </c>
      <c r="Z49" s="671">
        <f t="shared" si="17"/>
        <v>0</v>
      </c>
      <c r="AA49" s="671">
        <f t="shared" si="17"/>
        <v>0</v>
      </c>
      <c r="AB49" s="76"/>
    </row>
    <row r="50" spans="1:28" s="48" customFormat="1" ht="13">
      <c r="C50" s="12" t="s">
        <v>352</v>
      </c>
      <c r="D50" s="76"/>
      <c r="G50" s="76"/>
      <c r="I50" s="247"/>
      <c r="K50" s="58"/>
      <c r="M50" s="14" t="s">
        <v>99</v>
      </c>
      <c r="N50" s="248"/>
      <c r="O50" s="28"/>
      <c r="P50" s="296"/>
      <c r="Q50" s="296"/>
      <c r="R50" s="296"/>
      <c r="S50" s="296"/>
      <c r="T50" s="296"/>
      <c r="U50" s="296"/>
      <c r="V50" s="58"/>
      <c r="W50" s="58"/>
      <c r="X50" s="58"/>
      <c r="Y50" s="58"/>
      <c r="Z50" s="58"/>
      <c r="AA50" s="58"/>
      <c r="AB50" s="76"/>
    </row>
    <row r="51" spans="1:28" s="48" customFormat="1" ht="13">
      <c r="C51" s="67" t="s">
        <v>91</v>
      </c>
      <c r="D51" s="76"/>
      <c r="E51" s="48" t="s">
        <v>433</v>
      </c>
      <c r="F51" s="36" t="s">
        <v>118</v>
      </c>
      <c r="G51" s="76">
        <v>0.03</v>
      </c>
      <c r="H51" s="36" t="s">
        <v>118</v>
      </c>
      <c r="I51" s="323">
        <f>'Etape6-Produits-substances Hg'!C33</f>
        <v>0</v>
      </c>
      <c r="J51" s="51" t="s">
        <v>117</v>
      </c>
      <c r="K51" s="498">
        <f>(I51*G51/1000)*'Etape6-Produits-substances Hg'!$C$34/100</f>
        <v>0</v>
      </c>
      <c r="L51" s="3" t="s">
        <v>36</v>
      </c>
      <c r="M51" s="16" t="s">
        <v>100</v>
      </c>
      <c r="N51" s="248"/>
      <c r="O51" s="28"/>
      <c r="P51" s="296"/>
      <c r="Q51" s="296"/>
      <c r="R51" s="296"/>
      <c r="S51" s="296"/>
      <c r="T51" s="296"/>
      <c r="U51" s="296"/>
      <c r="V51" s="58"/>
      <c r="W51" s="58"/>
      <c r="X51" s="58"/>
      <c r="Y51" s="58"/>
      <c r="Z51" s="58"/>
      <c r="AA51" s="58"/>
      <c r="AB51" s="76"/>
    </row>
    <row r="52" spans="1:28" s="48" customFormat="1" ht="26">
      <c r="C52" s="96"/>
      <c r="D52" s="76"/>
      <c r="G52" s="76"/>
      <c r="I52" s="247"/>
      <c r="K52" s="58"/>
      <c r="M52" s="15" t="s">
        <v>97</v>
      </c>
      <c r="N52" s="248">
        <f>IF(OR('Etape5-Trait.+recyclage déchets'!$B$4=yes,'Etape5-Trait.+recyclage déchets'!$B$4=yes),K51,0)</f>
        <v>0</v>
      </c>
      <c r="O52" s="28"/>
      <c r="P52" s="296">
        <v>0.1</v>
      </c>
      <c r="Q52" s="296">
        <v>0.05</v>
      </c>
      <c r="R52" s="296"/>
      <c r="S52" s="296"/>
      <c r="T52" s="296">
        <v>0.85</v>
      </c>
      <c r="U52" s="296"/>
      <c r="V52" s="116">
        <f t="shared" ref="V52:AA52" si="18">$N52*P52</f>
        <v>0</v>
      </c>
      <c r="W52" s="116">
        <f t="shared" si="18"/>
        <v>0</v>
      </c>
      <c r="X52" s="116">
        <f t="shared" si="18"/>
        <v>0</v>
      </c>
      <c r="Y52" s="116">
        <f t="shared" si="18"/>
        <v>0</v>
      </c>
      <c r="Z52" s="116">
        <f t="shared" si="18"/>
        <v>0</v>
      </c>
      <c r="AA52" s="116">
        <f t="shared" si="18"/>
        <v>0</v>
      </c>
      <c r="AB52" s="76"/>
    </row>
    <row r="53" spans="1:28" s="48" customFormat="1" ht="26">
      <c r="C53" s="96"/>
      <c r="D53" s="287"/>
      <c r="G53" s="287"/>
      <c r="I53" s="324"/>
      <c r="K53" s="325"/>
      <c r="M53" s="15" t="s">
        <v>112</v>
      </c>
      <c r="N53" s="326">
        <f>IF(OR('Etape5-Trait.+recyclage déchets'!$B$4=no,'Etape5-Trait.+recyclage déchets'!$B$4=no),K51,0)</f>
        <v>0</v>
      </c>
      <c r="O53" s="28"/>
      <c r="P53" s="430">
        <v>0.2</v>
      </c>
      <c r="Q53" s="430">
        <v>0.1</v>
      </c>
      <c r="R53" s="430">
        <v>0.4</v>
      </c>
      <c r="S53" s="430"/>
      <c r="T53" s="430">
        <v>0.3</v>
      </c>
      <c r="U53" s="430"/>
      <c r="V53" s="327">
        <f t="shared" ref="V53:AA53" si="19">$N53*P53</f>
        <v>0</v>
      </c>
      <c r="W53" s="327">
        <f t="shared" si="19"/>
        <v>0</v>
      </c>
      <c r="X53" s="327">
        <f t="shared" si="19"/>
        <v>0</v>
      </c>
      <c r="Y53" s="327">
        <f t="shared" si="19"/>
        <v>0</v>
      </c>
      <c r="Z53" s="327">
        <f t="shared" si="19"/>
        <v>0</v>
      </c>
      <c r="AA53" s="327">
        <f t="shared" si="19"/>
        <v>0</v>
      </c>
      <c r="AB53" s="76"/>
    </row>
    <row r="54" spans="1:28" s="48" customFormat="1" ht="39">
      <c r="C54" s="96"/>
      <c r="D54" s="287"/>
      <c r="G54" s="287"/>
      <c r="I54" s="324"/>
      <c r="K54" s="325"/>
      <c r="M54" s="15" t="s">
        <v>793</v>
      </c>
      <c r="N54" s="326"/>
      <c r="O54" s="28"/>
      <c r="P54" s="430"/>
      <c r="Q54" s="430"/>
      <c r="R54" s="430"/>
      <c r="S54" s="430"/>
      <c r="T54" s="430"/>
      <c r="U54" s="430"/>
      <c r="V54" s="327"/>
      <c r="W54" s="327"/>
      <c r="X54" s="327"/>
      <c r="Y54" s="327"/>
      <c r="Z54" s="327"/>
      <c r="AA54" s="327"/>
      <c r="AB54" s="76"/>
    </row>
    <row r="55" spans="1:28" ht="26">
      <c r="A55" s="91"/>
      <c r="B55" s="328" t="s">
        <v>139</v>
      </c>
      <c r="C55" s="97" t="s">
        <v>129</v>
      </c>
      <c r="D55" s="111"/>
      <c r="E55" s="91"/>
      <c r="F55" s="91"/>
      <c r="G55" s="76"/>
      <c r="H55" s="91"/>
      <c r="I55" s="247"/>
      <c r="J55" s="91"/>
      <c r="K55" s="114"/>
      <c r="L55" s="88"/>
      <c r="M55" s="329"/>
      <c r="N55" s="248"/>
      <c r="O55" s="88"/>
      <c r="P55" s="296"/>
      <c r="Q55" s="296"/>
      <c r="R55" s="296"/>
      <c r="S55" s="296"/>
      <c r="T55" s="296"/>
      <c r="U55" s="296"/>
      <c r="V55" s="114">
        <f t="shared" ref="V55:AA55" si="20">SUM(V56:V57)</f>
        <v>0</v>
      </c>
      <c r="W55" s="114">
        <f t="shared" si="20"/>
        <v>0</v>
      </c>
      <c r="X55" s="114">
        <f t="shared" si="20"/>
        <v>0</v>
      </c>
      <c r="Y55" s="114">
        <f t="shared" si="20"/>
        <v>0</v>
      </c>
      <c r="Z55" s="114">
        <f t="shared" si="20"/>
        <v>0</v>
      </c>
      <c r="AA55" s="114">
        <f t="shared" si="20"/>
        <v>0</v>
      </c>
      <c r="AB55" s="76"/>
    </row>
    <row r="56" spans="1:28" ht="13">
      <c r="C56" s="12" t="s">
        <v>352</v>
      </c>
      <c r="D56" s="111"/>
      <c r="E56" t="s">
        <v>43</v>
      </c>
      <c r="F56" s="3"/>
      <c r="G56" s="76">
        <v>1</v>
      </c>
      <c r="H56" s="3"/>
      <c r="I56" s="248">
        <f>'Etape 4-Utilis. Industrielle Hg'!C15</f>
        <v>0</v>
      </c>
      <c r="J56" s="8" t="s">
        <v>390</v>
      </c>
      <c r="K56" s="115">
        <f>I56*G56</f>
        <v>0</v>
      </c>
      <c r="L56" s="3" t="s">
        <v>36</v>
      </c>
      <c r="M56" s="14" t="s">
        <v>99</v>
      </c>
      <c r="N56" s="248">
        <f>K56</f>
        <v>0</v>
      </c>
      <c r="O56" s="3" t="s">
        <v>36</v>
      </c>
      <c r="P56" s="295">
        <v>0.01</v>
      </c>
      <c r="Q56" s="295">
        <v>5.0000000000000001E-3</v>
      </c>
      <c r="R56" s="295">
        <v>0.1</v>
      </c>
      <c r="S56" s="295"/>
      <c r="T56" s="295">
        <v>0.1</v>
      </c>
      <c r="U56" s="295">
        <v>0.01</v>
      </c>
      <c r="V56" s="116">
        <f t="shared" ref="V56:AA57" si="21">$N56*P56</f>
        <v>0</v>
      </c>
      <c r="W56" s="116">
        <f t="shared" si="21"/>
        <v>0</v>
      </c>
      <c r="X56" s="116">
        <f t="shared" si="21"/>
        <v>0</v>
      </c>
      <c r="Y56" s="116">
        <f t="shared" si="21"/>
        <v>0</v>
      </c>
      <c r="Z56" s="116">
        <f t="shared" si="21"/>
        <v>0</v>
      </c>
      <c r="AA56" s="116">
        <f t="shared" si="21"/>
        <v>0</v>
      </c>
      <c r="AB56" s="76"/>
    </row>
    <row r="57" spans="1:28" ht="13">
      <c r="C57" s="67" t="s">
        <v>91</v>
      </c>
      <c r="D57" s="111"/>
      <c r="E57" t="s">
        <v>43</v>
      </c>
      <c r="F57" s="3"/>
      <c r="G57" s="76" t="s">
        <v>43</v>
      </c>
      <c r="H57" s="3"/>
      <c r="I57" s="248"/>
      <c r="K57" s="115" t="s">
        <v>43</v>
      </c>
      <c r="L57" s="3"/>
      <c r="M57" s="16" t="s">
        <v>100</v>
      </c>
      <c r="N57" s="248"/>
      <c r="O57" s="3"/>
      <c r="P57" s="295"/>
      <c r="Q57" s="295"/>
      <c r="R57" s="295"/>
      <c r="S57" s="295"/>
      <c r="T57" s="295"/>
      <c r="U57" s="295"/>
      <c r="V57" s="116">
        <f t="shared" si="21"/>
        <v>0</v>
      </c>
      <c r="W57" s="116">
        <f t="shared" si="21"/>
        <v>0</v>
      </c>
      <c r="X57" s="116">
        <f t="shared" si="21"/>
        <v>0</v>
      </c>
      <c r="Y57" s="116">
        <f t="shared" si="21"/>
        <v>0</v>
      </c>
      <c r="Z57" s="116">
        <f t="shared" si="21"/>
        <v>0</v>
      </c>
      <c r="AA57" s="116">
        <f t="shared" si="21"/>
        <v>0</v>
      </c>
      <c r="AB57" s="76"/>
    </row>
    <row r="58" spans="1:28" s="55" customFormat="1" ht="13">
      <c r="C58" s="163"/>
      <c r="D58" s="111"/>
      <c r="F58" s="104"/>
      <c r="G58" s="76"/>
      <c r="H58" s="104"/>
      <c r="I58" s="248"/>
      <c r="K58" s="115"/>
      <c r="L58" s="104"/>
      <c r="M58" s="164"/>
      <c r="N58" s="248"/>
      <c r="O58" s="104"/>
      <c r="P58" s="295"/>
      <c r="Q58" s="295"/>
      <c r="R58" s="295"/>
      <c r="S58" s="295"/>
      <c r="T58" s="295"/>
      <c r="U58" s="295"/>
      <c r="V58" s="116"/>
      <c r="W58" s="116"/>
      <c r="X58" s="116"/>
      <c r="Y58" s="116"/>
      <c r="Z58" s="116"/>
      <c r="AA58" s="116"/>
      <c r="AB58" s="76"/>
    </row>
    <row r="59" spans="1:28" ht="13">
      <c r="B59" s="8" t="s">
        <v>372</v>
      </c>
      <c r="C59" s="12" t="s">
        <v>138</v>
      </c>
      <c r="D59" s="111"/>
      <c r="G59" s="76"/>
      <c r="I59" s="247"/>
      <c r="K59" s="114"/>
      <c r="L59" s="3"/>
      <c r="M59" s="14"/>
      <c r="N59" s="248"/>
      <c r="O59" s="3"/>
      <c r="P59" s="296"/>
      <c r="Q59" s="296"/>
      <c r="R59" s="296"/>
      <c r="S59" s="296"/>
      <c r="T59" s="296"/>
      <c r="U59" s="296"/>
      <c r="V59" s="114">
        <f t="shared" ref="V59:AA59" si="22">SUM(V60:V61)</f>
        <v>0</v>
      </c>
      <c r="W59" s="114">
        <f t="shared" si="22"/>
        <v>0</v>
      </c>
      <c r="X59" s="114">
        <f t="shared" si="22"/>
        <v>0</v>
      </c>
      <c r="Y59" s="114">
        <f t="shared" si="22"/>
        <v>0</v>
      </c>
      <c r="Z59" s="114">
        <f t="shared" si="22"/>
        <v>0</v>
      </c>
      <c r="AA59" s="114">
        <f t="shared" si="22"/>
        <v>0</v>
      </c>
      <c r="AB59" s="76"/>
    </row>
    <row r="60" spans="1:28" ht="13">
      <c r="C60" s="12" t="s">
        <v>352</v>
      </c>
      <c r="D60" s="111"/>
      <c r="E60" s="6"/>
      <c r="F60" s="3"/>
      <c r="G60" s="76">
        <v>1</v>
      </c>
      <c r="H60" s="3"/>
      <c r="I60" s="248">
        <f>'Etape 4-Utilis. Industrielle Hg'!C16</f>
        <v>0</v>
      </c>
      <c r="J60" t="s">
        <v>389</v>
      </c>
      <c r="K60" s="115">
        <f>I60*G60</f>
        <v>0</v>
      </c>
      <c r="L60" s="3" t="s">
        <v>36</v>
      </c>
      <c r="M60" s="14" t="s">
        <v>99</v>
      </c>
      <c r="N60" s="248">
        <f>K60</f>
        <v>0</v>
      </c>
      <c r="O60" s="3" t="s">
        <v>36</v>
      </c>
      <c r="P60" s="295">
        <v>0.01</v>
      </c>
      <c r="Q60" s="295">
        <v>5.0000000000000001E-3</v>
      </c>
      <c r="R60" s="295">
        <v>0.1</v>
      </c>
      <c r="S60" s="295"/>
      <c r="T60" s="295">
        <v>0.1</v>
      </c>
      <c r="U60" s="295">
        <v>0.01</v>
      </c>
      <c r="V60" s="116">
        <f t="shared" ref="V60:AA61" si="23">$N60*P60</f>
        <v>0</v>
      </c>
      <c r="W60" s="116">
        <f t="shared" si="23"/>
        <v>0</v>
      </c>
      <c r="X60" s="116">
        <f t="shared" si="23"/>
        <v>0</v>
      </c>
      <c r="Y60" s="116">
        <f t="shared" si="23"/>
        <v>0</v>
      </c>
      <c r="Z60" s="116">
        <f t="shared" si="23"/>
        <v>0</v>
      </c>
      <c r="AA60" s="116">
        <f t="shared" si="23"/>
        <v>0</v>
      </c>
      <c r="AB60" s="76"/>
    </row>
    <row r="61" spans="1:28" ht="13">
      <c r="C61" s="67" t="s">
        <v>91</v>
      </c>
      <c r="D61" s="111"/>
      <c r="E61" s="6" t="s">
        <v>140</v>
      </c>
      <c r="F61" s="3" t="s">
        <v>339</v>
      </c>
      <c r="G61" s="76">
        <v>2.6</v>
      </c>
      <c r="H61" s="3" t="s">
        <v>339</v>
      </c>
      <c r="I61" s="248">
        <f>'Etape6-Produits-substances Hg'!C36</f>
        <v>0</v>
      </c>
      <c r="J61" t="s">
        <v>331</v>
      </c>
      <c r="K61" s="115">
        <f>G61*I61</f>
        <v>0</v>
      </c>
      <c r="L61" s="3" t="s">
        <v>36</v>
      </c>
      <c r="M61" s="16" t="s">
        <v>141</v>
      </c>
      <c r="N61" s="248">
        <f>K61</f>
        <v>0</v>
      </c>
      <c r="O61" s="17"/>
      <c r="P61" s="295">
        <v>0.92</v>
      </c>
      <c r="Q61" s="295">
        <v>0.05</v>
      </c>
      <c r="R61" s="295"/>
      <c r="S61" s="295"/>
      <c r="T61" s="295">
        <v>0.03</v>
      </c>
      <c r="U61" s="295"/>
      <c r="V61" s="116">
        <f t="shared" si="23"/>
        <v>0</v>
      </c>
      <c r="W61" s="116">
        <f t="shared" si="23"/>
        <v>0</v>
      </c>
      <c r="X61" s="116">
        <f t="shared" si="23"/>
        <v>0</v>
      </c>
      <c r="Y61" s="116">
        <f t="shared" si="23"/>
        <v>0</v>
      </c>
      <c r="Z61" s="116">
        <f t="shared" si="23"/>
        <v>0</v>
      </c>
      <c r="AA61" s="116">
        <f t="shared" si="23"/>
        <v>0</v>
      </c>
      <c r="AB61" s="76"/>
    </row>
    <row r="62" spans="1:28" s="55" customFormat="1" ht="13">
      <c r="C62" s="163"/>
      <c r="D62" s="111"/>
      <c r="F62" s="104"/>
      <c r="G62" s="76"/>
      <c r="H62" s="104"/>
      <c r="I62" s="248"/>
      <c r="K62" s="115"/>
      <c r="L62" s="104"/>
      <c r="M62" s="164"/>
      <c r="N62" s="248"/>
      <c r="O62" s="104"/>
      <c r="P62" s="295"/>
      <c r="Q62" s="295"/>
      <c r="R62" s="295"/>
      <c r="S62" s="295"/>
      <c r="T62" s="295"/>
      <c r="U62" s="295"/>
      <c r="V62" s="116"/>
      <c r="W62" s="116"/>
      <c r="X62" s="116"/>
      <c r="Y62" s="116"/>
      <c r="Z62" s="116"/>
      <c r="AA62" s="116"/>
      <c r="AB62" s="76"/>
    </row>
    <row r="63" spans="1:28" ht="26">
      <c r="B63" s="36" t="s">
        <v>400</v>
      </c>
      <c r="C63" s="12" t="s">
        <v>142</v>
      </c>
      <c r="D63" s="111"/>
      <c r="G63" s="282"/>
      <c r="I63" s="247"/>
      <c r="K63" s="114"/>
      <c r="L63" s="3"/>
      <c r="M63" s="14"/>
      <c r="N63" s="248"/>
      <c r="O63" s="3"/>
      <c r="P63" s="296"/>
      <c r="Q63" s="296"/>
      <c r="R63" s="296"/>
      <c r="S63" s="296"/>
      <c r="T63" s="296"/>
      <c r="U63" s="296"/>
      <c r="V63" s="114">
        <f t="shared" ref="V63:AA63" si="24">SUM(V64:V65)</f>
        <v>0</v>
      </c>
      <c r="W63" s="114">
        <f t="shared" si="24"/>
        <v>0</v>
      </c>
      <c r="X63" s="114">
        <f t="shared" si="24"/>
        <v>0</v>
      </c>
      <c r="Y63" s="114">
        <f t="shared" si="24"/>
        <v>0</v>
      </c>
      <c r="Z63" s="114">
        <f t="shared" si="24"/>
        <v>0</v>
      </c>
      <c r="AA63" s="114">
        <f t="shared" si="24"/>
        <v>0</v>
      </c>
      <c r="AB63" s="76"/>
    </row>
    <row r="64" spans="1:28" ht="13">
      <c r="C64" s="12" t="s">
        <v>352</v>
      </c>
      <c r="D64" s="111"/>
      <c r="E64" s="18"/>
      <c r="F64" s="3" t="s">
        <v>339</v>
      </c>
      <c r="G64" s="282">
        <v>1</v>
      </c>
      <c r="I64" s="297">
        <f>'Etape 4-Utilis. Industrielle Hg'!C17</f>
        <v>0</v>
      </c>
      <c r="J64" s="8" t="s">
        <v>390</v>
      </c>
      <c r="K64" s="115">
        <f>I64*G64</f>
        <v>0</v>
      </c>
      <c r="L64" s="3" t="s">
        <v>36</v>
      </c>
      <c r="M64" s="14" t="s">
        <v>99</v>
      </c>
      <c r="N64" s="248">
        <f>K64</f>
        <v>0</v>
      </c>
      <c r="O64" s="3" t="s">
        <v>36</v>
      </c>
      <c r="P64" s="295">
        <v>0.01</v>
      </c>
      <c r="Q64" s="295">
        <v>5.0000000000000001E-3</v>
      </c>
      <c r="R64" s="295">
        <v>0.1</v>
      </c>
      <c r="S64" s="295"/>
      <c r="T64" s="295">
        <v>0.1</v>
      </c>
      <c r="U64" s="295">
        <v>0.01</v>
      </c>
      <c r="V64" s="116">
        <f t="shared" ref="V64:AA65" si="25">$N64*P64</f>
        <v>0</v>
      </c>
      <c r="W64" s="116">
        <f t="shared" si="25"/>
        <v>0</v>
      </c>
      <c r="X64" s="116">
        <f t="shared" si="25"/>
        <v>0</v>
      </c>
      <c r="Y64" s="116">
        <f t="shared" si="25"/>
        <v>0</v>
      </c>
      <c r="Z64" s="116">
        <f t="shared" si="25"/>
        <v>0</v>
      </c>
      <c r="AA64" s="116">
        <f t="shared" si="25"/>
        <v>0</v>
      </c>
      <c r="AB64" s="76"/>
    </row>
    <row r="65" spans="3:28" ht="13">
      <c r="C65" s="67" t="s">
        <v>91</v>
      </c>
      <c r="D65" s="111"/>
      <c r="E65" s="18" t="s">
        <v>143</v>
      </c>
      <c r="F65" s="3" t="s">
        <v>339</v>
      </c>
      <c r="G65" s="76">
        <v>30</v>
      </c>
      <c r="H65" s="3" t="s">
        <v>339</v>
      </c>
      <c r="I65" s="248">
        <f>'Etape6-Produits-substances Hg'!C38</f>
        <v>0</v>
      </c>
      <c r="J65" t="s">
        <v>332</v>
      </c>
      <c r="K65" s="115">
        <f>G65*I65</f>
        <v>0</v>
      </c>
      <c r="L65" s="3" t="s">
        <v>36</v>
      </c>
      <c r="M65" s="16" t="s">
        <v>141</v>
      </c>
      <c r="N65" s="248">
        <f>K65</f>
        <v>0</v>
      </c>
      <c r="O65" s="17"/>
      <c r="P65" s="295"/>
      <c r="Q65" s="295">
        <v>0.95</v>
      </c>
      <c r="R65" s="295">
        <v>0.05</v>
      </c>
      <c r="S65" s="295"/>
      <c r="T65" s="295"/>
      <c r="U65" s="295"/>
      <c r="V65" s="116">
        <f t="shared" si="25"/>
        <v>0</v>
      </c>
      <c r="W65" s="116">
        <f t="shared" si="25"/>
        <v>0</v>
      </c>
      <c r="X65" s="116">
        <f t="shared" si="25"/>
        <v>0</v>
      </c>
      <c r="Y65" s="116">
        <f t="shared" si="25"/>
        <v>0</v>
      </c>
      <c r="Z65" s="116">
        <f t="shared" si="25"/>
        <v>0</v>
      </c>
      <c r="AA65" s="116">
        <f t="shared" si="25"/>
        <v>0</v>
      </c>
      <c r="AB65" s="76"/>
    </row>
    <row r="66" spans="3:28" s="55" customFormat="1" ht="13">
      <c r="C66" s="165"/>
      <c r="D66" s="111"/>
      <c r="F66" s="104"/>
      <c r="G66" s="76"/>
      <c r="H66" s="104"/>
      <c r="I66" s="248"/>
      <c r="K66" s="115"/>
      <c r="L66" s="104"/>
      <c r="M66" s="164"/>
      <c r="N66" s="247"/>
      <c r="O66" s="104"/>
      <c r="P66" s="283"/>
      <c r="Q66" s="283"/>
      <c r="R66" s="283"/>
      <c r="S66" s="283"/>
      <c r="T66" s="283"/>
      <c r="U66" s="283"/>
      <c r="V66" s="116"/>
      <c r="W66" s="116"/>
      <c r="X66" s="116"/>
      <c r="Y66" s="116"/>
      <c r="Z66" s="116"/>
      <c r="AA66" s="116"/>
      <c r="AB66" s="76"/>
    </row>
    <row r="67" spans="3:28" s="3" customFormat="1" ht="13">
      <c r="C67" s="40"/>
      <c r="D67" s="7"/>
      <c r="I67" s="249"/>
      <c r="K67" s="21"/>
      <c r="M67" s="59"/>
      <c r="N67" s="239"/>
      <c r="P67" s="60"/>
      <c r="Q67" s="60"/>
      <c r="R67" s="60"/>
      <c r="S67" s="60"/>
      <c r="T67" s="60"/>
      <c r="U67" s="60"/>
      <c r="V67" s="22"/>
      <c r="W67" s="22"/>
      <c r="X67" s="22"/>
      <c r="Y67" s="22"/>
      <c r="Z67" s="22"/>
      <c r="AA67" s="22"/>
    </row>
    <row r="68" spans="3:28" s="3" customFormat="1" ht="13">
      <c r="C68" s="7" t="s">
        <v>56</v>
      </c>
      <c r="D68" s="36" t="s">
        <v>351</v>
      </c>
      <c r="I68" s="249"/>
      <c r="K68" s="21"/>
      <c r="M68" s="59"/>
      <c r="N68" s="239"/>
      <c r="P68" s="60"/>
      <c r="Q68" s="60"/>
      <c r="R68" s="60"/>
      <c r="S68" s="60"/>
      <c r="T68" s="60"/>
      <c r="U68" s="60"/>
      <c r="V68" s="22"/>
      <c r="W68" s="22"/>
      <c r="X68" s="22"/>
      <c r="Y68" s="22"/>
      <c r="Z68" s="22"/>
      <c r="AA68" s="22"/>
    </row>
    <row r="69" spans="3:28" s="3" customFormat="1" ht="13">
      <c r="C69" s="40"/>
      <c r="D69" s="7"/>
      <c r="I69" s="249"/>
      <c r="K69" s="21"/>
      <c r="M69" s="59"/>
      <c r="N69" s="239"/>
      <c r="P69" s="60"/>
      <c r="Q69" s="60"/>
      <c r="R69" s="60"/>
      <c r="S69" s="60"/>
      <c r="T69" s="60"/>
      <c r="U69" s="60"/>
      <c r="V69" s="22"/>
      <c r="W69" s="22"/>
      <c r="X69" s="22"/>
      <c r="Y69" s="22"/>
      <c r="Z69" s="22"/>
      <c r="AA69" s="22"/>
    </row>
    <row r="70" spans="3:28" s="3" customFormat="1" ht="13">
      <c r="C70" s="40"/>
      <c r="D70" s="7"/>
      <c r="I70" s="249"/>
      <c r="K70" s="21"/>
      <c r="M70" s="59"/>
      <c r="N70" s="239"/>
      <c r="P70" s="60"/>
      <c r="Q70" s="60"/>
      <c r="R70" s="60"/>
      <c r="S70" s="60"/>
      <c r="T70" s="60"/>
      <c r="U70" s="60"/>
      <c r="V70" s="22"/>
      <c r="W70" s="22"/>
      <c r="X70" s="22"/>
      <c r="Y70" s="22"/>
      <c r="Z70" s="22"/>
      <c r="AA70" s="22"/>
    </row>
    <row r="71" spans="3:28" s="3" customFormat="1" ht="13">
      <c r="C71" s="40"/>
      <c r="D71" s="7"/>
      <c r="I71" s="249"/>
      <c r="K71" s="21"/>
      <c r="M71" s="59"/>
      <c r="N71" s="239"/>
      <c r="P71" s="60"/>
      <c r="Q71" s="60"/>
      <c r="R71" s="60"/>
      <c r="S71" s="60"/>
      <c r="T71" s="60"/>
      <c r="U71" s="60"/>
      <c r="V71" s="22"/>
      <c r="W71" s="22"/>
      <c r="X71" s="22"/>
      <c r="Y71" s="22"/>
      <c r="Z71" s="22"/>
      <c r="AA71" s="22"/>
    </row>
    <row r="72" spans="3:28" s="3" customFormat="1" ht="13">
      <c r="C72" s="40"/>
      <c r="D72" s="7"/>
      <c r="I72" s="249"/>
      <c r="K72" s="21"/>
      <c r="M72" s="59"/>
      <c r="N72" s="239"/>
      <c r="P72" s="60"/>
      <c r="Q72" s="60"/>
      <c r="R72" s="60"/>
      <c r="S72" s="60"/>
      <c r="T72" s="60"/>
      <c r="U72" s="60"/>
      <c r="V72" s="22"/>
      <c r="W72" s="22"/>
      <c r="X72" s="22"/>
      <c r="Y72" s="22"/>
      <c r="Z72" s="22"/>
      <c r="AA72" s="22"/>
    </row>
    <row r="73" spans="3:28" s="3" customFormat="1" ht="13">
      <c r="C73" s="40"/>
      <c r="D73" s="7"/>
      <c r="I73" s="249"/>
      <c r="K73" s="21"/>
      <c r="M73" s="59"/>
      <c r="N73" s="239"/>
      <c r="P73" s="60"/>
      <c r="Q73" s="60"/>
      <c r="R73" s="60"/>
      <c r="S73" s="60"/>
      <c r="T73" s="60"/>
      <c r="U73" s="60"/>
      <c r="V73" s="22"/>
      <c r="W73" s="22"/>
      <c r="X73" s="22"/>
      <c r="Y73" s="22"/>
      <c r="Z73" s="22"/>
      <c r="AA73" s="22"/>
    </row>
    <row r="74" spans="3:28" s="3" customFormat="1" ht="13">
      <c r="C74" s="36"/>
      <c r="E74" s="11"/>
      <c r="I74" s="249"/>
      <c r="K74" s="21"/>
      <c r="M74" s="62"/>
      <c r="N74" s="239"/>
      <c r="P74" s="60"/>
      <c r="Q74" s="60"/>
      <c r="R74" s="60"/>
      <c r="S74" s="60"/>
      <c r="T74" s="60"/>
      <c r="U74" s="60"/>
      <c r="V74" s="22"/>
      <c r="W74" s="22"/>
      <c r="X74" s="22"/>
      <c r="Y74" s="22"/>
      <c r="Z74" s="22"/>
      <c r="AA74" s="22"/>
    </row>
    <row r="75" spans="3:28" s="3" customFormat="1" ht="13">
      <c r="C75" s="36"/>
      <c r="E75" s="11"/>
      <c r="I75" s="249"/>
      <c r="K75" s="21"/>
      <c r="M75" s="62"/>
      <c r="N75" s="239"/>
      <c r="P75" s="60"/>
      <c r="Q75" s="60"/>
      <c r="R75" s="60"/>
      <c r="S75" s="60"/>
      <c r="T75" s="60"/>
      <c r="U75" s="60"/>
      <c r="V75" s="22"/>
      <c r="W75" s="22"/>
      <c r="X75" s="22"/>
      <c r="Y75" s="22"/>
      <c r="Z75" s="22"/>
      <c r="AA75" s="22"/>
    </row>
    <row r="76" spans="3:28" s="3" customFormat="1" ht="13">
      <c r="C76" s="36"/>
      <c r="E76" s="11"/>
      <c r="I76" s="249"/>
      <c r="K76" s="21"/>
      <c r="M76" s="62"/>
      <c r="N76" s="239"/>
      <c r="P76" s="60"/>
      <c r="Q76" s="60"/>
      <c r="R76" s="60"/>
      <c r="S76" s="60"/>
      <c r="T76" s="60"/>
      <c r="U76" s="60"/>
      <c r="V76" s="22"/>
      <c r="W76" s="22"/>
      <c r="X76" s="22"/>
      <c r="Y76" s="22"/>
      <c r="Z76" s="22"/>
      <c r="AA76" s="22"/>
    </row>
    <row r="77" spans="3:28" s="3" customFormat="1" ht="13">
      <c r="C77" s="36"/>
      <c r="E77" s="11"/>
      <c r="I77" s="249"/>
      <c r="K77" s="21"/>
      <c r="M77" s="63"/>
      <c r="N77" s="239"/>
      <c r="P77" s="23"/>
      <c r="Q77" s="23"/>
      <c r="R77" s="24"/>
      <c r="S77" s="24"/>
      <c r="T77" s="23"/>
      <c r="V77" s="22"/>
      <c r="W77" s="22"/>
      <c r="X77" s="22"/>
      <c r="Y77" s="22"/>
      <c r="Z77" s="22"/>
      <c r="AA77" s="22"/>
    </row>
    <row r="78" spans="3:28" s="3" customFormat="1">
      <c r="I78" s="239"/>
      <c r="M78" s="63"/>
      <c r="N78" s="239"/>
    </row>
    <row r="79" spans="3:28" s="3" customFormat="1">
      <c r="I79" s="239"/>
      <c r="M79" s="63"/>
      <c r="N79" s="239"/>
    </row>
    <row r="80" spans="3:28" s="3" customFormat="1" ht="13">
      <c r="C80" s="7"/>
      <c r="D80" s="7"/>
      <c r="I80" s="239"/>
      <c r="M80" s="64"/>
      <c r="N80" s="239"/>
      <c r="V80" s="25"/>
      <c r="W80" s="25"/>
      <c r="X80" s="25"/>
      <c r="Y80" s="25"/>
      <c r="Z80" s="25"/>
      <c r="AA80" s="25"/>
    </row>
    <row r="81" spans="3:27" s="3" customFormat="1" ht="13">
      <c r="C81" s="7"/>
      <c r="D81" s="7"/>
      <c r="I81" s="249"/>
      <c r="K81" s="21"/>
      <c r="M81" s="64"/>
      <c r="N81" s="249"/>
      <c r="P81" s="60"/>
      <c r="Q81" s="60"/>
      <c r="R81" s="60"/>
      <c r="S81" s="60"/>
      <c r="T81" s="60"/>
      <c r="U81" s="60"/>
      <c r="V81" s="22"/>
      <c r="W81" s="22"/>
      <c r="X81" s="22"/>
      <c r="Y81" s="22"/>
      <c r="Z81" s="22"/>
      <c r="AA81" s="22"/>
    </row>
  </sheetData>
  <sheetProtection algorithmName="SHA-512" hashValue="zfmXEvq5N8RsPsv6Y58uk5h6rZuqLM5BE7CR+S+j6qos4kguBOXtehzprukbGA9W/aOABr4autyEQ+CRFlie/w==" saltValue="40YDdfQDrbCPNF6ema7F1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ignoredErrors>
    <ignoredError sqref="E28:G33" twoDigitTextYear="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D101"/>
  <sheetViews>
    <sheetView zoomScale="70" zoomScaleNormal="70" workbookViewId="0">
      <selection activeCell="A26" sqref="A26"/>
    </sheetView>
  </sheetViews>
  <sheetFormatPr defaultColWidth="8.81640625" defaultRowHeight="12.5"/>
  <cols>
    <col min="1" max="1" width="3.453125" customWidth="1"/>
    <col min="2" max="2" width="5.1796875" customWidth="1"/>
    <col min="3" max="3" width="34" customWidth="1"/>
    <col min="4" max="4" width="8.453125" customWidth="1"/>
    <col min="5" max="5" width="10.36328125" customWidth="1"/>
    <col min="7" max="7" width="10.1796875" customWidth="1"/>
    <col min="8" max="8" width="11.453125" customWidth="1"/>
    <col min="9" max="9" width="16.81640625" style="240" customWidth="1"/>
    <col min="10" max="10" width="14.453125" customWidth="1"/>
    <col min="11" max="11" width="10.36328125" bestFit="1" customWidth="1"/>
    <col min="13" max="13" width="33.453125" style="13" customWidth="1"/>
    <col min="14" max="14" width="9.1796875" style="240"/>
    <col min="21" max="21" width="16.453125" customWidth="1"/>
    <col min="27" max="27" width="17" customWidth="1"/>
    <col min="28" max="28" width="63.453125" customWidth="1"/>
  </cols>
  <sheetData>
    <row r="1" spans="1:30" ht="18">
      <c r="A1" s="1" t="s">
        <v>765</v>
      </c>
      <c r="I1" s="231"/>
      <c r="N1" s="231"/>
      <c r="V1" s="22"/>
      <c r="W1" s="3"/>
      <c r="X1" s="3"/>
      <c r="Y1" s="3"/>
      <c r="Z1" s="3"/>
      <c r="AA1" s="3"/>
    </row>
    <row r="2" spans="1:30" ht="14">
      <c r="A2" s="54" t="s">
        <v>313</v>
      </c>
      <c r="I2" s="231"/>
      <c r="L2" s="55"/>
      <c r="M2" s="55"/>
      <c r="N2" s="231"/>
    </row>
    <row r="3" spans="1:30" s="180" customFormat="1" ht="13">
      <c r="D3" s="181"/>
      <c r="E3" s="181"/>
      <c r="F3" s="181"/>
      <c r="G3" s="181"/>
      <c r="H3" s="181"/>
      <c r="I3" s="258"/>
      <c r="J3" s="181"/>
      <c r="K3" s="181"/>
      <c r="L3" s="30"/>
      <c r="M3" s="30"/>
      <c r="N3" s="258"/>
      <c r="O3" s="181"/>
      <c r="P3" s="183" t="s">
        <v>55</v>
      </c>
      <c r="Q3" s="183"/>
      <c r="R3" s="183"/>
      <c r="S3" s="183"/>
      <c r="T3" s="183"/>
      <c r="U3" s="183"/>
      <c r="V3" s="184" t="s">
        <v>54</v>
      </c>
      <c r="W3" s="185"/>
      <c r="X3" s="185"/>
      <c r="Y3" s="185"/>
      <c r="Z3" s="185"/>
      <c r="AA3" s="185"/>
      <c r="AB3" s="183"/>
    </row>
    <row r="4" spans="1:30" s="186" customFormat="1" ht="39">
      <c r="A4" s="186" t="s">
        <v>52</v>
      </c>
      <c r="B4" s="186" t="s">
        <v>50</v>
      </c>
      <c r="C4" s="136" t="s">
        <v>59</v>
      </c>
      <c r="D4" s="112" t="s">
        <v>153</v>
      </c>
      <c r="E4" s="136" t="s">
        <v>49</v>
      </c>
      <c r="F4" s="139" t="s">
        <v>35</v>
      </c>
      <c r="G4" s="112" t="s">
        <v>37</v>
      </c>
      <c r="H4" s="139" t="s">
        <v>35</v>
      </c>
      <c r="I4" s="245" t="s">
        <v>51</v>
      </c>
      <c r="J4" s="186" t="s">
        <v>35</v>
      </c>
      <c r="K4" s="84" t="s">
        <v>61</v>
      </c>
      <c r="L4" s="139" t="s">
        <v>35</v>
      </c>
      <c r="M4" s="126" t="s">
        <v>57</v>
      </c>
      <c r="N4" s="245" t="s">
        <v>92</v>
      </c>
      <c r="O4" s="139" t="s">
        <v>35</v>
      </c>
      <c r="P4" s="111" t="s">
        <v>38</v>
      </c>
      <c r="Q4" s="111" t="s">
        <v>39</v>
      </c>
      <c r="R4" s="111" t="s">
        <v>40</v>
      </c>
      <c r="S4" s="111" t="s">
        <v>41</v>
      </c>
      <c r="T4" s="112" t="s">
        <v>42</v>
      </c>
      <c r="U4" s="112" t="s">
        <v>53</v>
      </c>
      <c r="V4" s="56" t="s">
        <v>38</v>
      </c>
      <c r="W4" s="56" t="s">
        <v>39</v>
      </c>
      <c r="X4" s="56" t="s">
        <v>40</v>
      </c>
      <c r="Y4" s="57" t="s">
        <v>41</v>
      </c>
      <c r="Z4" s="57" t="s">
        <v>42</v>
      </c>
      <c r="AA4" s="57" t="s">
        <v>228</v>
      </c>
      <c r="AB4" s="111" t="s">
        <v>87</v>
      </c>
    </row>
    <row r="5" spans="1:30" s="55" customFormat="1" ht="26">
      <c r="A5" s="55" t="s">
        <v>211</v>
      </c>
      <c r="C5" s="136" t="s">
        <v>214</v>
      </c>
      <c r="D5" s="120"/>
      <c r="F5" s="104"/>
      <c r="G5" s="119"/>
      <c r="H5" s="104"/>
      <c r="I5" s="246"/>
      <c r="K5" s="121"/>
      <c r="L5" s="104"/>
      <c r="M5" s="174"/>
      <c r="N5" s="246"/>
      <c r="O5" s="104"/>
      <c r="P5" s="119"/>
      <c r="Q5" s="119"/>
      <c r="R5" s="119"/>
      <c r="S5" s="119"/>
      <c r="T5" s="119"/>
      <c r="U5" s="119"/>
      <c r="V5" s="122"/>
      <c r="W5" s="122"/>
      <c r="X5" s="122"/>
      <c r="Y5" s="122"/>
      <c r="Z5" s="122"/>
      <c r="AA5" s="122"/>
      <c r="AB5" s="119"/>
    </row>
    <row r="6" spans="1:30" ht="13">
      <c r="B6" t="s">
        <v>212</v>
      </c>
      <c r="C6" s="12" t="s">
        <v>349</v>
      </c>
      <c r="D6" s="111"/>
      <c r="G6" s="76"/>
      <c r="I6" s="247"/>
      <c r="K6" s="114"/>
      <c r="L6" s="3"/>
      <c r="M6" s="14"/>
      <c r="N6" s="247"/>
      <c r="O6" s="3"/>
      <c r="P6" s="76"/>
      <c r="Q6" s="76"/>
      <c r="R6" s="76"/>
      <c r="S6" s="76"/>
      <c r="T6" s="76"/>
      <c r="U6" s="76"/>
      <c r="V6" s="114">
        <f>SUM(V7:V11)</f>
        <v>0</v>
      </c>
      <c r="W6" s="114">
        <f t="shared" ref="W6:AA6" si="0">SUM(W7:W11)</f>
        <v>0</v>
      </c>
      <c r="X6" s="114">
        <f t="shared" si="0"/>
        <v>0</v>
      </c>
      <c r="Y6" s="114">
        <f t="shared" si="0"/>
        <v>0</v>
      </c>
      <c r="Z6" s="114">
        <f>SUM(Z7:Z11)</f>
        <v>0</v>
      </c>
      <c r="AA6" s="114">
        <f t="shared" si="0"/>
        <v>0</v>
      </c>
      <c r="AB6" s="330"/>
    </row>
    <row r="7" spans="1:30" ht="39">
      <c r="C7" s="68" t="s">
        <v>216</v>
      </c>
      <c r="D7" s="111"/>
      <c r="E7" s="6" t="s">
        <v>215</v>
      </c>
      <c r="F7" s="3" t="s">
        <v>118</v>
      </c>
      <c r="G7" s="277">
        <v>0.2</v>
      </c>
      <c r="H7" s="3" t="s">
        <v>118</v>
      </c>
      <c r="I7" s="248">
        <f>'Etape 1-Données pays'!B6</f>
        <v>0</v>
      </c>
      <c r="J7" s="3" t="s">
        <v>117</v>
      </c>
      <c r="K7" s="169">
        <f>(G7*I7/1000)*'Etape6-Produits-substances Hg'!C11/Countrydata!$D$57</f>
        <v>0</v>
      </c>
      <c r="L7" s="3" t="s">
        <v>36</v>
      </c>
      <c r="M7" s="39" t="s">
        <v>223</v>
      </c>
      <c r="N7" s="248">
        <f>K7</f>
        <v>0</v>
      </c>
      <c r="O7" s="3" t="s">
        <v>36</v>
      </c>
      <c r="P7" s="131">
        <v>0.02</v>
      </c>
      <c r="Q7" s="131">
        <v>0.14000000000000001</v>
      </c>
      <c r="R7" s="131"/>
      <c r="S7" s="131"/>
      <c r="T7" s="131">
        <v>0.12</v>
      </c>
      <c r="U7" s="131">
        <v>0.12</v>
      </c>
      <c r="V7" s="116">
        <f t="shared" ref="V7:AA8" si="1">$N7*P7</f>
        <v>0</v>
      </c>
      <c r="W7" s="116">
        <f t="shared" si="1"/>
        <v>0</v>
      </c>
      <c r="X7" s="116">
        <f t="shared" si="1"/>
        <v>0</v>
      </c>
      <c r="Y7" s="116">
        <f t="shared" si="1"/>
        <v>0</v>
      </c>
      <c r="Z7" s="116">
        <f t="shared" si="1"/>
        <v>0</v>
      </c>
      <c r="AA7" s="116">
        <f t="shared" si="1"/>
        <v>0</v>
      </c>
      <c r="AB7" s="330"/>
    </row>
    <row r="8" spans="1:30" ht="39">
      <c r="C8" s="68" t="s">
        <v>218</v>
      </c>
      <c r="D8" s="111"/>
      <c r="E8" s="6"/>
      <c r="F8" s="3"/>
      <c r="G8" s="76"/>
      <c r="H8" s="3"/>
      <c r="I8" s="248"/>
      <c r="J8" s="3"/>
      <c r="K8" s="168"/>
      <c r="L8" s="3"/>
      <c r="M8" s="39" t="s">
        <v>224</v>
      </c>
      <c r="N8" s="248">
        <f>K7</f>
        <v>0</v>
      </c>
      <c r="O8" s="3" t="s">
        <v>36</v>
      </c>
      <c r="P8" s="131"/>
      <c r="Q8" s="131">
        <v>0.02</v>
      </c>
      <c r="R8" s="131"/>
      <c r="S8" s="131"/>
      <c r="T8" s="131"/>
      <c r="U8" s="131"/>
      <c r="V8" s="116">
        <f t="shared" si="1"/>
        <v>0</v>
      </c>
      <c r="W8" s="116">
        <f t="shared" si="1"/>
        <v>0</v>
      </c>
      <c r="X8" s="116">
        <f t="shared" si="1"/>
        <v>0</v>
      </c>
      <c r="Y8" s="116">
        <f t="shared" si="1"/>
        <v>0</v>
      </c>
      <c r="Z8" s="116">
        <f t="shared" si="1"/>
        <v>0</v>
      </c>
      <c r="AA8" s="116">
        <f t="shared" si="1"/>
        <v>0</v>
      </c>
      <c r="AB8" s="330"/>
    </row>
    <row r="9" spans="1:30" ht="26">
      <c r="C9" s="68" t="s">
        <v>217</v>
      </c>
      <c r="D9" s="111"/>
      <c r="E9" s="6"/>
      <c r="F9" s="3"/>
      <c r="G9" s="76"/>
      <c r="H9" s="3"/>
      <c r="I9" s="248"/>
      <c r="J9" s="3"/>
      <c r="K9" s="168"/>
      <c r="L9" s="3"/>
      <c r="M9" s="39" t="s">
        <v>225</v>
      </c>
      <c r="N9" s="248"/>
      <c r="O9" s="3"/>
      <c r="P9" s="167"/>
      <c r="Q9" s="167"/>
      <c r="R9" s="167"/>
      <c r="S9" s="167"/>
      <c r="T9" s="167"/>
      <c r="U9" s="167"/>
      <c r="V9" s="116"/>
      <c r="W9" s="116"/>
      <c r="X9" s="116"/>
      <c r="Y9" s="116"/>
      <c r="Z9" s="116"/>
      <c r="AA9" s="116"/>
      <c r="AB9" s="330"/>
    </row>
    <row r="10" spans="1:30" ht="39">
      <c r="C10" s="12"/>
      <c r="D10" s="111"/>
      <c r="E10" s="6"/>
      <c r="F10" s="3"/>
      <c r="G10" s="76"/>
      <c r="H10" s="3"/>
      <c r="I10" s="248"/>
      <c r="J10" s="3"/>
      <c r="K10" s="168"/>
      <c r="L10" s="3"/>
      <c r="M10" s="38" t="s">
        <v>221</v>
      </c>
      <c r="N10" s="248">
        <f>K7*'Etape6-Produits-substances Hg'!H13/100</f>
        <v>0</v>
      </c>
      <c r="O10" s="3" t="s">
        <v>36</v>
      </c>
      <c r="P10" s="131"/>
      <c r="Q10" s="131">
        <v>0.02</v>
      </c>
      <c r="R10" s="131"/>
      <c r="S10" s="131">
        <v>0.06</v>
      </c>
      <c r="T10" s="131">
        <v>0.25</v>
      </c>
      <c r="U10" s="131">
        <v>0.25</v>
      </c>
      <c r="V10" s="116">
        <f t="shared" ref="V10:AA11" si="2">$N10*P10</f>
        <v>0</v>
      </c>
      <c r="W10" s="116">
        <f t="shared" si="2"/>
        <v>0</v>
      </c>
      <c r="X10" s="116">
        <f t="shared" si="2"/>
        <v>0</v>
      </c>
      <c r="Y10" s="116">
        <f t="shared" si="2"/>
        <v>0</v>
      </c>
      <c r="Z10" s="116">
        <f t="shared" si="2"/>
        <v>0</v>
      </c>
      <c r="AA10" s="116">
        <f t="shared" si="2"/>
        <v>0</v>
      </c>
      <c r="AB10" s="330"/>
    </row>
    <row r="11" spans="1:30" ht="26">
      <c r="C11" s="12"/>
      <c r="D11" s="111"/>
      <c r="E11" s="6"/>
      <c r="F11" s="3"/>
      <c r="G11" s="76"/>
      <c r="H11" s="3"/>
      <c r="I11" s="248"/>
      <c r="J11" s="3"/>
      <c r="K11" s="168"/>
      <c r="L11" s="3"/>
      <c r="M11" s="38" t="s">
        <v>222</v>
      </c>
      <c r="N11" s="248">
        <f>K7*'Etape6-Produits-substances Hg'!G13/100</f>
        <v>0</v>
      </c>
      <c r="O11" s="3" t="s">
        <v>36</v>
      </c>
      <c r="P11" s="131"/>
      <c r="Q11" s="131">
        <v>0.28000000000000003</v>
      </c>
      <c r="R11" s="131">
        <v>0.08</v>
      </c>
      <c r="S11" s="131">
        <v>0.06</v>
      </c>
      <c r="T11" s="131">
        <v>0.08</v>
      </c>
      <c r="U11" s="131">
        <v>0.08</v>
      </c>
      <c r="V11" s="116">
        <f t="shared" si="2"/>
        <v>0</v>
      </c>
      <c r="W11" s="116">
        <f t="shared" si="2"/>
        <v>0</v>
      </c>
      <c r="X11" s="116">
        <f t="shared" si="2"/>
        <v>0</v>
      </c>
      <c r="Y11" s="116">
        <f t="shared" si="2"/>
        <v>0</v>
      </c>
      <c r="Z11" s="116">
        <f t="shared" si="2"/>
        <v>0</v>
      </c>
      <c r="AA11" s="116">
        <f t="shared" si="2"/>
        <v>0</v>
      </c>
      <c r="AB11" s="330"/>
    </row>
    <row r="12" spans="1:30" s="55" customFormat="1" ht="13">
      <c r="C12" s="161"/>
      <c r="D12" s="76"/>
      <c r="E12" s="106"/>
      <c r="F12" s="104"/>
      <c r="G12" s="76"/>
      <c r="H12" s="104"/>
      <c r="I12" s="248"/>
      <c r="K12" s="115"/>
      <c r="L12" s="104"/>
      <c r="M12" s="162"/>
      <c r="N12" s="248"/>
      <c r="O12" s="104"/>
      <c r="P12" s="167"/>
      <c r="Q12" s="167"/>
      <c r="R12" s="167"/>
      <c r="S12" s="167"/>
      <c r="T12" s="167"/>
      <c r="U12" s="170"/>
      <c r="V12" s="116"/>
      <c r="W12" s="116"/>
      <c r="X12" s="116"/>
      <c r="Y12" s="116"/>
      <c r="Z12" s="116"/>
      <c r="AA12" s="116"/>
      <c r="AB12" s="76"/>
    </row>
    <row r="13" spans="1:30" ht="26">
      <c r="B13" s="3" t="s">
        <v>226</v>
      </c>
      <c r="C13" s="26" t="s">
        <v>227</v>
      </c>
      <c r="D13" s="111"/>
      <c r="E13" s="3"/>
      <c r="F13" s="3"/>
      <c r="G13" s="76"/>
      <c r="H13" s="3"/>
      <c r="I13" s="248"/>
      <c r="K13" s="114"/>
      <c r="L13" s="3"/>
      <c r="M13" s="33"/>
      <c r="N13" s="248"/>
      <c r="O13" s="3"/>
      <c r="P13" s="76"/>
      <c r="Q13" s="76"/>
      <c r="R13" s="76"/>
      <c r="S13" s="76"/>
      <c r="T13" s="76"/>
      <c r="U13" s="76"/>
      <c r="V13" s="114">
        <f t="shared" ref="V13:AA13" si="3">SUM(V14+V15+V24)</f>
        <v>0</v>
      </c>
      <c r="W13" s="114">
        <f t="shared" si="3"/>
        <v>0</v>
      </c>
      <c r="X13" s="114">
        <f t="shared" si="3"/>
        <v>0</v>
      </c>
      <c r="Y13" s="114">
        <f t="shared" si="3"/>
        <v>0</v>
      </c>
      <c r="Z13" s="114">
        <f t="shared" si="3"/>
        <v>0</v>
      </c>
      <c r="AA13" s="114">
        <f t="shared" si="3"/>
        <v>0</v>
      </c>
      <c r="AB13" s="76"/>
      <c r="AC13" s="25"/>
      <c r="AD13" s="3"/>
    </row>
    <row r="14" spans="1:30" ht="13">
      <c r="B14" s="3"/>
      <c r="C14" s="26" t="s">
        <v>388</v>
      </c>
      <c r="D14" s="111"/>
      <c r="E14" s="3"/>
      <c r="F14" s="3"/>
      <c r="G14" s="76">
        <v>1</v>
      </c>
      <c r="H14" s="36"/>
      <c r="I14" s="248">
        <f>'Etape 4-Utilis. Industrielle Hg'!C14</f>
        <v>0</v>
      </c>
      <c r="J14" s="8" t="s">
        <v>390</v>
      </c>
      <c r="K14" s="168">
        <f>I14*G14</f>
        <v>0</v>
      </c>
      <c r="L14" s="3"/>
      <c r="M14" s="33"/>
      <c r="N14" s="248">
        <f>K14</f>
        <v>0</v>
      </c>
      <c r="O14" s="3" t="s">
        <v>36</v>
      </c>
      <c r="P14" s="295">
        <v>0.01</v>
      </c>
      <c r="Q14" s="295">
        <v>5.0000000000000001E-3</v>
      </c>
      <c r="R14" s="295">
        <v>0.1</v>
      </c>
      <c r="S14" s="295"/>
      <c r="T14" s="295">
        <v>0.1</v>
      </c>
      <c r="U14" s="295">
        <v>0.01</v>
      </c>
      <c r="V14" s="116">
        <f t="shared" ref="V14:AA14" si="4">$N14*P14</f>
        <v>0</v>
      </c>
      <c r="W14" s="116">
        <f t="shared" si="4"/>
        <v>0</v>
      </c>
      <c r="X14" s="116">
        <f t="shared" si="4"/>
        <v>0</v>
      </c>
      <c r="Y14" s="116">
        <f t="shared" si="4"/>
        <v>0</v>
      </c>
      <c r="Z14" s="116">
        <f t="shared" si="4"/>
        <v>0</v>
      </c>
      <c r="AA14" s="116">
        <f t="shared" si="4"/>
        <v>0</v>
      </c>
      <c r="AB14" s="76"/>
      <c r="AC14" s="25"/>
      <c r="AD14" s="3"/>
    </row>
    <row r="15" spans="1:30" ht="13">
      <c r="B15" s="3"/>
      <c r="C15" s="69" t="s">
        <v>252</v>
      </c>
      <c r="D15" s="111"/>
      <c r="E15" s="36" t="s">
        <v>396</v>
      </c>
      <c r="F15" s="3" t="s">
        <v>110</v>
      </c>
      <c r="G15" s="76">
        <v>80</v>
      </c>
      <c r="H15" s="3" t="s">
        <v>110</v>
      </c>
      <c r="I15" s="248">
        <f>'Etape6-Produits-substances Hg'!C40</f>
        <v>0</v>
      </c>
      <c r="J15" t="s">
        <v>272</v>
      </c>
      <c r="K15" s="115">
        <f>G15*I15/1000</f>
        <v>0</v>
      </c>
      <c r="L15" s="3" t="s">
        <v>36</v>
      </c>
      <c r="M15" s="16" t="s">
        <v>100</v>
      </c>
      <c r="N15" s="248"/>
      <c r="O15" s="3"/>
      <c r="P15" s="295"/>
      <c r="Q15" s="295"/>
      <c r="R15" s="295"/>
      <c r="S15" s="295"/>
      <c r="T15" s="295"/>
      <c r="U15" s="282"/>
      <c r="V15" s="308">
        <f t="shared" ref="V15:AA15" si="5">SUM(V16:V18)</f>
        <v>0</v>
      </c>
      <c r="W15" s="308">
        <f t="shared" si="5"/>
        <v>0</v>
      </c>
      <c r="X15" s="308">
        <f t="shared" si="5"/>
        <v>0</v>
      </c>
      <c r="Y15" s="308">
        <f t="shared" si="5"/>
        <v>0</v>
      </c>
      <c r="Z15" s="308">
        <f t="shared" si="5"/>
        <v>0</v>
      </c>
      <c r="AA15" s="308">
        <f t="shared" si="5"/>
        <v>0</v>
      </c>
      <c r="AB15" s="76"/>
      <c r="AC15" s="25"/>
      <c r="AD15" s="3"/>
    </row>
    <row r="16" spans="1:30" ht="26">
      <c r="B16" s="3"/>
      <c r="C16" s="69"/>
      <c r="D16" s="111"/>
      <c r="E16" s="3"/>
      <c r="F16" s="3"/>
      <c r="G16" s="76"/>
      <c r="H16" s="3"/>
      <c r="I16" s="248"/>
      <c r="K16" s="115"/>
      <c r="L16" s="3"/>
      <c r="M16" s="15" t="s">
        <v>97</v>
      </c>
      <c r="N16" s="320">
        <f>IF(AND('Etape5-Trait.+recyclage déchets'!$B$4=yes,'Etape5-Trait.+recyclage déchets'!$E$4=no),K15,0)</f>
        <v>0</v>
      </c>
      <c r="O16" s="3" t="s">
        <v>36</v>
      </c>
      <c r="P16" s="295">
        <v>0.1</v>
      </c>
      <c r="Q16" s="295">
        <v>0.3</v>
      </c>
      <c r="R16" s="295"/>
      <c r="S16" s="295"/>
      <c r="T16" s="295">
        <v>0.6</v>
      </c>
      <c r="U16" s="295"/>
      <c r="V16" s="116">
        <f t="shared" ref="V16:AA18" si="6">$N16*P16</f>
        <v>0</v>
      </c>
      <c r="W16" s="116">
        <f t="shared" si="6"/>
        <v>0</v>
      </c>
      <c r="X16" s="116">
        <f t="shared" si="6"/>
        <v>0</v>
      </c>
      <c r="Y16" s="116">
        <f t="shared" si="6"/>
        <v>0</v>
      </c>
      <c r="Z16" s="116">
        <f t="shared" si="6"/>
        <v>0</v>
      </c>
      <c r="AA16" s="116">
        <f t="shared" si="6"/>
        <v>0</v>
      </c>
      <c r="AB16" s="76"/>
      <c r="AC16" s="25"/>
      <c r="AD16" s="3"/>
    </row>
    <row r="17" spans="2:30" ht="26">
      <c r="B17" s="3"/>
      <c r="C17" s="69"/>
      <c r="D17" s="111"/>
      <c r="E17" s="3"/>
      <c r="F17" s="3"/>
      <c r="G17" s="76"/>
      <c r="H17" s="3"/>
      <c r="I17" s="248"/>
      <c r="K17" s="115"/>
      <c r="L17" s="3"/>
      <c r="M17" s="15" t="s">
        <v>112</v>
      </c>
      <c r="N17" s="320">
        <f>IF(AND('Etape5-Trait.+recyclage déchets'!$B$4=no,OR('Etape5-Trait.+recyclage déchets'!$E$4=no,'Etape5-Trait.+recyclage déchets'!$E$4=yes,'Etape5-Trait.+recyclage déchets'!$E$4="")),K15,0)</f>
        <v>0</v>
      </c>
      <c r="O17" s="3" t="s">
        <v>36</v>
      </c>
      <c r="P17" s="295">
        <v>0.2</v>
      </c>
      <c r="Q17" s="295">
        <v>0.3</v>
      </c>
      <c r="R17" s="295">
        <v>0.2</v>
      </c>
      <c r="S17" s="295"/>
      <c r="T17" s="295">
        <v>0.3</v>
      </c>
      <c r="U17" s="295"/>
      <c r="V17" s="116">
        <f t="shared" si="6"/>
        <v>0</v>
      </c>
      <c r="W17" s="116">
        <f t="shared" si="6"/>
        <v>0</v>
      </c>
      <c r="X17" s="116">
        <f t="shared" si="6"/>
        <v>0</v>
      </c>
      <c r="Y17" s="116">
        <f t="shared" si="6"/>
        <v>0</v>
      </c>
      <c r="Z17" s="116">
        <f t="shared" si="6"/>
        <v>0</v>
      </c>
      <c r="AA17" s="116">
        <f t="shared" si="6"/>
        <v>0</v>
      </c>
      <c r="AB17" s="76"/>
      <c r="AC17" s="25"/>
      <c r="AD17" s="3"/>
    </row>
    <row r="18" spans="2:30" ht="26">
      <c r="B18" s="3"/>
      <c r="C18" s="69"/>
      <c r="D18" s="111"/>
      <c r="E18" s="3"/>
      <c r="F18" s="3"/>
      <c r="G18" s="76"/>
      <c r="H18" s="3"/>
      <c r="I18" s="248"/>
      <c r="K18" s="115"/>
      <c r="L18" s="3"/>
      <c r="M18" s="15" t="s">
        <v>98</v>
      </c>
      <c r="N18" s="320">
        <f>IF(AND('Etape5-Trait.+recyclage déchets'!$B$4=yes,'Etape5-Trait.+recyclage déchets'!$E$4=yes),K15,0)</f>
        <v>0</v>
      </c>
      <c r="O18" s="3" t="s">
        <v>36</v>
      </c>
      <c r="P18" s="295">
        <v>0.1</v>
      </c>
      <c r="Q18" s="295">
        <v>0.3</v>
      </c>
      <c r="R18" s="295"/>
      <c r="S18" s="295"/>
      <c r="T18" s="295">
        <v>0.3</v>
      </c>
      <c r="U18" s="295">
        <v>0.3</v>
      </c>
      <c r="V18" s="116">
        <f t="shared" si="6"/>
        <v>0</v>
      </c>
      <c r="W18" s="116">
        <f t="shared" si="6"/>
        <v>0</v>
      </c>
      <c r="X18" s="116">
        <f t="shared" si="6"/>
        <v>0</v>
      </c>
      <c r="Y18" s="116">
        <f t="shared" si="6"/>
        <v>0</v>
      </c>
      <c r="Z18" s="116">
        <f t="shared" si="6"/>
        <v>0</v>
      </c>
      <c r="AA18" s="116">
        <f t="shared" si="6"/>
        <v>0</v>
      </c>
      <c r="AB18" s="76"/>
      <c r="AC18" s="25"/>
      <c r="AD18" s="3"/>
    </row>
    <row r="19" spans="2:30" ht="13">
      <c r="B19" s="3"/>
      <c r="C19" s="69"/>
      <c r="D19" s="111"/>
      <c r="E19" s="3"/>
      <c r="F19" s="3"/>
      <c r="G19" s="76"/>
      <c r="H19" s="3"/>
      <c r="I19" s="248"/>
      <c r="K19" s="115"/>
      <c r="L19" s="3"/>
      <c r="M19" s="33"/>
      <c r="N19" s="248"/>
      <c r="O19" s="3"/>
      <c r="P19" s="295"/>
      <c r="Q19" s="295"/>
      <c r="R19" s="295"/>
      <c r="S19" s="295"/>
      <c r="T19" s="295"/>
      <c r="U19" s="282"/>
      <c r="V19" s="308"/>
      <c r="W19" s="308"/>
      <c r="X19" s="308"/>
      <c r="Y19" s="308"/>
      <c r="Z19" s="308"/>
      <c r="AA19" s="308"/>
      <c r="AB19" s="76"/>
      <c r="AC19" s="25"/>
      <c r="AD19" s="3"/>
    </row>
    <row r="20" spans="2:30" ht="13">
      <c r="B20" s="3"/>
      <c r="C20" s="69"/>
      <c r="D20" s="111"/>
      <c r="E20" s="3"/>
      <c r="F20" s="3"/>
      <c r="G20" s="76"/>
      <c r="H20" s="3"/>
      <c r="I20" s="248"/>
      <c r="K20" s="115"/>
      <c r="L20" s="3"/>
      <c r="M20" s="33"/>
      <c r="N20" s="248"/>
      <c r="O20" s="3"/>
      <c r="P20" s="295"/>
      <c r="Q20" s="295"/>
      <c r="R20" s="295"/>
      <c r="S20" s="295"/>
      <c r="T20" s="295"/>
      <c r="U20" s="282"/>
      <c r="V20" s="308"/>
      <c r="W20" s="308"/>
      <c r="X20" s="308"/>
      <c r="Y20" s="308"/>
      <c r="Z20" s="308"/>
      <c r="AA20" s="308"/>
      <c r="AB20" s="76"/>
      <c r="AC20" s="25"/>
      <c r="AD20" s="3"/>
    </row>
    <row r="21" spans="2:30" ht="13">
      <c r="B21" s="3"/>
      <c r="C21" s="69"/>
      <c r="D21" s="111"/>
      <c r="E21" s="3"/>
      <c r="F21" s="3"/>
      <c r="G21" s="76"/>
      <c r="H21" s="3"/>
      <c r="I21" s="248"/>
      <c r="K21" s="115"/>
      <c r="L21" s="3"/>
      <c r="M21" s="33"/>
      <c r="N21" s="248"/>
      <c r="O21" s="3"/>
      <c r="P21" s="295"/>
      <c r="Q21" s="295"/>
      <c r="R21" s="295"/>
      <c r="S21" s="295"/>
      <c r="T21" s="295"/>
      <c r="U21" s="282"/>
      <c r="V21" s="308"/>
      <c r="W21" s="308"/>
      <c r="X21" s="308"/>
      <c r="Y21" s="308"/>
      <c r="Z21" s="308"/>
      <c r="AA21" s="308"/>
      <c r="AB21" s="76"/>
      <c r="AC21" s="25"/>
      <c r="AD21" s="3"/>
    </row>
    <row r="22" spans="2:30" ht="13">
      <c r="B22" s="3"/>
      <c r="C22" s="69"/>
      <c r="D22" s="111"/>
      <c r="E22" s="3"/>
      <c r="F22" s="3"/>
      <c r="G22" s="76"/>
      <c r="H22" s="3"/>
      <c r="I22" s="248"/>
      <c r="K22" s="115"/>
      <c r="L22" s="3"/>
      <c r="M22" s="33"/>
      <c r="N22" s="248"/>
      <c r="O22" s="3"/>
      <c r="P22" s="295"/>
      <c r="Q22" s="295"/>
      <c r="R22" s="295"/>
      <c r="S22" s="295"/>
      <c r="T22" s="295"/>
      <c r="U22" s="282"/>
      <c r="V22" s="308"/>
      <c r="W22" s="308"/>
      <c r="X22" s="308"/>
      <c r="Y22" s="308"/>
      <c r="Z22" s="308"/>
      <c r="AA22" s="308"/>
      <c r="AB22" s="76"/>
      <c r="AC22" s="25"/>
      <c r="AD22" s="3"/>
    </row>
    <row r="23" spans="2:30" ht="13">
      <c r="B23" s="3"/>
      <c r="C23" s="69"/>
      <c r="D23" s="111"/>
      <c r="E23" s="3"/>
      <c r="F23" s="3"/>
      <c r="G23" s="76"/>
      <c r="H23" s="3"/>
      <c r="I23" s="248"/>
      <c r="K23" s="115"/>
      <c r="L23" s="3"/>
      <c r="M23" s="33"/>
      <c r="N23" s="248"/>
      <c r="O23" s="3"/>
      <c r="P23" s="295"/>
      <c r="Q23" s="295"/>
      <c r="R23" s="295"/>
      <c r="S23" s="295"/>
      <c r="T23" s="295"/>
      <c r="U23" s="282"/>
      <c r="V23" s="308"/>
      <c r="W23" s="308"/>
      <c r="X23" s="308"/>
      <c r="Y23" s="308"/>
      <c r="Z23" s="308"/>
      <c r="AA23" s="308"/>
      <c r="AB23" s="76"/>
      <c r="AC23" s="25"/>
      <c r="AD23" s="3"/>
    </row>
    <row r="24" spans="2:30" ht="26">
      <c r="B24" s="3"/>
      <c r="C24" s="310" t="s">
        <v>435</v>
      </c>
      <c r="D24" s="311"/>
      <c r="E24" s="312" t="s">
        <v>434</v>
      </c>
      <c r="F24" s="312" t="s">
        <v>110</v>
      </c>
      <c r="G24" s="313">
        <v>5.0000000000000001E-3</v>
      </c>
      <c r="H24" s="312" t="s">
        <v>399</v>
      </c>
      <c r="I24" s="314">
        <f>'Etape6-Produits-substances Hg'!C42</f>
        <v>0</v>
      </c>
      <c r="J24" s="312" t="s">
        <v>117</v>
      </c>
      <c r="K24" s="510">
        <f>(I24*G24/1000)*'Etape6-Produits-substances Hg'!$C$43/100</f>
        <v>0</v>
      </c>
      <c r="L24" s="312" t="s">
        <v>36</v>
      </c>
      <c r="M24" s="16" t="s">
        <v>100</v>
      </c>
      <c r="N24" s="248"/>
      <c r="O24" s="3"/>
      <c r="P24" s="295"/>
      <c r="Q24" s="295"/>
      <c r="R24" s="295"/>
      <c r="S24" s="295"/>
      <c r="T24" s="295"/>
      <c r="U24" s="282"/>
      <c r="V24" s="308">
        <f t="shared" ref="V24:AA24" si="7">SUM(V25:V27)</f>
        <v>0</v>
      </c>
      <c r="W24" s="308">
        <f t="shared" si="7"/>
        <v>0</v>
      </c>
      <c r="X24" s="308">
        <f t="shared" si="7"/>
        <v>0</v>
      </c>
      <c r="Y24" s="308">
        <f t="shared" si="7"/>
        <v>0</v>
      </c>
      <c r="Z24" s="308">
        <f t="shared" si="7"/>
        <v>0</v>
      </c>
      <c r="AA24" s="308">
        <f t="shared" si="7"/>
        <v>0</v>
      </c>
      <c r="AB24" s="76"/>
      <c r="AC24" s="25"/>
      <c r="AD24" s="3"/>
    </row>
    <row r="25" spans="2:30" ht="26">
      <c r="B25" s="3"/>
      <c r="C25" s="69" t="s">
        <v>253</v>
      </c>
      <c r="D25" s="111"/>
      <c r="E25" s="3" t="s">
        <v>43</v>
      </c>
      <c r="F25" s="3" t="s">
        <v>110</v>
      </c>
      <c r="G25" s="76" t="s">
        <v>43</v>
      </c>
      <c r="H25" s="3" t="s">
        <v>110</v>
      </c>
      <c r="I25" s="248"/>
      <c r="J25" t="s">
        <v>272</v>
      </c>
      <c r="K25" s="115" t="e">
        <f t="shared" ref="K25:K32" si="8">G25*I25/1000</f>
        <v>#VALUE!</v>
      </c>
      <c r="L25" s="3" t="s">
        <v>36</v>
      </c>
      <c r="M25" s="15" t="s">
        <v>97</v>
      </c>
      <c r="N25" s="320">
        <f>IF(AND('Etape5-Trait.+recyclage déchets'!$B$4=yes,'Etape5-Trait.+recyclage déchets'!$E$4=no),K24,0)</f>
        <v>0</v>
      </c>
      <c r="O25" s="3" t="s">
        <v>36</v>
      </c>
      <c r="P25" s="295">
        <v>0.1</v>
      </c>
      <c r="Q25" s="295">
        <v>0.3</v>
      </c>
      <c r="R25" s="295"/>
      <c r="S25" s="295"/>
      <c r="T25" s="295">
        <v>0.6</v>
      </c>
      <c r="U25" s="295"/>
      <c r="V25" s="116">
        <f t="shared" ref="V25:V32" si="9">$N25*P25</f>
        <v>0</v>
      </c>
      <c r="W25" s="116">
        <f t="shared" ref="W25:W32" si="10">$N25*Q25</f>
        <v>0</v>
      </c>
      <c r="X25" s="116">
        <f t="shared" ref="X25:X32" si="11">$N25*R25</f>
        <v>0</v>
      </c>
      <c r="Y25" s="116">
        <f t="shared" ref="Y25:Y32" si="12">$N25*S25</f>
        <v>0</v>
      </c>
      <c r="Z25" s="116">
        <f t="shared" ref="Z25:Z32" si="13">$N25*T25</f>
        <v>0</v>
      </c>
      <c r="AA25" s="116">
        <f t="shared" ref="AA25:AA32" si="14">$N25*U25</f>
        <v>0</v>
      </c>
      <c r="AB25" s="76"/>
      <c r="AC25" s="25"/>
      <c r="AD25" s="3"/>
    </row>
    <row r="26" spans="2:30" ht="26">
      <c r="B26" s="3"/>
      <c r="C26" s="69" t="s">
        <v>254</v>
      </c>
      <c r="D26" s="111"/>
      <c r="E26" s="3" t="s">
        <v>43</v>
      </c>
      <c r="F26" s="3" t="s">
        <v>110</v>
      </c>
      <c r="G26" s="76" t="s">
        <v>43</v>
      </c>
      <c r="H26" s="3" t="s">
        <v>110</v>
      </c>
      <c r="I26" s="248"/>
      <c r="J26" t="s">
        <v>272</v>
      </c>
      <c r="K26" s="115" t="e">
        <f t="shared" si="8"/>
        <v>#VALUE!</v>
      </c>
      <c r="L26" s="3" t="s">
        <v>36</v>
      </c>
      <c r="M26" s="15" t="s">
        <v>112</v>
      </c>
      <c r="N26" s="320">
        <f>IF(AND('Etape5-Trait.+recyclage déchets'!$B$4=no,OR('Etape5-Trait.+recyclage déchets'!$E$4=no,'Etape5-Trait.+recyclage déchets'!$E$4=yes,'Etape5-Trait.+recyclage déchets'!$E$4="")),K24,0)</f>
        <v>0</v>
      </c>
      <c r="O26" s="3" t="s">
        <v>36</v>
      </c>
      <c r="P26" s="295">
        <v>0.2</v>
      </c>
      <c r="Q26" s="295">
        <v>0.3</v>
      </c>
      <c r="R26" s="295">
        <v>0.2</v>
      </c>
      <c r="S26" s="295"/>
      <c r="T26" s="295">
        <v>0.3</v>
      </c>
      <c r="U26" s="295"/>
      <c r="V26" s="116">
        <f t="shared" si="9"/>
        <v>0</v>
      </c>
      <c r="W26" s="116">
        <f t="shared" si="10"/>
        <v>0</v>
      </c>
      <c r="X26" s="116">
        <f t="shared" si="11"/>
        <v>0</v>
      </c>
      <c r="Y26" s="116">
        <f t="shared" si="12"/>
        <v>0</v>
      </c>
      <c r="Z26" s="116">
        <f t="shared" si="13"/>
        <v>0</v>
      </c>
      <c r="AA26" s="116">
        <f t="shared" si="14"/>
        <v>0</v>
      </c>
      <c r="AB26" s="76"/>
      <c r="AC26" s="25"/>
      <c r="AD26" s="3"/>
    </row>
    <row r="27" spans="2:30" ht="26">
      <c r="B27" s="3"/>
      <c r="C27" s="69" t="s">
        <v>255</v>
      </c>
      <c r="D27" s="111"/>
      <c r="E27" s="3" t="s">
        <v>43</v>
      </c>
      <c r="F27" s="3" t="s">
        <v>110</v>
      </c>
      <c r="G27" s="76" t="s">
        <v>43</v>
      </c>
      <c r="H27" s="3" t="s">
        <v>110</v>
      </c>
      <c r="I27" s="248"/>
      <c r="J27" t="s">
        <v>272</v>
      </c>
      <c r="K27" s="115" t="e">
        <f t="shared" si="8"/>
        <v>#VALUE!</v>
      </c>
      <c r="L27" s="3" t="s">
        <v>36</v>
      </c>
      <c r="M27" s="15" t="s">
        <v>98</v>
      </c>
      <c r="N27" s="320">
        <f>IF(AND('Etape5-Trait.+recyclage déchets'!$B$4=yes,'Etape5-Trait.+recyclage déchets'!$E$4=yes),K24,0)</f>
        <v>0</v>
      </c>
      <c r="O27" s="3" t="s">
        <v>36</v>
      </c>
      <c r="P27" s="295">
        <v>0.1</v>
      </c>
      <c r="Q27" s="295">
        <v>0.3</v>
      </c>
      <c r="R27" s="295"/>
      <c r="S27" s="295"/>
      <c r="T27" s="295">
        <v>0.3</v>
      </c>
      <c r="U27" s="295">
        <v>0.3</v>
      </c>
      <c r="V27" s="116">
        <f t="shared" si="9"/>
        <v>0</v>
      </c>
      <c r="W27" s="116">
        <f t="shared" si="10"/>
        <v>0</v>
      </c>
      <c r="X27" s="116">
        <f t="shared" si="11"/>
        <v>0</v>
      </c>
      <c r="Y27" s="116">
        <f t="shared" si="12"/>
        <v>0</v>
      </c>
      <c r="Z27" s="116">
        <f t="shared" si="13"/>
        <v>0</v>
      </c>
      <c r="AA27" s="116">
        <f t="shared" si="14"/>
        <v>0</v>
      </c>
      <c r="AB27" s="76"/>
      <c r="AC27" s="25"/>
      <c r="AD27" s="3"/>
    </row>
    <row r="28" spans="2:30" ht="26">
      <c r="B28" s="3"/>
      <c r="C28" s="69" t="s">
        <v>256</v>
      </c>
      <c r="D28" s="111"/>
      <c r="E28" s="3" t="s">
        <v>43</v>
      </c>
      <c r="F28" s="3" t="s">
        <v>110</v>
      </c>
      <c r="G28" s="76" t="s">
        <v>43</v>
      </c>
      <c r="H28" s="3" t="s">
        <v>110</v>
      </c>
      <c r="I28" s="248"/>
      <c r="J28" t="s">
        <v>272</v>
      </c>
      <c r="K28" s="115" t="e">
        <f t="shared" si="8"/>
        <v>#VALUE!</v>
      </c>
      <c r="L28" s="3" t="s">
        <v>36</v>
      </c>
      <c r="M28" s="33"/>
      <c r="N28" s="248"/>
      <c r="O28" s="3" t="s">
        <v>36</v>
      </c>
      <c r="P28" s="76"/>
      <c r="Q28" s="76"/>
      <c r="R28" s="76"/>
      <c r="S28" s="179"/>
      <c r="T28" s="76"/>
      <c r="U28" s="76"/>
      <c r="V28" s="116">
        <f t="shared" si="9"/>
        <v>0</v>
      </c>
      <c r="W28" s="116">
        <f t="shared" si="10"/>
        <v>0</v>
      </c>
      <c r="X28" s="116">
        <f t="shared" si="11"/>
        <v>0</v>
      </c>
      <c r="Y28" s="116">
        <f t="shared" si="12"/>
        <v>0</v>
      </c>
      <c r="Z28" s="116">
        <f t="shared" si="13"/>
        <v>0</v>
      </c>
      <c r="AA28" s="116">
        <f t="shared" si="14"/>
        <v>0</v>
      </c>
      <c r="AB28" s="76"/>
      <c r="AC28" s="25"/>
      <c r="AD28" s="3"/>
    </row>
    <row r="29" spans="2:30" ht="13">
      <c r="B29" s="3"/>
      <c r="C29" s="69" t="s">
        <v>257</v>
      </c>
      <c r="D29" s="111"/>
      <c r="E29" s="3" t="s">
        <v>43</v>
      </c>
      <c r="F29" s="3" t="s">
        <v>110</v>
      </c>
      <c r="G29" s="76" t="s">
        <v>43</v>
      </c>
      <c r="H29" s="3" t="s">
        <v>110</v>
      </c>
      <c r="I29" s="248"/>
      <c r="J29" t="s">
        <v>272</v>
      </c>
      <c r="K29" s="115" t="e">
        <f t="shared" si="8"/>
        <v>#VALUE!</v>
      </c>
      <c r="L29" s="3" t="s">
        <v>36</v>
      </c>
      <c r="M29" s="33"/>
      <c r="N29" s="248"/>
      <c r="O29" s="3" t="s">
        <v>36</v>
      </c>
      <c r="P29" s="76"/>
      <c r="Q29" s="76"/>
      <c r="R29" s="76"/>
      <c r="S29" s="179"/>
      <c r="T29" s="76"/>
      <c r="U29" s="76"/>
      <c r="V29" s="116">
        <f t="shared" si="9"/>
        <v>0</v>
      </c>
      <c r="W29" s="116">
        <f t="shared" si="10"/>
        <v>0</v>
      </c>
      <c r="X29" s="116">
        <f t="shared" si="11"/>
        <v>0</v>
      </c>
      <c r="Y29" s="116">
        <f t="shared" si="12"/>
        <v>0</v>
      </c>
      <c r="Z29" s="116">
        <f t="shared" si="13"/>
        <v>0</v>
      </c>
      <c r="AA29" s="116">
        <f t="shared" si="14"/>
        <v>0</v>
      </c>
      <c r="AB29" s="76"/>
      <c r="AC29" s="25"/>
      <c r="AD29" s="3"/>
    </row>
    <row r="30" spans="2:30" ht="13">
      <c r="B30" s="3"/>
      <c r="C30" s="69" t="s">
        <v>258</v>
      </c>
      <c r="D30" s="111"/>
      <c r="E30" s="3" t="s">
        <v>43</v>
      </c>
      <c r="F30" s="3" t="s">
        <v>110</v>
      </c>
      <c r="G30" s="76" t="s">
        <v>43</v>
      </c>
      <c r="H30" s="3" t="s">
        <v>110</v>
      </c>
      <c r="I30" s="248"/>
      <c r="J30" t="s">
        <v>272</v>
      </c>
      <c r="K30" s="115" t="e">
        <f t="shared" si="8"/>
        <v>#VALUE!</v>
      </c>
      <c r="L30" s="3" t="s">
        <v>36</v>
      </c>
      <c r="M30" s="33"/>
      <c r="N30" s="248"/>
      <c r="O30" s="3" t="s">
        <v>36</v>
      </c>
      <c r="P30" s="76"/>
      <c r="Q30" s="76"/>
      <c r="R30" s="76"/>
      <c r="S30" s="179"/>
      <c r="T30" s="76"/>
      <c r="U30" s="76"/>
      <c r="V30" s="116">
        <f t="shared" si="9"/>
        <v>0</v>
      </c>
      <c r="W30" s="116">
        <f t="shared" si="10"/>
        <v>0</v>
      </c>
      <c r="X30" s="116">
        <f t="shared" si="11"/>
        <v>0</v>
      </c>
      <c r="Y30" s="116">
        <f t="shared" si="12"/>
        <v>0</v>
      </c>
      <c r="Z30" s="116">
        <f t="shared" si="13"/>
        <v>0</v>
      </c>
      <c r="AA30" s="116">
        <f t="shared" si="14"/>
        <v>0</v>
      </c>
      <c r="AB30" s="76"/>
      <c r="AC30" s="25"/>
      <c r="AD30" s="3"/>
    </row>
    <row r="31" spans="2:30" ht="13">
      <c r="B31" s="3"/>
      <c r="C31" s="69" t="s">
        <v>259</v>
      </c>
      <c r="D31" s="111"/>
      <c r="E31" s="3" t="s">
        <v>43</v>
      </c>
      <c r="F31" s="3" t="s">
        <v>110</v>
      </c>
      <c r="G31" s="76" t="s">
        <v>43</v>
      </c>
      <c r="H31" s="3" t="s">
        <v>110</v>
      </c>
      <c r="I31" s="248"/>
      <c r="J31" t="s">
        <v>272</v>
      </c>
      <c r="K31" s="115" t="e">
        <f t="shared" si="8"/>
        <v>#VALUE!</v>
      </c>
      <c r="L31" s="3" t="s">
        <v>36</v>
      </c>
      <c r="M31" s="33"/>
      <c r="N31" s="248"/>
      <c r="O31" s="3" t="s">
        <v>36</v>
      </c>
      <c r="P31" s="76"/>
      <c r="Q31" s="76"/>
      <c r="R31" s="76"/>
      <c r="S31" s="179"/>
      <c r="T31" s="76"/>
      <c r="U31" s="76"/>
      <c r="V31" s="116">
        <f t="shared" si="9"/>
        <v>0</v>
      </c>
      <c r="W31" s="116">
        <f t="shared" si="10"/>
        <v>0</v>
      </c>
      <c r="X31" s="116">
        <f t="shared" si="11"/>
        <v>0</v>
      </c>
      <c r="Y31" s="116">
        <f t="shared" si="12"/>
        <v>0</v>
      </c>
      <c r="Z31" s="116">
        <f t="shared" si="13"/>
        <v>0</v>
      </c>
      <c r="AA31" s="116">
        <f t="shared" si="14"/>
        <v>0</v>
      </c>
      <c r="AB31" s="76"/>
      <c r="AC31" s="25"/>
      <c r="AD31" s="3"/>
    </row>
    <row r="32" spans="2:30" ht="13">
      <c r="B32" s="3"/>
      <c r="C32" s="69" t="s">
        <v>260</v>
      </c>
      <c r="D32" s="111"/>
      <c r="E32" s="3" t="s">
        <v>43</v>
      </c>
      <c r="F32" s="3" t="s">
        <v>110</v>
      </c>
      <c r="G32" s="76" t="s">
        <v>43</v>
      </c>
      <c r="H32" s="3" t="s">
        <v>110</v>
      </c>
      <c r="I32" s="248"/>
      <c r="J32" t="s">
        <v>272</v>
      </c>
      <c r="K32" s="115" t="e">
        <f t="shared" si="8"/>
        <v>#VALUE!</v>
      </c>
      <c r="L32" s="3" t="s">
        <v>36</v>
      </c>
      <c r="M32" s="33"/>
      <c r="N32" s="248"/>
      <c r="O32" s="3" t="s">
        <v>36</v>
      </c>
      <c r="P32" s="76"/>
      <c r="Q32" s="76"/>
      <c r="R32" s="76"/>
      <c r="S32" s="179"/>
      <c r="T32" s="76"/>
      <c r="U32" s="76"/>
      <c r="V32" s="116">
        <f t="shared" si="9"/>
        <v>0</v>
      </c>
      <c r="W32" s="116">
        <f t="shared" si="10"/>
        <v>0</v>
      </c>
      <c r="X32" s="116">
        <f t="shared" si="11"/>
        <v>0</v>
      </c>
      <c r="Y32" s="116">
        <f t="shared" si="12"/>
        <v>0</v>
      </c>
      <c r="Z32" s="116">
        <f t="shared" si="13"/>
        <v>0</v>
      </c>
      <c r="AA32" s="116">
        <f t="shared" si="14"/>
        <v>0</v>
      </c>
      <c r="AB32" s="76"/>
      <c r="AC32" s="25"/>
      <c r="AD32" s="3"/>
    </row>
    <row r="33" spans="1:30" ht="13">
      <c r="B33" s="3"/>
      <c r="C33" s="26"/>
      <c r="D33" s="111"/>
      <c r="E33" s="3"/>
      <c r="F33" s="3"/>
      <c r="G33" s="76"/>
      <c r="H33" s="3"/>
      <c r="I33" s="248"/>
      <c r="K33" s="115"/>
      <c r="L33" s="3"/>
      <c r="M33" s="33"/>
      <c r="N33" s="248"/>
      <c r="O33" s="3"/>
      <c r="P33" s="76"/>
      <c r="Q33" s="76"/>
      <c r="R33" s="76"/>
      <c r="S33" s="76"/>
      <c r="T33" s="76"/>
      <c r="U33" s="76"/>
      <c r="V33" s="114"/>
      <c r="W33" s="114"/>
      <c r="X33" s="114"/>
      <c r="Y33" s="114"/>
      <c r="Z33" s="114"/>
      <c r="AA33" s="114"/>
      <c r="AB33" s="76"/>
      <c r="AC33" s="25"/>
      <c r="AD33" s="3"/>
    </row>
    <row r="34" spans="1:30" s="55" customFormat="1" ht="13">
      <c r="B34" s="104"/>
      <c r="C34" s="137"/>
      <c r="D34" s="111"/>
      <c r="E34" s="104"/>
      <c r="G34" s="76"/>
      <c r="I34" s="247"/>
      <c r="K34" s="58"/>
      <c r="L34" s="104"/>
      <c r="M34" s="174"/>
      <c r="N34" s="248"/>
      <c r="O34" s="104"/>
      <c r="P34" s="170"/>
      <c r="Q34" s="170"/>
      <c r="R34" s="170"/>
      <c r="S34" s="170"/>
      <c r="T34" s="170"/>
      <c r="U34" s="170"/>
      <c r="V34" s="114"/>
      <c r="W34" s="114"/>
      <c r="X34" s="114"/>
      <c r="Y34" s="114"/>
      <c r="Z34" s="114"/>
      <c r="AA34" s="114"/>
      <c r="AB34" s="76"/>
    </row>
    <row r="35" spans="1:30" ht="26">
      <c r="B35" s="3" t="s">
        <v>230</v>
      </c>
      <c r="C35" s="26" t="s">
        <v>229</v>
      </c>
      <c r="D35" s="111"/>
      <c r="E35" s="3"/>
      <c r="F35" s="3"/>
      <c r="G35" s="76"/>
      <c r="H35" s="3"/>
      <c r="I35" s="248"/>
      <c r="K35" s="114"/>
      <c r="L35" s="3"/>
      <c r="M35" s="33"/>
      <c r="N35" s="248"/>
      <c r="O35" s="3"/>
      <c r="P35" s="76"/>
      <c r="Q35" s="76"/>
      <c r="R35" s="76"/>
      <c r="S35" s="76"/>
      <c r="T35" s="76"/>
      <c r="U35" s="76"/>
      <c r="V35" s="114">
        <f t="shared" ref="V35:AA35" si="15">SUM(V39:V49)</f>
        <v>0</v>
      </c>
      <c r="W35" s="114">
        <f t="shared" si="15"/>
        <v>0</v>
      </c>
      <c r="X35" s="114">
        <f t="shared" si="15"/>
        <v>0</v>
      </c>
      <c r="Y35" s="114">
        <f>SUM(Y39:Y49)</f>
        <v>0</v>
      </c>
      <c r="Z35" s="114">
        <f t="shared" si="15"/>
        <v>0</v>
      </c>
      <c r="AA35" s="114">
        <f t="shared" si="15"/>
        <v>0</v>
      </c>
      <c r="AB35" s="76"/>
      <c r="AC35" s="25"/>
      <c r="AD35" s="3"/>
    </row>
    <row r="36" spans="1:30" ht="13">
      <c r="B36" s="3"/>
      <c r="C36" s="26"/>
      <c r="D36" s="111"/>
      <c r="E36" s="3"/>
      <c r="F36" s="3"/>
      <c r="G36" s="76"/>
      <c r="H36" s="3"/>
      <c r="I36" s="248"/>
      <c r="K36" s="114"/>
      <c r="L36" s="3"/>
      <c r="M36" s="33"/>
      <c r="N36" s="248"/>
      <c r="O36" s="3"/>
      <c r="P36" s="76"/>
      <c r="Q36" s="76"/>
      <c r="R36" s="76"/>
      <c r="S36" s="76"/>
      <c r="T36" s="76"/>
      <c r="U36" s="76"/>
      <c r="V36" s="114"/>
      <c r="W36" s="114"/>
      <c r="X36" s="114"/>
      <c r="Y36" s="114"/>
      <c r="Z36" s="114"/>
      <c r="AA36" s="114"/>
      <c r="AB36" s="76"/>
      <c r="AC36" s="25"/>
      <c r="AD36" s="3"/>
    </row>
    <row r="37" spans="1:30" ht="26">
      <c r="A37" s="315"/>
      <c r="B37" s="316"/>
      <c r="C37" s="317" t="s">
        <v>398</v>
      </c>
      <c r="D37" s="318"/>
      <c r="E37" s="316"/>
      <c r="F37" s="316"/>
      <c r="G37" s="319">
        <v>0.01</v>
      </c>
      <c r="H37" s="316"/>
      <c r="I37" s="320">
        <f>'Etape6-Produits-substances Hg'!C42</f>
        <v>0</v>
      </c>
      <c r="J37" s="3" t="s">
        <v>117</v>
      </c>
      <c r="K37" s="339">
        <f>(I37*G37/1000)*'Etape6-Produits-substances Hg'!$C$46/100</f>
        <v>0</v>
      </c>
      <c r="L37" s="316"/>
      <c r="M37" s="321"/>
      <c r="N37" s="320">
        <f>K37</f>
        <v>0</v>
      </c>
      <c r="O37" s="316" t="s">
        <v>36</v>
      </c>
      <c r="P37" s="76"/>
      <c r="Q37" s="76">
        <v>0.33</v>
      </c>
      <c r="R37" s="76"/>
      <c r="S37" s="76"/>
      <c r="T37" s="76">
        <v>0.33</v>
      </c>
      <c r="U37" s="76">
        <v>0.34</v>
      </c>
      <c r="V37" s="308">
        <f t="shared" ref="V37:AA39" si="16">$N37*P37</f>
        <v>0</v>
      </c>
      <c r="W37" s="308">
        <f t="shared" si="16"/>
        <v>0</v>
      </c>
      <c r="X37" s="308">
        <f t="shared" si="16"/>
        <v>0</v>
      </c>
      <c r="Y37" s="308">
        <f t="shared" si="16"/>
        <v>0</v>
      </c>
      <c r="Z37" s="308">
        <f t="shared" si="16"/>
        <v>0</v>
      </c>
      <c r="AA37" s="308">
        <f t="shared" si="16"/>
        <v>0</v>
      </c>
      <c r="AB37" s="76"/>
      <c r="AC37" s="25"/>
      <c r="AD37" s="3"/>
    </row>
    <row r="38" spans="1:30" ht="26">
      <c r="A38" s="315"/>
      <c r="B38" s="316"/>
      <c r="C38" s="317" t="s">
        <v>397</v>
      </c>
      <c r="D38" s="318"/>
      <c r="E38" s="316"/>
      <c r="F38" s="316"/>
      <c r="G38" s="319">
        <v>0.04</v>
      </c>
      <c r="H38" s="316"/>
      <c r="I38" s="320">
        <f>'Etape6-Produits-substances Hg'!C42</f>
        <v>0</v>
      </c>
      <c r="J38" s="3" t="s">
        <v>117</v>
      </c>
      <c r="K38" s="339">
        <f>(I38*G38/1000)*'Etape6-Produits-substances Hg'!$C$49/100</f>
        <v>0</v>
      </c>
      <c r="L38" s="316"/>
      <c r="M38" s="321"/>
      <c r="N38" s="320">
        <f>K38</f>
        <v>0</v>
      </c>
      <c r="O38" s="316" t="s">
        <v>36</v>
      </c>
      <c r="P38" s="76"/>
      <c r="Q38" s="76">
        <v>0.33</v>
      </c>
      <c r="R38" s="76"/>
      <c r="S38" s="76"/>
      <c r="T38" s="76">
        <v>0.33</v>
      </c>
      <c r="U38" s="76">
        <v>0.34</v>
      </c>
      <c r="V38" s="308">
        <f t="shared" si="16"/>
        <v>0</v>
      </c>
      <c r="W38" s="308">
        <f t="shared" si="16"/>
        <v>0</v>
      </c>
      <c r="X38" s="308">
        <f t="shared" si="16"/>
        <v>0</v>
      </c>
      <c r="Y38" s="308">
        <f t="shared" si="16"/>
        <v>0</v>
      </c>
      <c r="Z38" s="308">
        <f t="shared" si="16"/>
        <v>0</v>
      </c>
      <c r="AA38" s="308">
        <f t="shared" si="16"/>
        <v>0</v>
      </c>
      <c r="AB38" s="76"/>
      <c r="AC38" s="25"/>
      <c r="AD38" s="3"/>
    </row>
    <row r="39" spans="1:30" ht="13">
      <c r="C39" s="68" t="s">
        <v>261</v>
      </c>
      <c r="D39" s="111"/>
      <c r="E39" s="3" t="s">
        <v>43</v>
      </c>
      <c r="F39" s="3" t="s">
        <v>110</v>
      </c>
      <c r="G39" s="76" t="s">
        <v>43</v>
      </c>
      <c r="H39" s="3" t="s">
        <v>110</v>
      </c>
      <c r="I39" s="248"/>
      <c r="J39" t="s">
        <v>272</v>
      </c>
      <c r="K39" s="115" t="e">
        <f>G39*I39/1000</f>
        <v>#VALUE!</v>
      </c>
      <c r="L39" s="3" t="s">
        <v>36</v>
      </c>
      <c r="M39" s="33"/>
      <c r="N39" s="248"/>
      <c r="O39" s="3" t="s">
        <v>36</v>
      </c>
      <c r="P39" s="76"/>
      <c r="Q39" s="76"/>
      <c r="R39" s="76"/>
      <c r="S39" s="179"/>
      <c r="T39" s="76"/>
      <c r="U39" s="76"/>
      <c r="V39" s="116">
        <f t="shared" si="16"/>
        <v>0</v>
      </c>
      <c r="W39" s="116">
        <f t="shared" si="16"/>
        <v>0</v>
      </c>
      <c r="X39" s="116">
        <f t="shared" si="16"/>
        <v>0</v>
      </c>
      <c r="Y39" s="116">
        <f t="shared" si="16"/>
        <v>0</v>
      </c>
      <c r="Z39" s="116">
        <f t="shared" si="16"/>
        <v>0</v>
      </c>
      <c r="AA39" s="116">
        <f t="shared" si="16"/>
        <v>0</v>
      </c>
      <c r="AB39" s="76"/>
    </row>
    <row r="40" spans="1:30" ht="13">
      <c r="C40" s="68" t="s">
        <v>262</v>
      </c>
      <c r="D40" s="76"/>
      <c r="E40" s="3" t="s">
        <v>43</v>
      </c>
      <c r="F40" s="3" t="s">
        <v>110</v>
      </c>
      <c r="G40" s="76" t="s">
        <v>43</v>
      </c>
      <c r="H40" s="3" t="s">
        <v>110</v>
      </c>
      <c r="I40" s="248"/>
      <c r="J40" t="s">
        <v>272</v>
      </c>
      <c r="K40" s="115" t="e">
        <f t="shared" ref="K40:K49" si="17">G40*I40/1000</f>
        <v>#VALUE!</v>
      </c>
      <c r="L40" s="3" t="s">
        <v>36</v>
      </c>
      <c r="M40" s="33"/>
      <c r="N40" s="248"/>
      <c r="O40" s="3" t="s">
        <v>36</v>
      </c>
      <c r="P40" s="76"/>
      <c r="Q40" s="76"/>
      <c r="R40" s="76"/>
      <c r="S40" s="179"/>
      <c r="T40" s="76"/>
      <c r="U40" s="76"/>
      <c r="V40" s="116">
        <f t="shared" ref="V40:V49" si="18">$N40*P40</f>
        <v>0</v>
      </c>
      <c r="W40" s="116">
        <f t="shared" ref="W40:W49" si="19">$N40*Q40</f>
        <v>0</v>
      </c>
      <c r="X40" s="116">
        <f t="shared" ref="X40:X49" si="20">$N40*R40</f>
        <v>0</v>
      </c>
      <c r="Y40" s="116">
        <f t="shared" ref="Y40:Y49" si="21">$N40*S40</f>
        <v>0</v>
      </c>
      <c r="Z40" s="116">
        <f t="shared" ref="Z40:Z49" si="22">$N40*T40</f>
        <v>0</v>
      </c>
      <c r="AA40" s="116">
        <f t="shared" ref="AA40:AA49" si="23">$N40*U40</f>
        <v>0</v>
      </c>
      <c r="AB40" s="76"/>
    </row>
    <row r="41" spans="1:30" ht="13">
      <c r="C41" s="68" t="s">
        <v>263</v>
      </c>
      <c r="D41" s="76"/>
      <c r="E41" s="3" t="s">
        <v>43</v>
      </c>
      <c r="F41" s="3" t="s">
        <v>110</v>
      </c>
      <c r="G41" s="76" t="s">
        <v>43</v>
      </c>
      <c r="H41" s="3" t="s">
        <v>110</v>
      </c>
      <c r="I41" s="248"/>
      <c r="J41" t="s">
        <v>272</v>
      </c>
      <c r="K41" s="115" t="e">
        <f t="shared" si="17"/>
        <v>#VALUE!</v>
      </c>
      <c r="L41" s="3" t="s">
        <v>36</v>
      </c>
      <c r="M41" s="33"/>
      <c r="N41" s="248"/>
      <c r="O41" s="3" t="s">
        <v>36</v>
      </c>
      <c r="P41" s="76"/>
      <c r="Q41" s="76"/>
      <c r="R41" s="76"/>
      <c r="S41" s="179"/>
      <c r="T41" s="76"/>
      <c r="U41" s="76"/>
      <c r="V41" s="116">
        <f t="shared" si="18"/>
        <v>0</v>
      </c>
      <c r="W41" s="116">
        <f t="shared" si="19"/>
        <v>0</v>
      </c>
      <c r="X41" s="116">
        <f t="shared" si="20"/>
        <v>0</v>
      </c>
      <c r="Y41" s="116">
        <f t="shared" si="21"/>
        <v>0</v>
      </c>
      <c r="Z41" s="116">
        <f t="shared" si="22"/>
        <v>0</v>
      </c>
      <c r="AA41" s="116">
        <f t="shared" si="23"/>
        <v>0</v>
      </c>
      <c r="AB41" s="76"/>
    </row>
    <row r="42" spans="1:30" ht="13">
      <c r="C42" s="68" t="s">
        <v>264</v>
      </c>
      <c r="D42" s="76"/>
      <c r="E42" s="3" t="s">
        <v>43</v>
      </c>
      <c r="F42" s="3" t="s">
        <v>110</v>
      </c>
      <c r="G42" s="76" t="s">
        <v>43</v>
      </c>
      <c r="H42" s="3" t="s">
        <v>110</v>
      </c>
      <c r="I42" s="248"/>
      <c r="J42" t="s">
        <v>272</v>
      </c>
      <c r="K42" s="115" t="e">
        <f t="shared" si="17"/>
        <v>#VALUE!</v>
      </c>
      <c r="L42" s="3" t="s">
        <v>36</v>
      </c>
      <c r="M42" s="33"/>
      <c r="N42" s="248"/>
      <c r="O42" s="3" t="s">
        <v>36</v>
      </c>
      <c r="P42" s="76"/>
      <c r="Q42" s="76"/>
      <c r="R42" s="76"/>
      <c r="S42" s="179"/>
      <c r="T42" s="76"/>
      <c r="U42" s="76"/>
      <c r="V42" s="116">
        <f t="shared" si="18"/>
        <v>0</v>
      </c>
      <c r="W42" s="116">
        <f t="shared" si="19"/>
        <v>0</v>
      </c>
      <c r="X42" s="116">
        <f t="shared" si="20"/>
        <v>0</v>
      </c>
      <c r="Y42" s="116">
        <f t="shared" si="21"/>
        <v>0</v>
      </c>
      <c r="Z42" s="116">
        <f t="shared" si="22"/>
        <v>0</v>
      </c>
      <c r="AA42" s="116">
        <f t="shared" si="23"/>
        <v>0</v>
      </c>
      <c r="AB42" s="76"/>
    </row>
    <row r="43" spans="1:30" ht="13">
      <c r="C43" s="68" t="s">
        <v>265</v>
      </c>
      <c r="D43" s="76"/>
      <c r="E43" s="3" t="s">
        <v>43</v>
      </c>
      <c r="F43" s="3" t="s">
        <v>110</v>
      </c>
      <c r="G43" s="76" t="s">
        <v>43</v>
      </c>
      <c r="H43" s="3" t="s">
        <v>110</v>
      </c>
      <c r="I43" s="248"/>
      <c r="J43" t="s">
        <v>272</v>
      </c>
      <c r="K43" s="115" t="e">
        <f t="shared" si="17"/>
        <v>#VALUE!</v>
      </c>
      <c r="L43" s="3" t="s">
        <v>36</v>
      </c>
      <c r="M43" s="33"/>
      <c r="N43" s="248"/>
      <c r="O43" s="3" t="s">
        <v>36</v>
      </c>
      <c r="P43" s="76"/>
      <c r="Q43" s="76"/>
      <c r="R43" s="76"/>
      <c r="S43" s="179"/>
      <c r="T43" s="76"/>
      <c r="U43" s="76"/>
      <c r="V43" s="116">
        <f t="shared" si="18"/>
        <v>0</v>
      </c>
      <c r="W43" s="116">
        <f t="shared" si="19"/>
        <v>0</v>
      </c>
      <c r="X43" s="116">
        <f t="shared" si="20"/>
        <v>0</v>
      </c>
      <c r="Y43" s="116">
        <f t="shared" si="21"/>
        <v>0</v>
      </c>
      <c r="Z43" s="116">
        <f t="shared" si="22"/>
        <v>0</v>
      </c>
      <c r="AA43" s="116">
        <f t="shared" si="23"/>
        <v>0</v>
      </c>
      <c r="AB43" s="76"/>
    </row>
    <row r="44" spans="1:30" ht="13">
      <c r="C44" s="68" t="s">
        <v>266</v>
      </c>
      <c r="D44" s="76"/>
      <c r="E44" s="3" t="s">
        <v>43</v>
      </c>
      <c r="F44" s="3" t="s">
        <v>110</v>
      </c>
      <c r="G44" s="76" t="s">
        <v>43</v>
      </c>
      <c r="H44" s="3" t="s">
        <v>110</v>
      </c>
      <c r="I44" s="248"/>
      <c r="J44" t="s">
        <v>272</v>
      </c>
      <c r="K44" s="115" t="e">
        <f t="shared" si="17"/>
        <v>#VALUE!</v>
      </c>
      <c r="L44" s="3" t="s">
        <v>36</v>
      </c>
      <c r="M44" s="33"/>
      <c r="N44" s="248"/>
      <c r="O44" s="3" t="s">
        <v>36</v>
      </c>
      <c r="P44" s="76"/>
      <c r="Q44" s="76"/>
      <c r="R44" s="76"/>
      <c r="S44" s="179"/>
      <c r="T44" s="76"/>
      <c r="U44" s="76"/>
      <c r="V44" s="116">
        <f t="shared" si="18"/>
        <v>0</v>
      </c>
      <c r="W44" s="116">
        <f t="shared" si="19"/>
        <v>0</v>
      </c>
      <c r="X44" s="116">
        <f t="shared" si="20"/>
        <v>0</v>
      </c>
      <c r="Y44" s="116">
        <f t="shared" si="21"/>
        <v>0</v>
      </c>
      <c r="Z44" s="116">
        <f t="shared" si="22"/>
        <v>0</v>
      </c>
      <c r="AA44" s="116">
        <f t="shared" si="23"/>
        <v>0</v>
      </c>
      <c r="AB44" s="76"/>
    </row>
    <row r="45" spans="1:30" ht="13">
      <c r="C45" s="68" t="s">
        <v>267</v>
      </c>
      <c r="D45" s="111"/>
      <c r="E45" s="3" t="s">
        <v>43</v>
      </c>
      <c r="F45" s="3" t="s">
        <v>110</v>
      </c>
      <c r="G45" s="76" t="s">
        <v>43</v>
      </c>
      <c r="H45" s="3" t="s">
        <v>110</v>
      </c>
      <c r="I45" s="248"/>
      <c r="J45" t="s">
        <v>272</v>
      </c>
      <c r="K45" s="115" t="e">
        <f t="shared" si="17"/>
        <v>#VALUE!</v>
      </c>
      <c r="L45" s="3" t="s">
        <v>36</v>
      </c>
      <c r="M45" s="33"/>
      <c r="N45" s="248"/>
      <c r="O45" s="3" t="s">
        <v>36</v>
      </c>
      <c r="P45" s="76"/>
      <c r="Q45" s="76"/>
      <c r="R45" s="76"/>
      <c r="S45" s="179"/>
      <c r="T45" s="76"/>
      <c r="U45" s="76"/>
      <c r="V45" s="116">
        <f t="shared" si="18"/>
        <v>0</v>
      </c>
      <c r="W45" s="116">
        <f t="shared" si="19"/>
        <v>0</v>
      </c>
      <c r="X45" s="116">
        <f t="shared" si="20"/>
        <v>0</v>
      </c>
      <c r="Y45" s="116">
        <f t="shared" si="21"/>
        <v>0</v>
      </c>
      <c r="Z45" s="116">
        <f t="shared" si="22"/>
        <v>0</v>
      </c>
      <c r="AA45" s="116">
        <f t="shared" si="23"/>
        <v>0</v>
      </c>
      <c r="AB45" s="76"/>
    </row>
    <row r="46" spans="1:30" ht="13">
      <c r="C46" s="68" t="s">
        <v>268</v>
      </c>
      <c r="D46" s="111"/>
      <c r="E46" s="3" t="s">
        <v>43</v>
      </c>
      <c r="F46" s="3" t="s">
        <v>110</v>
      </c>
      <c r="G46" s="76" t="s">
        <v>43</v>
      </c>
      <c r="H46" s="3" t="s">
        <v>110</v>
      </c>
      <c r="I46" s="248"/>
      <c r="J46" t="s">
        <v>272</v>
      </c>
      <c r="K46" s="115" t="e">
        <f t="shared" si="17"/>
        <v>#VALUE!</v>
      </c>
      <c r="L46" s="3" t="s">
        <v>36</v>
      </c>
      <c r="M46" s="33"/>
      <c r="N46" s="248"/>
      <c r="O46" s="3" t="s">
        <v>36</v>
      </c>
      <c r="P46" s="76"/>
      <c r="Q46" s="76"/>
      <c r="R46" s="76"/>
      <c r="S46" s="179"/>
      <c r="T46" s="76"/>
      <c r="U46" s="76"/>
      <c r="V46" s="116">
        <f t="shared" si="18"/>
        <v>0</v>
      </c>
      <c r="W46" s="116">
        <f t="shared" si="19"/>
        <v>0</v>
      </c>
      <c r="X46" s="116">
        <f t="shared" si="20"/>
        <v>0</v>
      </c>
      <c r="Y46" s="116">
        <f t="shared" si="21"/>
        <v>0</v>
      </c>
      <c r="Z46" s="116">
        <f t="shared" si="22"/>
        <v>0</v>
      </c>
      <c r="AA46" s="116">
        <f t="shared" si="23"/>
        <v>0</v>
      </c>
      <c r="AB46" s="76"/>
    </row>
    <row r="47" spans="1:30" ht="13">
      <c r="C47" s="68" t="s">
        <v>269</v>
      </c>
      <c r="D47" s="76"/>
      <c r="E47" s="3" t="s">
        <v>43</v>
      </c>
      <c r="F47" s="3" t="s">
        <v>110</v>
      </c>
      <c r="G47" s="76" t="s">
        <v>43</v>
      </c>
      <c r="H47" s="3" t="s">
        <v>110</v>
      </c>
      <c r="I47" s="248"/>
      <c r="J47" t="s">
        <v>272</v>
      </c>
      <c r="K47" s="115" t="e">
        <f t="shared" si="17"/>
        <v>#VALUE!</v>
      </c>
      <c r="L47" s="3" t="s">
        <v>36</v>
      </c>
      <c r="M47" s="33"/>
      <c r="N47" s="248"/>
      <c r="O47" s="3" t="s">
        <v>36</v>
      </c>
      <c r="P47" s="76"/>
      <c r="Q47" s="76"/>
      <c r="R47" s="76"/>
      <c r="S47" s="179"/>
      <c r="T47" s="76"/>
      <c r="U47" s="76"/>
      <c r="V47" s="116">
        <f t="shared" si="18"/>
        <v>0</v>
      </c>
      <c r="W47" s="116">
        <f t="shared" si="19"/>
        <v>0</v>
      </c>
      <c r="X47" s="116">
        <f t="shared" si="20"/>
        <v>0</v>
      </c>
      <c r="Y47" s="116">
        <f t="shared" si="21"/>
        <v>0</v>
      </c>
      <c r="Z47" s="116">
        <f t="shared" si="22"/>
        <v>0</v>
      </c>
      <c r="AA47" s="116">
        <f t="shared" si="23"/>
        <v>0</v>
      </c>
      <c r="AB47" s="76"/>
    </row>
    <row r="48" spans="1:30" ht="26">
      <c r="C48" s="68" t="s">
        <v>270</v>
      </c>
      <c r="D48" s="76"/>
      <c r="E48" s="3" t="s">
        <v>43</v>
      </c>
      <c r="F48" s="3" t="s">
        <v>110</v>
      </c>
      <c r="G48" s="76" t="s">
        <v>43</v>
      </c>
      <c r="H48" s="3" t="s">
        <v>110</v>
      </c>
      <c r="I48" s="248"/>
      <c r="J48" t="s">
        <v>272</v>
      </c>
      <c r="K48" s="115" t="e">
        <f t="shared" si="17"/>
        <v>#VALUE!</v>
      </c>
      <c r="L48" s="3" t="s">
        <v>36</v>
      </c>
      <c r="M48" s="33"/>
      <c r="N48" s="248"/>
      <c r="O48" s="3" t="s">
        <v>36</v>
      </c>
      <c r="P48" s="76"/>
      <c r="Q48" s="76"/>
      <c r="R48" s="76"/>
      <c r="S48" s="179"/>
      <c r="T48" s="76"/>
      <c r="U48" s="76"/>
      <c r="V48" s="116">
        <f t="shared" si="18"/>
        <v>0</v>
      </c>
      <c r="W48" s="116">
        <f t="shared" si="19"/>
        <v>0</v>
      </c>
      <c r="X48" s="116">
        <f t="shared" si="20"/>
        <v>0</v>
      </c>
      <c r="Y48" s="116">
        <f t="shared" si="21"/>
        <v>0</v>
      </c>
      <c r="Z48" s="116">
        <f t="shared" si="22"/>
        <v>0</v>
      </c>
      <c r="AA48" s="116">
        <f t="shared" si="23"/>
        <v>0</v>
      </c>
      <c r="AB48" s="76"/>
    </row>
    <row r="49" spans="2:30" ht="26">
      <c r="C49" s="68" t="s">
        <v>271</v>
      </c>
      <c r="D49" s="76"/>
      <c r="E49" s="3" t="s">
        <v>43</v>
      </c>
      <c r="F49" s="3" t="s">
        <v>110</v>
      </c>
      <c r="G49" s="76" t="s">
        <v>43</v>
      </c>
      <c r="H49" s="3" t="s">
        <v>110</v>
      </c>
      <c r="I49" s="248"/>
      <c r="J49" t="s">
        <v>272</v>
      </c>
      <c r="K49" s="115" t="e">
        <f t="shared" si="17"/>
        <v>#VALUE!</v>
      </c>
      <c r="L49" s="3" t="s">
        <v>36</v>
      </c>
      <c r="M49" s="33"/>
      <c r="N49" s="248"/>
      <c r="O49" s="3" t="s">
        <v>36</v>
      </c>
      <c r="P49" s="76"/>
      <c r="Q49" s="76"/>
      <c r="R49" s="76"/>
      <c r="S49" s="179"/>
      <c r="T49" s="76"/>
      <c r="U49" s="76"/>
      <c r="V49" s="116">
        <f t="shared" si="18"/>
        <v>0</v>
      </c>
      <c r="W49" s="116">
        <f t="shared" si="19"/>
        <v>0</v>
      </c>
      <c r="X49" s="116">
        <f t="shared" si="20"/>
        <v>0</v>
      </c>
      <c r="Y49" s="116">
        <f t="shared" si="21"/>
        <v>0</v>
      </c>
      <c r="Z49" s="116">
        <f t="shared" si="22"/>
        <v>0</v>
      </c>
      <c r="AA49" s="116">
        <f t="shared" si="23"/>
        <v>0</v>
      </c>
      <c r="AB49" s="76"/>
    </row>
    <row r="50" spans="2:30" s="55" customFormat="1" ht="13">
      <c r="B50" s="104"/>
      <c r="C50" s="175"/>
      <c r="D50" s="111"/>
      <c r="E50" s="104"/>
      <c r="F50" s="104"/>
      <c r="G50" s="76"/>
      <c r="H50" s="104"/>
      <c r="I50" s="248"/>
      <c r="J50" s="104"/>
      <c r="K50" s="168"/>
      <c r="L50" s="104"/>
      <c r="M50" s="164"/>
      <c r="N50" s="248"/>
      <c r="O50" s="104"/>
      <c r="P50" s="167"/>
      <c r="Q50" s="167"/>
      <c r="R50" s="167"/>
      <c r="S50" s="167"/>
      <c r="T50" s="167"/>
      <c r="U50" s="170"/>
      <c r="V50" s="116"/>
      <c r="W50" s="116"/>
      <c r="X50" s="116"/>
      <c r="Y50" s="116"/>
      <c r="Z50" s="116"/>
      <c r="AA50" s="116"/>
      <c r="AB50" s="76"/>
    </row>
    <row r="51" spans="2:30" ht="29">
      <c r="B51" s="3" t="s">
        <v>233</v>
      </c>
      <c r="C51" s="71" t="s">
        <v>231</v>
      </c>
      <c r="D51" s="111"/>
      <c r="E51" s="3" t="s">
        <v>43</v>
      </c>
      <c r="F51" s="3" t="s">
        <v>43</v>
      </c>
      <c r="G51" s="76" t="s">
        <v>43</v>
      </c>
      <c r="H51" s="3" t="s">
        <v>43</v>
      </c>
      <c r="I51" s="248"/>
      <c r="J51" t="s">
        <v>43</v>
      </c>
      <c r="K51" s="169" t="s">
        <v>43</v>
      </c>
      <c r="L51" s="3" t="s">
        <v>36</v>
      </c>
      <c r="M51" s="33"/>
      <c r="N51" s="248"/>
      <c r="O51" s="3" t="s">
        <v>36</v>
      </c>
      <c r="P51" s="76"/>
      <c r="Q51" s="76"/>
      <c r="R51" s="76"/>
      <c r="S51" s="76"/>
      <c r="T51" s="76"/>
      <c r="U51" s="76"/>
      <c r="V51" s="114">
        <f t="shared" ref="V51:AA51" si="24">$N51*P51</f>
        <v>0</v>
      </c>
      <c r="W51" s="114">
        <f t="shared" si="24"/>
        <v>0</v>
      </c>
      <c r="X51" s="114">
        <f t="shared" si="24"/>
        <v>0</v>
      </c>
      <c r="Y51" s="114">
        <f t="shared" si="24"/>
        <v>0</v>
      </c>
      <c r="Z51" s="114">
        <f t="shared" si="24"/>
        <v>0</v>
      </c>
      <c r="AA51" s="114">
        <f t="shared" si="24"/>
        <v>0</v>
      </c>
      <c r="AB51" s="76"/>
      <c r="AC51" s="25"/>
      <c r="AD51" s="3"/>
    </row>
    <row r="52" spans="2:30" s="55" customFormat="1" ht="14.5">
      <c r="B52" s="104"/>
      <c r="C52" s="176"/>
      <c r="D52" s="111"/>
      <c r="E52" s="104"/>
      <c r="F52" s="104"/>
      <c r="G52" s="76"/>
      <c r="H52" s="104"/>
      <c r="I52" s="248"/>
      <c r="K52" s="115"/>
      <c r="L52" s="104"/>
      <c r="M52" s="138"/>
      <c r="N52" s="248"/>
      <c r="O52" s="104"/>
      <c r="P52" s="76"/>
      <c r="Q52" s="76"/>
      <c r="R52" s="76"/>
      <c r="S52" s="76"/>
      <c r="T52" s="76"/>
      <c r="U52" s="76"/>
      <c r="V52" s="114"/>
      <c r="W52" s="114"/>
      <c r="X52" s="114"/>
      <c r="Y52" s="114"/>
      <c r="Z52" s="114"/>
      <c r="AA52" s="114"/>
      <c r="AB52" s="76"/>
      <c r="AC52" s="177"/>
      <c r="AD52" s="104"/>
    </row>
    <row r="53" spans="2:30" ht="28">
      <c r="B53" s="3" t="s">
        <v>234</v>
      </c>
      <c r="C53" s="72" t="s">
        <v>232</v>
      </c>
      <c r="D53" s="111"/>
      <c r="E53" s="3"/>
      <c r="F53" s="3"/>
      <c r="G53" s="76"/>
      <c r="H53" s="3"/>
      <c r="I53" s="248"/>
      <c r="K53" s="114"/>
      <c r="L53" s="3"/>
      <c r="M53" s="33"/>
      <c r="N53" s="248"/>
      <c r="O53" s="3"/>
      <c r="P53" s="76"/>
      <c r="Q53" s="76"/>
      <c r="R53" s="76"/>
      <c r="S53" s="76"/>
      <c r="T53" s="76"/>
      <c r="U53" s="76"/>
      <c r="V53" s="114">
        <f t="shared" ref="V53:AA53" si="25">SUM(V54:V70)</f>
        <v>0</v>
      </c>
      <c r="W53" s="114">
        <f t="shared" si="25"/>
        <v>0</v>
      </c>
      <c r="X53" s="114">
        <f t="shared" si="25"/>
        <v>0</v>
      </c>
      <c r="Y53" s="114">
        <f>SUM(Y54:Y70)</f>
        <v>0</v>
      </c>
      <c r="Z53" s="114">
        <f t="shared" si="25"/>
        <v>0</v>
      </c>
      <c r="AA53" s="114">
        <f t="shared" si="25"/>
        <v>0</v>
      </c>
      <c r="AB53" s="76"/>
      <c r="AC53" s="25"/>
      <c r="AD53" s="3"/>
    </row>
    <row r="54" spans="2:30" ht="14">
      <c r="B54" s="3"/>
      <c r="C54" s="73" t="s">
        <v>235</v>
      </c>
      <c r="D54" s="111"/>
      <c r="E54" s="3" t="s">
        <v>43</v>
      </c>
      <c r="F54" s="3" t="s">
        <v>43</v>
      </c>
      <c r="G54" s="76" t="s">
        <v>43</v>
      </c>
      <c r="H54" s="3" t="s">
        <v>43</v>
      </c>
      <c r="I54" s="248"/>
      <c r="J54" t="s">
        <v>43</v>
      </c>
      <c r="K54" s="115" t="s">
        <v>43</v>
      </c>
      <c r="L54" s="3" t="s">
        <v>36</v>
      </c>
      <c r="M54" s="33"/>
      <c r="N54" s="248"/>
      <c r="O54" s="3" t="s">
        <v>36</v>
      </c>
      <c r="P54" s="76"/>
      <c r="Q54" s="76"/>
      <c r="R54" s="76"/>
      <c r="S54" s="179"/>
      <c r="T54" s="76"/>
      <c r="U54" s="76"/>
      <c r="V54" s="116">
        <f t="shared" ref="V54:AA54" si="26">$N54*P54</f>
        <v>0</v>
      </c>
      <c r="W54" s="116">
        <f t="shared" si="26"/>
        <v>0</v>
      </c>
      <c r="X54" s="116">
        <f t="shared" si="26"/>
        <v>0</v>
      </c>
      <c r="Y54" s="116">
        <f t="shared" si="26"/>
        <v>0</v>
      </c>
      <c r="Z54" s="116">
        <f t="shared" si="26"/>
        <v>0</v>
      </c>
      <c r="AA54" s="116">
        <f t="shared" si="26"/>
        <v>0</v>
      </c>
      <c r="AB54" s="76"/>
    </row>
    <row r="55" spans="2:30" ht="14">
      <c r="B55" s="3"/>
      <c r="C55" s="73" t="s">
        <v>236</v>
      </c>
      <c r="D55" s="111"/>
      <c r="E55" s="3" t="s">
        <v>43</v>
      </c>
      <c r="F55" s="3" t="s">
        <v>43</v>
      </c>
      <c r="G55" s="76" t="s">
        <v>43</v>
      </c>
      <c r="H55" s="3" t="s">
        <v>43</v>
      </c>
      <c r="I55" s="248"/>
      <c r="J55" t="s">
        <v>43</v>
      </c>
      <c r="K55" s="115" t="s">
        <v>43</v>
      </c>
      <c r="L55" s="3" t="s">
        <v>36</v>
      </c>
      <c r="M55" s="33"/>
      <c r="N55" s="248"/>
      <c r="O55" s="3" t="s">
        <v>36</v>
      </c>
      <c r="P55" s="76"/>
      <c r="Q55" s="76"/>
      <c r="R55" s="76"/>
      <c r="S55" s="179"/>
      <c r="T55" s="76"/>
      <c r="U55" s="76"/>
      <c r="V55" s="116">
        <f t="shared" ref="V55:V69" si="27">$N55*P55</f>
        <v>0</v>
      </c>
      <c r="W55" s="116">
        <f t="shared" ref="W55:W69" si="28">$N55*Q55</f>
        <v>0</v>
      </c>
      <c r="X55" s="116">
        <f t="shared" ref="X55:Y69" si="29">$N55*R55</f>
        <v>0</v>
      </c>
      <c r="Y55" s="116">
        <f t="shared" si="29"/>
        <v>0</v>
      </c>
      <c r="Z55" s="116">
        <f t="shared" ref="Z55:Z69" si="30">$N55*T55</f>
        <v>0</v>
      </c>
      <c r="AA55" s="116">
        <f t="shared" ref="AA55:AA69" si="31">$N55*U55</f>
        <v>0</v>
      </c>
      <c r="AB55" s="76"/>
    </row>
    <row r="56" spans="2:30" ht="14">
      <c r="B56" s="3"/>
      <c r="C56" s="73" t="s">
        <v>237</v>
      </c>
      <c r="D56" s="111"/>
      <c r="E56" s="3" t="s">
        <v>43</v>
      </c>
      <c r="F56" s="3" t="s">
        <v>43</v>
      </c>
      <c r="G56" s="76" t="s">
        <v>43</v>
      </c>
      <c r="H56" s="3" t="s">
        <v>43</v>
      </c>
      <c r="I56" s="248"/>
      <c r="J56" t="s">
        <v>43</v>
      </c>
      <c r="K56" s="115" t="s">
        <v>43</v>
      </c>
      <c r="L56" s="3" t="s">
        <v>36</v>
      </c>
      <c r="M56" s="33"/>
      <c r="N56" s="248"/>
      <c r="O56" s="3" t="s">
        <v>36</v>
      </c>
      <c r="P56" s="76"/>
      <c r="Q56" s="76"/>
      <c r="R56" s="76"/>
      <c r="S56" s="179"/>
      <c r="T56" s="76"/>
      <c r="U56" s="76"/>
      <c r="V56" s="116">
        <f t="shared" si="27"/>
        <v>0</v>
      </c>
      <c r="W56" s="116">
        <f t="shared" si="28"/>
        <v>0</v>
      </c>
      <c r="X56" s="116">
        <f t="shared" si="29"/>
        <v>0</v>
      </c>
      <c r="Y56" s="116">
        <f t="shared" si="29"/>
        <v>0</v>
      </c>
      <c r="Z56" s="116">
        <f t="shared" si="30"/>
        <v>0</v>
      </c>
      <c r="AA56" s="116">
        <f t="shared" si="31"/>
        <v>0</v>
      </c>
      <c r="AB56" s="76"/>
    </row>
    <row r="57" spans="2:30" ht="14">
      <c r="B57" s="3"/>
      <c r="C57" s="73" t="s">
        <v>238</v>
      </c>
      <c r="D57" s="111"/>
      <c r="E57" s="3" t="s">
        <v>43</v>
      </c>
      <c r="F57" s="3" t="s">
        <v>43</v>
      </c>
      <c r="G57" s="76" t="s">
        <v>43</v>
      </c>
      <c r="H57" s="3" t="s">
        <v>43</v>
      </c>
      <c r="I57" s="248"/>
      <c r="J57" t="s">
        <v>43</v>
      </c>
      <c r="K57" s="115" t="s">
        <v>43</v>
      </c>
      <c r="L57" s="3" t="s">
        <v>36</v>
      </c>
      <c r="M57" s="33"/>
      <c r="N57" s="248"/>
      <c r="O57" s="3" t="s">
        <v>36</v>
      </c>
      <c r="P57" s="76"/>
      <c r="Q57" s="76"/>
      <c r="R57" s="76"/>
      <c r="S57" s="179"/>
      <c r="T57" s="76"/>
      <c r="U57" s="76"/>
      <c r="V57" s="116">
        <f t="shared" si="27"/>
        <v>0</v>
      </c>
      <c r="W57" s="116">
        <f t="shared" si="28"/>
        <v>0</v>
      </c>
      <c r="X57" s="116">
        <f t="shared" si="29"/>
        <v>0</v>
      </c>
      <c r="Y57" s="116">
        <f t="shared" si="29"/>
        <v>0</v>
      </c>
      <c r="Z57" s="116">
        <f t="shared" si="30"/>
        <v>0</v>
      </c>
      <c r="AA57" s="116">
        <f t="shared" si="31"/>
        <v>0</v>
      </c>
      <c r="AB57" s="76"/>
    </row>
    <row r="58" spans="2:30" ht="14">
      <c r="B58" s="3"/>
      <c r="C58" s="73" t="s">
        <v>239</v>
      </c>
      <c r="D58" s="111"/>
      <c r="E58" s="3" t="s">
        <v>43</v>
      </c>
      <c r="F58" s="3" t="s">
        <v>43</v>
      </c>
      <c r="G58" s="76" t="s">
        <v>43</v>
      </c>
      <c r="H58" s="3" t="s">
        <v>43</v>
      </c>
      <c r="I58" s="248"/>
      <c r="J58" t="s">
        <v>43</v>
      </c>
      <c r="K58" s="115" t="s">
        <v>43</v>
      </c>
      <c r="L58" s="3" t="s">
        <v>36</v>
      </c>
      <c r="M58" s="33"/>
      <c r="N58" s="248"/>
      <c r="O58" s="3" t="s">
        <v>36</v>
      </c>
      <c r="P58" s="76"/>
      <c r="Q58" s="76"/>
      <c r="R58" s="76"/>
      <c r="S58" s="179"/>
      <c r="T58" s="76"/>
      <c r="U58" s="76"/>
      <c r="V58" s="116">
        <f t="shared" si="27"/>
        <v>0</v>
      </c>
      <c r="W58" s="116">
        <f t="shared" si="28"/>
        <v>0</v>
      </c>
      <c r="X58" s="116">
        <f t="shared" si="29"/>
        <v>0</v>
      </c>
      <c r="Y58" s="116">
        <f t="shared" si="29"/>
        <v>0</v>
      </c>
      <c r="Z58" s="116">
        <f t="shared" si="30"/>
        <v>0</v>
      </c>
      <c r="AA58" s="116">
        <f t="shared" si="31"/>
        <v>0</v>
      </c>
      <c r="AB58" s="76"/>
    </row>
    <row r="59" spans="2:30" ht="28">
      <c r="B59" s="3"/>
      <c r="C59" s="73" t="s">
        <v>240</v>
      </c>
      <c r="D59" s="111"/>
      <c r="E59" s="3" t="s">
        <v>43</v>
      </c>
      <c r="F59" s="3" t="s">
        <v>43</v>
      </c>
      <c r="G59" s="76" t="s">
        <v>43</v>
      </c>
      <c r="H59" s="3" t="s">
        <v>43</v>
      </c>
      <c r="I59" s="248"/>
      <c r="J59" t="s">
        <v>43</v>
      </c>
      <c r="K59" s="115" t="s">
        <v>43</v>
      </c>
      <c r="L59" s="3" t="s">
        <v>36</v>
      </c>
      <c r="M59" s="33"/>
      <c r="N59" s="248"/>
      <c r="O59" s="3" t="s">
        <v>36</v>
      </c>
      <c r="P59" s="76"/>
      <c r="Q59" s="76"/>
      <c r="R59" s="76"/>
      <c r="S59" s="179"/>
      <c r="T59" s="76"/>
      <c r="U59" s="76"/>
      <c r="V59" s="116">
        <f t="shared" si="27"/>
        <v>0</v>
      </c>
      <c r="W59" s="116">
        <f t="shared" si="28"/>
        <v>0</v>
      </c>
      <c r="X59" s="116">
        <f t="shared" si="29"/>
        <v>0</v>
      </c>
      <c r="Y59" s="116">
        <f t="shared" si="29"/>
        <v>0</v>
      </c>
      <c r="Z59" s="116">
        <f t="shared" si="30"/>
        <v>0</v>
      </c>
      <c r="AA59" s="116">
        <f t="shared" si="31"/>
        <v>0</v>
      </c>
      <c r="AB59" s="76"/>
    </row>
    <row r="60" spans="2:30" ht="28">
      <c r="B60" s="3"/>
      <c r="C60" s="73" t="s">
        <v>241</v>
      </c>
      <c r="D60" s="111"/>
      <c r="E60" s="3" t="s">
        <v>43</v>
      </c>
      <c r="F60" s="3" t="s">
        <v>43</v>
      </c>
      <c r="G60" s="76" t="s">
        <v>43</v>
      </c>
      <c r="H60" s="3" t="s">
        <v>43</v>
      </c>
      <c r="I60" s="248"/>
      <c r="J60" t="s">
        <v>43</v>
      </c>
      <c r="K60" s="115" t="s">
        <v>43</v>
      </c>
      <c r="L60" s="3" t="s">
        <v>36</v>
      </c>
      <c r="M60" s="33"/>
      <c r="N60" s="248"/>
      <c r="O60" s="3" t="s">
        <v>36</v>
      </c>
      <c r="P60" s="76"/>
      <c r="Q60" s="76"/>
      <c r="R60" s="76"/>
      <c r="S60" s="179"/>
      <c r="T60" s="76"/>
      <c r="U60" s="76"/>
      <c r="V60" s="116">
        <f t="shared" si="27"/>
        <v>0</v>
      </c>
      <c r="W60" s="116">
        <f t="shared" si="28"/>
        <v>0</v>
      </c>
      <c r="X60" s="116">
        <f t="shared" si="29"/>
        <v>0</v>
      </c>
      <c r="Y60" s="116">
        <f t="shared" si="29"/>
        <v>0</v>
      </c>
      <c r="Z60" s="116">
        <f t="shared" si="30"/>
        <v>0</v>
      </c>
      <c r="AA60" s="116">
        <f t="shared" si="31"/>
        <v>0</v>
      </c>
      <c r="AB60" s="76"/>
    </row>
    <row r="61" spans="2:30" ht="42">
      <c r="B61" s="3"/>
      <c r="C61" s="73" t="s">
        <v>242</v>
      </c>
      <c r="D61" s="111"/>
      <c r="E61" s="3" t="s">
        <v>43</v>
      </c>
      <c r="F61" s="3" t="s">
        <v>43</v>
      </c>
      <c r="G61" s="76" t="s">
        <v>43</v>
      </c>
      <c r="H61" s="3" t="s">
        <v>43</v>
      </c>
      <c r="I61" s="248"/>
      <c r="J61" t="s">
        <v>43</v>
      </c>
      <c r="K61" s="115" t="s">
        <v>43</v>
      </c>
      <c r="L61" s="3" t="s">
        <v>36</v>
      </c>
      <c r="M61" s="33"/>
      <c r="N61" s="248"/>
      <c r="O61" s="3" t="s">
        <v>36</v>
      </c>
      <c r="P61" s="76"/>
      <c r="Q61" s="76"/>
      <c r="R61" s="76"/>
      <c r="S61" s="179"/>
      <c r="T61" s="76"/>
      <c r="U61" s="76"/>
      <c r="V61" s="116">
        <f t="shared" si="27"/>
        <v>0</v>
      </c>
      <c r="W61" s="116">
        <f t="shared" si="28"/>
        <v>0</v>
      </c>
      <c r="X61" s="116">
        <f t="shared" si="29"/>
        <v>0</v>
      </c>
      <c r="Y61" s="116">
        <f t="shared" si="29"/>
        <v>0</v>
      </c>
      <c r="Z61" s="116">
        <f t="shared" si="30"/>
        <v>0</v>
      </c>
      <c r="AA61" s="116">
        <f t="shared" si="31"/>
        <v>0</v>
      </c>
      <c r="AB61" s="76"/>
    </row>
    <row r="62" spans="2:30" ht="14">
      <c r="B62" s="3"/>
      <c r="C62" s="73" t="s">
        <v>243</v>
      </c>
      <c r="D62" s="111"/>
      <c r="E62" s="3" t="s">
        <v>43</v>
      </c>
      <c r="F62" s="3" t="s">
        <v>43</v>
      </c>
      <c r="G62" s="76" t="s">
        <v>43</v>
      </c>
      <c r="H62" s="3" t="s">
        <v>43</v>
      </c>
      <c r="I62" s="248"/>
      <c r="J62" t="s">
        <v>43</v>
      </c>
      <c r="K62" s="115" t="s">
        <v>43</v>
      </c>
      <c r="L62" s="3" t="s">
        <v>36</v>
      </c>
      <c r="M62" s="33"/>
      <c r="N62" s="248"/>
      <c r="O62" s="3" t="s">
        <v>36</v>
      </c>
      <c r="P62" s="76"/>
      <c r="Q62" s="76"/>
      <c r="R62" s="76"/>
      <c r="S62" s="179"/>
      <c r="T62" s="76"/>
      <c r="U62" s="76"/>
      <c r="V62" s="116">
        <f t="shared" si="27"/>
        <v>0</v>
      </c>
      <c r="W62" s="116">
        <f t="shared" si="28"/>
        <v>0</v>
      </c>
      <c r="X62" s="116">
        <f t="shared" si="29"/>
        <v>0</v>
      </c>
      <c r="Y62" s="116">
        <f t="shared" si="29"/>
        <v>0</v>
      </c>
      <c r="Z62" s="116">
        <f t="shared" si="30"/>
        <v>0</v>
      </c>
      <c r="AA62" s="116">
        <f t="shared" si="31"/>
        <v>0</v>
      </c>
      <c r="AB62" s="76"/>
    </row>
    <row r="63" spans="2:30" ht="14">
      <c r="B63" s="3"/>
      <c r="C63" s="73" t="s">
        <v>244</v>
      </c>
      <c r="D63" s="111"/>
      <c r="E63" s="3" t="s">
        <v>43</v>
      </c>
      <c r="F63" s="3" t="s">
        <v>43</v>
      </c>
      <c r="G63" s="76" t="s">
        <v>43</v>
      </c>
      <c r="H63" s="3" t="s">
        <v>43</v>
      </c>
      <c r="I63" s="248"/>
      <c r="J63" t="s">
        <v>43</v>
      </c>
      <c r="K63" s="115" t="s">
        <v>43</v>
      </c>
      <c r="L63" s="3" t="s">
        <v>36</v>
      </c>
      <c r="M63" s="33"/>
      <c r="N63" s="248"/>
      <c r="O63" s="3" t="s">
        <v>36</v>
      </c>
      <c r="P63" s="76"/>
      <c r="Q63" s="76"/>
      <c r="R63" s="76"/>
      <c r="S63" s="179"/>
      <c r="T63" s="76"/>
      <c r="U63" s="76"/>
      <c r="V63" s="116">
        <f t="shared" si="27"/>
        <v>0</v>
      </c>
      <c r="W63" s="116">
        <f t="shared" si="28"/>
        <v>0</v>
      </c>
      <c r="X63" s="116">
        <f t="shared" si="29"/>
        <v>0</v>
      </c>
      <c r="Y63" s="116">
        <f t="shared" si="29"/>
        <v>0</v>
      </c>
      <c r="Z63" s="116">
        <f t="shared" si="30"/>
        <v>0</v>
      </c>
      <c r="AA63" s="116">
        <f t="shared" si="31"/>
        <v>0</v>
      </c>
      <c r="AB63" s="76"/>
    </row>
    <row r="64" spans="2:30" ht="14">
      <c r="B64" s="3"/>
      <c r="C64" s="73" t="s">
        <v>245</v>
      </c>
      <c r="D64" s="111"/>
      <c r="E64" s="3" t="s">
        <v>43</v>
      </c>
      <c r="F64" s="3" t="s">
        <v>43</v>
      </c>
      <c r="G64" s="76" t="s">
        <v>43</v>
      </c>
      <c r="H64" s="3" t="s">
        <v>43</v>
      </c>
      <c r="I64" s="248"/>
      <c r="J64" t="s">
        <v>43</v>
      </c>
      <c r="K64" s="115" t="s">
        <v>43</v>
      </c>
      <c r="L64" s="3" t="s">
        <v>36</v>
      </c>
      <c r="M64" s="33"/>
      <c r="N64" s="248"/>
      <c r="O64" s="3" t="s">
        <v>36</v>
      </c>
      <c r="P64" s="76"/>
      <c r="Q64" s="76"/>
      <c r="R64" s="76"/>
      <c r="S64" s="179"/>
      <c r="T64" s="76"/>
      <c r="U64" s="76"/>
      <c r="V64" s="116">
        <f t="shared" si="27"/>
        <v>0</v>
      </c>
      <c r="W64" s="116">
        <f t="shared" si="28"/>
        <v>0</v>
      </c>
      <c r="X64" s="116">
        <f t="shared" si="29"/>
        <v>0</v>
      </c>
      <c r="Y64" s="116">
        <f t="shared" si="29"/>
        <v>0</v>
      </c>
      <c r="Z64" s="116">
        <f t="shared" si="30"/>
        <v>0</v>
      </c>
      <c r="AA64" s="116">
        <f t="shared" si="31"/>
        <v>0</v>
      </c>
      <c r="AB64" s="76"/>
    </row>
    <row r="65" spans="2:28" ht="28">
      <c r="B65" s="3"/>
      <c r="C65" s="73" t="s">
        <v>246</v>
      </c>
      <c r="D65" s="111"/>
      <c r="E65" s="3" t="s">
        <v>43</v>
      </c>
      <c r="F65" s="3" t="s">
        <v>43</v>
      </c>
      <c r="G65" s="76" t="s">
        <v>43</v>
      </c>
      <c r="H65" s="3" t="s">
        <v>43</v>
      </c>
      <c r="I65" s="248"/>
      <c r="J65" t="s">
        <v>43</v>
      </c>
      <c r="K65" s="115" t="s">
        <v>43</v>
      </c>
      <c r="L65" s="3" t="s">
        <v>36</v>
      </c>
      <c r="M65" s="33"/>
      <c r="N65" s="248"/>
      <c r="O65" s="3" t="s">
        <v>36</v>
      </c>
      <c r="P65" s="76"/>
      <c r="Q65" s="76"/>
      <c r="R65" s="76"/>
      <c r="S65" s="179"/>
      <c r="T65" s="76"/>
      <c r="U65" s="76"/>
      <c r="V65" s="116">
        <f t="shared" si="27"/>
        <v>0</v>
      </c>
      <c r="W65" s="116">
        <f t="shared" si="28"/>
        <v>0</v>
      </c>
      <c r="X65" s="116">
        <f t="shared" si="29"/>
        <v>0</v>
      </c>
      <c r="Y65" s="116">
        <f t="shared" si="29"/>
        <v>0</v>
      </c>
      <c r="Z65" s="116">
        <f t="shared" si="30"/>
        <v>0</v>
      </c>
      <c r="AA65" s="116">
        <f t="shared" si="31"/>
        <v>0</v>
      </c>
      <c r="AB65" s="76"/>
    </row>
    <row r="66" spans="2:28" ht="14">
      <c r="B66" s="3"/>
      <c r="C66" s="73" t="s">
        <v>247</v>
      </c>
      <c r="D66" s="111"/>
      <c r="E66" s="3" t="s">
        <v>43</v>
      </c>
      <c r="F66" s="3" t="s">
        <v>43</v>
      </c>
      <c r="G66" s="76" t="s">
        <v>43</v>
      </c>
      <c r="H66" s="3" t="s">
        <v>43</v>
      </c>
      <c r="I66" s="248"/>
      <c r="J66" t="s">
        <v>43</v>
      </c>
      <c r="K66" s="115" t="s">
        <v>43</v>
      </c>
      <c r="L66" s="3" t="s">
        <v>36</v>
      </c>
      <c r="M66" s="33"/>
      <c r="N66" s="248"/>
      <c r="O66" s="3" t="s">
        <v>36</v>
      </c>
      <c r="P66" s="76"/>
      <c r="Q66" s="76"/>
      <c r="R66" s="76"/>
      <c r="S66" s="179"/>
      <c r="T66" s="76"/>
      <c r="U66" s="76"/>
      <c r="V66" s="116">
        <f t="shared" si="27"/>
        <v>0</v>
      </c>
      <c r="W66" s="116">
        <f t="shared" si="28"/>
        <v>0</v>
      </c>
      <c r="X66" s="116">
        <f t="shared" si="29"/>
        <v>0</v>
      </c>
      <c r="Y66" s="116">
        <f t="shared" si="29"/>
        <v>0</v>
      </c>
      <c r="Z66" s="116">
        <f t="shared" si="30"/>
        <v>0</v>
      </c>
      <c r="AA66" s="116">
        <f t="shared" si="31"/>
        <v>0</v>
      </c>
      <c r="AB66" s="76"/>
    </row>
    <row r="67" spans="2:28" ht="14">
      <c r="B67" s="3"/>
      <c r="C67" s="73" t="s">
        <v>248</v>
      </c>
      <c r="D67" s="111"/>
      <c r="E67" s="3" t="s">
        <v>43</v>
      </c>
      <c r="F67" s="3" t="s">
        <v>43</v>
      </c>
      <c r="G67" s="76" t="s">
        <v>43</v>
      </c>
      <c r="H67" s="3" t="s">
        <v>43</v>
      </c>
      <c r="I67" s="248"/>
      <c r="J67" t="s">
        <v>43</v>
      </c>
      <c r="K67" s="115" t="s">
        <v>43</v>
      </c>
      <c r="L67" s="3" t="s">
        <v>36</v>
      </c>
      <c r="M67" s="33"/>
      <c r="N67" s="248"/>
      <c r="O67" s="3" t="s">
        <v>36</v>
      </c>
      <c r="P67" s="76"/>
      <c r="Q67" s="76"/>
      <c r="R67" s="76"/>
      <c r="S67" s="179"/>
      <c r="T67" s="76"/>
      <c r="U67" s="76"/>
      <c r="V67" s="116">
        <f t="shared" si="27"/>
        <v>0</v>
      </c>
      <c r="W67" s="116">
        <f t="shared" si="28"/>
        <v>0</v>
      </c>
      <c r="X67" s="116">
        <f t="shared" si="29"/>
        <v>0</v>
      </c>
      <c r="Y67" s="116">
        <f t="shared" si="29"/>
        <v>0</v>
      </c>
      <c r="Z67" s="116">
        <f t="shared" si="30"/>
        <v>0</v>
      </c>
      <c r="AA67" s="116">
        <f t="shared" si="31"/>
        <v>0</v>
      </c>
      <c r="AB67" s="76"/>
    </row>
    <row r="68" spans="2:28" ht="14">
      <c r="B68" s="3"/>
      <c r="C68" s="73" t="s">
        <v>249</v>
      </c>
      <c r="D68" s="111"/>
      <c r="E68" s="3" t="s">
        <v>43</v>
      </c>
      <c r="F68" s="3" t="s">
        <v>43</v>
      </c>
      <c r="G68" s="76" t="s">
        <v>43</v>
      </c>
      <c r="H68" s="3" t="s">
        <v>43</v>
      </c>
      <c r="I68" s="248"/>
      <c r="J68" t="s">
        <v>43</v>
      </c>
      <c r="K68" s="115" t="s">
        <v>43</v>
      </c>
      <c r="L68" s="3" t="s">
        <v>36</v>
      </c>
      <c r="M68" s="33"/>
      <c r="N68" s="248"/>
      <c r="O68" s="3" t="s">
        <v>36</v>
      </c>
      <c r="P68" s="76"/>
      <c r="Q68" s="76"/>
      <c r="R68" s="76"/>
      <c r="S68" s="179"/>
      <c r="T68" s="76"/>
      <c r="U68" s="76"/>
      <c r="V68" s="116">
        <f t="shared" si="27"/>
        <v>0</v>
      </c>
      <c r="W68" s="116">
        <f t="shared" si="28"/>
        <v>0</v>
      </c>
      <c r="X68" s="116">
        <f t="shared" si="29"/>
        <v>0</v>
      </c>
      <c r="Y68" s="116">
        <f t="shared" si="29"/>
        <v>0</v>
      </c>
      <c r="Z68" s="116">
        <f t="shared" si="30"/>
        <v>0</v>
      </c>
      <c r="AA68" s="116">
        <f t="shared" si="31"/>
        <v>0</v>
      </c>
      <c r="AB68" s="76"/>
    </row>
    <row r="69" spans="2:28" ht="14">
      <c r="B69" s="3"/>
      <c r="C69" s="73" t="s">
        <v>250</v>
      </c>
      <c r="D69" s="111"/>
      <c r="E69" s="3" t="s">
        <v>43</v>
      </c>
      <c r="F69" s="3" t="s">
        <v>43</v>
      </c>
      <c r="G69" s="76" t="s">
        <v>43</v>
      </c>
      <c r="H69" s="3" t="s">
        <v>43</v>
      </c>
      <c r="I69" s="248"/>
      <c r="J69" t="s">
        <v>43</v>
      </c>
      <c r="K69" s="115" t="s">
        <v>43</v>
      </c>
      <c r="L69" s="3" t="s">
        <v>36</v>
      </c>
      <c r="M69" s="33"/>
      <c r="N69" s="248"/>
      <c r="O69" s="3" t="s">
        <v>36</v>
      </c>
      <c r="P69" s="76"/>
      <c r="Q69" s="76"/>
      <c r="R69" s="76"/>
      <c r="S69" s="179"/>
      <c r="T69" s="76"/>
      <c r="U69" s="76"/>
      <c r="V69" s="116">
        <f t="shared" si="27"/>
        <v>0</v>
      </c>
      <c r="W69" s="116">
        <f t="shared" si="28"/>
        <v>0</v>
      </c>
      <c r="X69" s="116">
        <f t="shared" si="29"/>
        <v>0</v>
      </c>
      <c r="Y69" s="116">
        <f t="shared" si="29"/>
        <v>0</v>
      </c>
      <c r="Z69" s="116">
        <f t="shared" si="30"/>
        <v>0</v>
      </c>
      <c r="AA69" s="116">
        <f t="shared" si="31"/>
        <v>0</v>
      </c>
      <c r="AB69" s="76"/>
    </row>
    <row r="70" spans="2:28" ht="13">
      <c r="B70" s="3"/>
      <c r="C70" s="26" t="s">
        <v>251</v>
      </c>
      <c r="D70" s="111"/>
      <c r="E70" s="3" t="s">
        <v>43</v>
      </c>
      <c r="F70" s="3" t="s">
        <v>43</v>
      </c>
      <c r="G70" s="76" t="s">
        <v>43</v>
      </c>
      <c r="H70" s="3" t="s">
        <v>43</v>
      </c>
      <c r="I70" s="248"/>
      <c r="J70" t="s">
        <v>43</v>
      </c>
      <c r="K70" s="115" t="s">
        <v>43</v>
      </c>
      <c r="L70" s="3" t="s">
        <v>36</v>
      </c>
      <c r="M70" s="33"/>
      <c r="N70" s="248"/>
      <c r="O70" s="3" t="s">
        <v>36</v>
      </c>
      <c r="P70" s="76"/>
      <c r="Q70" s="76"/>
      <c r="R70" s="76"/>
      <c r="S70" s="179"/>
      <c r="T70" s="76"/>
      <c r="U70" s="76"/>
      <c r="V70" s="116">
        <f t="shared" ref="V70:AA70" si="32">$N70*P70</f>
        <v>0</v>
      </c>
      <c r="W70" s="116">
        <f t="shared" si="32"/>
        <v>0</v>
      </c>
      <c r="X70" s="116">
        <f t="shared" si="32"/>
        <v>0</v>
      </c>
      <c r="Y70" s="116">
        <f t="shared" si="32"/>
        <v>0</v>
      </c>
      <c r="Z70" s="116">
        <f t="shared" si="32"/>
        <v>0</v>
      </c>
      <c r="AA70" s="116">
        <f t="shared" si="32"/>
        <v>0</v>
      </c>
      <c r="AB70" s="76"/>
    </row>
    <row r="71" spans="2:28" ht="13">
      <c r="B71" s="3"/>
      <c r="C71" s="70"/>
      <c r="D71" s="111"/>
      <c r="E71" s="41"/>
      <c r="F71" s="3"/>
      <c r="G71" s="76"/>
      <c r="H71" s="3"/>
      <c r="I71" s="248"/>
      <c r="K71" s="115"/>
      <c r="L71" s="3"/>
      <c r="M71" s="16"/>
      <c r="N71" s="248"/>
      <c r="O71" s="17"/>
      <c r="P71" s="167"/>
      <c r="Q71" s="167"/>
      <c r="R71" s="167"/>
      <c r="S71" s="167"/>
      <c r="T71" s="167"/>
      <c r="U71" s="167"/>
      <c r="V71" s="116"/>
      <c r="W71" s="116"/>
      <c r="X71" s="116"/>
      <c r="Y71" s="116"/>
      <c r="Z71" s="116"/>
      <c r="AA71" s="116"/>
      <c r="AB71" s="76"/>
    </row>
    <row r="72" spans="2:28" s="55" customFormat="1" ht="13">
      <c r="B72" s="104"/>
      <c r="C72" s="178"/>
      <c r="D72" s="111"/>
      <c r="E72" s="104"/>
      <c r="F72" s="104"/>
      <c r="G72" s="76"/>
      <c r="H72" s="104"/>
      <c r="I72" s="248"/>
      <c r="K72" s="115"/>
      <c r="L72" s="104"/>
      <c r="M72" s="164"/>
      <c r="N72" s="247"/>
      <c r="O72" s="104"/>
      <c r="P72" s="131"/>
      <c r="Q72" s="131"/>
      <c r="R72" s="131"/>
      <c r="S72" s="131"/>
      <c r="T72" s="131"/>
      <c r="U72" s="131"/>
      <c r="V72" s="116"/>
      <c r="W72" s="116"/>
      <c r="X72" s="116"/>
      <c r="Y72" s="116"/>
      <c r="Z72" s="116"/>
      <c r="AA72" s="116"/>
      <c r="AB72" s="76"/>
    </row>
    <row r="73" spans="2:28" s="3" customFormat="1" ht="13">
      <c r="C73" s="40"/>
      <c r="D73" s="7"/>
      <c r="I73" s="249"/>
      <c r="K73" s="21"/>
      <c r="M73" s="59"/>
      <c r="N73" s="239"/>
      <c r="P73" s="60"/>
      <c r="Q73" s="60"/>
      <c r="R73" s="60"/>
      <c r="S73" s="60"/>
      <c r="T73" s="60"/>
      <c r="U73" s="60"/>
      <c r="V73" s="22"/>
      <c r="W73" s="22"/>
      <c r="X73" s="22"/>
      <c r="Y73" s="22"/>
      <c r="Z73" s="22"/>
      <c r="AA73" s="22"/>
    </row>
    <row r="74" spans="2:28" s="3" customFormat="1" ht="13">
      <c r="C74" s="7" t="s">
        <v>56</v>
      </c>
      <c r="D74" s="36" t="s">
        <v>219</v>
      </c>
      <c r="I74" s="249"/>
      <c r="K74" s="21"/>
      <c r="M74" s="59"/>
      <c r="N74" s="239"/>
      <c r="P74" s="60"/>
      <c r="Q74" s="60"/>
      <c r="R74" s="60"/>
      <c r="S74" s="60"/>
      <c r="T74" s="60"/>
      <c r="U74" s="60"/>
      <c r="V74" s="22"/>
      <c r="W74" s="22"/>
      <c r="X74" s="22"/>
      <c r="Y74" s="22"/>
      <c r="Z74" s="22"/>
      <c r="AA74" s="22"/>
    </row>
    <row r="75" spans="2:28" s="3" customFormat="1" ht="13">
      <c r="C75" s="40"/>
      <c r="D75" s="36" t="s">
        <v>220</v>
      </c>
      <c r="I75" s="249"/>
      <c r="K75" s="21"/>
      <c r="M75" s="59"/>
      <c r="N75" s="239"/>
      <c r="P75" s="60"/>
      <c r="Q75" s="60"/>
      <c r="R75" s="60"/>
      <c r="S75" s="60"/>
      <c r="T75" s="60"/>
      <c r="U75" s="60"/>
      <c r="V75" s="22"/>
      <c r="W75" s="22"/>
      <c r="X75" s="22"/>
      <c r="Y75" s="22"/>
      <c r="Z75" s="22"/>
      <c r="AA75" s="22"/>
    </row>
    <row r="76" spans="2:28" s="3" customFormat="1" ht="13">
      <c r="C76" s="40"/>
      <c r="D76" s="36" t="s">
        <v>350</v>
      </c>
      <c r="I76" s="249"/>
      <c r="K76" s="21"/>
      <c r="M76" s="59"/>
      <c r="N76" s="239"/>
      <c r="P76" s="60"/>
      <c r="Q76" s="60"/>
      <c r="R76" s="60"/>
      <c r="S76" s="60"/>
      <c r="T76" s="60"/>
      <c r="U76" s="60"/>
      <c r="V76" s="22"/>
      <c r="W76" s="22"/>
      <c r="X76" s="22"/>
      <c r="Y76" s="22"/>
      <c r="Z76" s="22"/>
      <c r="AA76" s="22"/>
    </row>
    <row r="77" spans="2:28" s="3" customFormat="1" ht="13">
      <c r="C77" s="40"/>
      <c r="D77" s="7"/>
      <c r="I77" s="249"/>
      <c r="K77" s="21"/>
      <c r="M77" s="59"/>
      <c r="N77" s="239"/>
      <c r="P77" s="60"/>
      <c r="Q77" s="60"/>
      <c r="R77" s="60"/>
      <c r="S77" s="60"/>
      <c r="T77" s="60"/>
      <c r="U77" s="60"/>
      <c r="V77" s="22"/>
      <c r="W77" s="22"/>
      <c r="X77" s="22"/>
      <c r="Y77" s="22"/>
      <c r="Z77" s="22"/>
      <c r="AA77" s="22"/>
    </row>
    <row r="78" spans="2:28" s="3" customFormat="1" ht="13">
      <c r="C78" s="61"/>
      <c r="D78" s="7"/>
      <c r="I78" s="249"/>
      <c r="K78" s="21"/>
      <c r="M78" s="59"/>
      <c r="N78" s="239"/>
      <c r="P78" s="60"/>
      <c r="Q78" s="60"/>
      <c r="R78" s="60"/>
      <c r="S78" s="60"/>
      <c r="T78" s="60"/>
      <c r="U78" s="60"/>
      <c r="V78" s="22"/>
      <c r="W78" s="22"/>
      <c r="X78" s="22"/>
      <c r="Y78" s="22"/>
      <c r="Z78" s="22"/>
      <c r="AA78" s="22"/>
    </row>
    <row r="79" spans="2:28" s="3" customFormat="1" ht="13">
      <c r="C79" s="61"/>
      <c r="E79" s="11"/>
      <c r="I79" s="249"/>
      <c r="K79" s="21"/>
      <c r="M79" s="62"/>
      <c r="N79" s="239"/>
      <c r="P79" s="60"/>
      <c r="Q79" s="60"/>
      <c r="R79" s="60"/>
      <c r="S79" s="60"/>
      <c r="T79" s="60"/>
      <c r="U79" s="60"/>
      <c r="V79" s="22"/>
      <c r="W79" s="22"/>
      <c r="X79" s="22"/>
      <c r="Y79" s="22"/>
      <c r="Z79" s="22"/>
      <c r="AA79" s="22"/>
    </row>
    <row r="80" spans="2:28" s="3" customFormat="1" ht="13">
      <c r="C80" s="61"/>
      <c r="E80" s="11"/>
      <c r="I80" s="249"/>
      <c r="K80" s="21"/>
      <c r="M80" s="62"/>
      <c r="N80" s="239"/>
      <c r="P80" s="60"/>
      <c r="Q80" s="60"/>
      <c r="R80" s="60"/>
      <c r="S80" s="60"/>
      <c r="T80" s="60"/>
      <c r="U80" s="60"/>
      <c r="V80" s="22"/>
      <c r="W80" s="22"/>
      <c r="X80" s="22"/>
      <c r="Y80" s="22"/>
      <c r="Z80" s="22"/>
      <c r="AA80" s="22"/>
    </row>
    <row r="81" spans="3:27" s="3" customFormat="1" ht="13">
      <c r="C81" s="61"/>
      <c r="E81" s="11"/>
      <c r="I81" s="249"/>
      <c r="K81" s="21"/>
      <c r="M81" s="62"/>
      <c r="N81" s="239"/>
      <c r="P81" s="60"/>
      <c r="Q81" s="60"/>
      <c r="R81" s="60"/>
      <c r="S81" s="60"/>
      <c r="T81" s="60"/>
      <c r="U81" s="60"/>
      <c r="V81" s="22"/>
      <c r="W81" s="22"/>
      <c r="X81" s="22"/>
      <c r="Y81" s="22"/>
      <c r="Z81" s="22"/>
      <c r="AA81" s="22"/>
    </row>
    <row r="82" spans="3:27" s="3" customFormat="1" ht="13">
      <c r="C82" s="61"/>
      <c r="E82" s="11"/>
      <c r="I82" s="249"/>
      <c r="K82" s="21"/>
      <c r="M82" s="63"/>
      <c r="N82" s="239"/>
      <c r="P82" s="23"/>
      <c r="Q82" s="23"/>
      <c r="R82" s="24"/>
      <c r="S82" s="24"/>
      <c r="T82" s="23"/>
      <c r="V82" s="22"/>
      <c r="W82" s="22"/>
      <c r="X82" s="22"/>
      <c r="Y82" s="22"/>
      <c r="Z82" s="22"/>
      <c r="AA82" s="22"/>
    </row>
    <row r="83" spans="3:27" s="3" customFormat="1" ht="13">
      <c r="C83" s="61"/>
      <c r="I83" s="239"/>
      <c r="M83" s="63"/>
      <c r="N83" s="239"/>
    </row>
    <row r="84" spans="3:27" s="3" customFormat="1" ht="13">
      <c r="C84" s="61"/>
      <c r="D84" s="7"/>
      <c r="I84" s="239"/>
      <c r="M84" s="64"/>
      <c r="N84" s="239"/>
      <c r="V84" s="25"/>
      <c r="W84" s="25"/>
      <c r="X84" s="25"/>
      <c r="Y84" s="25"/>
      <c r="Z84" s="25"/>
      <c r="AA84" s="25"/>
    </row>
    <row r="85" spans="3:27" s="3" customFormat="1" ht="13">
      <c r="C85" s="61"/>
      <c r="D85" s="7"/>
      <c r="I85" s="249"/>
      <c r="K85" s="21"/>
      <c r="M85" s="64"/>
      <c r="N85" s="249"/>
      <c r="P85" s="60"/>
      <c r="Q85" s="60"/>
      <c r="R85" s="60"/>
      <c r="S85" s="60"/>
      <c r="T85" s="60"/>
      <c r="U85" s="60"/>
      <c r="V85" s="22"/>
      <c r="W85" s="22"/>
      <c r="X85" s="22"/>
      <c r="Y85" s="22"/>
      <c r="Z85" s="22"/>
      <c r="AA85" s="22"/>
    </row>
    <row r="86" spans="3:27" ht="13">
      <c r="C86" s="42"/>
    </row>
    <row r="87" spans="3:27" ht="13">
      <c r="C87" s="42"/>
    </row>
    <row r="88" spans="3:27" ht="13">
      <c r="C88" s="42"/>
    </row>
    <row r="91" spans="3:27">
      <c r="H91">
        <f>35000000/500000000</f>
        <v>7.0000000000000007E-2</v>
      </c>
    </row>
    <row r="101" spans="7:7">
      <c r="G101" s="309"/>
    </row>
  </sheetData>
  <sheetProtection algorithmName="SHA-512" hashValue="PICbulqRYFe0SfhUsqxwSwqv+t2Nv+TFTZB1oteuXlmZvnspcKpJzk5NOzaXQc3sTAhGRGVLEYb1+Fz3giacew==" saltValue="0MoPOuSHlbq8PkiommHzl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10"/>
  <sheetViews>
    <sheetView workbookViewId="0">
      <selection activeCell="C7" sqref="C7"/>
    </sheetView>
  </sheetViews>
  <sheetFormatPr defaultColWidth="9.1796875" defaultRowHeight="12.5"/>
  <cols>
    <col min="1" max="1" width="39" style="338" customWidth="1"/>
    <col min="2" max="2" width="8.81640625" style="359" customWidth="1"/>
    <col min="3" max="3" width="11.6328125" style="338" customWidth="1"/>
    <col min="4" max="4" width="17.453125" style="338" customWidth="1"/>
    <col min="5" max="5" width="13.81640625" style="338" customWidth="1"/>
    <col min="6" max="8" width="9.1796875" style="338"/>
    <col min="9" max="9" width="11.6328125" style="338" customWidth="1"/>
    <col min="10" max="10" width="9.81640625" style="338" customWidth="1"/>
    <col min="11" max="11" width="16.1796875" style="338" customWidth="1"/>
    <col min="12" max="12" width="12.1796875" style="338" customWidth="1"/>
    <col min="13" max="13" width="9.1796875" style="338"/>
    <col min="14" max="14" width="0" style="338" hidden="1" customWidth="1"/>
    <col min="15" max="16384" width="9.1796875" style="338"/>
  </cols>
  <sheetData>
    <row r="1" spans="1:14" ht="13">
      <c r="A1" s="355" t="s">
        <v>998</v>
      </c>
      <c r="B1" s="356"/>
    </row>
    <row r="2" spans="1:14" ht="30" customHeight="1">
      <c r="A2" s="816" t="str">
        <f>IF(ISNA(MATCH("n",N5:N6,0)),"", trans_warning)</f>
        <v/>
      </c>
      <c r="B2" s="817"/>
      <c r="C2" s="817"/>
      <c r="D2" s="817"/>
      <c r="E2" s="817"/>
      <c r="F2" s="817"/>
      <c r="G2" s="817"/>
      <c r="H2" s="817"/>
      <c r="I2" s="817"/>
      <c r="J2" s="817"/>
      <c r="K2" s="817"/>
      <c r="L2" s="818"/>
    </row>
    <row r="3" spans="1:14" s="360" customFormat="1" ht="25.5" customHeight="1">
      <c r="A3" s="744" t="s">
        <v>867</v>
      </c>
      <c r="B3" s="745" t="s">
        <v>360</v>
      </c>
      <c r="C3" s="765" t="s">
        <v>869</v>
      </c>
      <c r="D3" s="744"/>
      <c r="E3" s="762" t="s">
        <v>1002</v>
      </c>
      <c r="F3" s="762" t="s">
        <v>875</v>
      </c>
      <c r="G3" s="763"/>
      <c r="H3" s="763"/>
      <c r="I3" s="763"/>
      <c r="J3" s="763"/>
      <c r="K3" s="764"/>
      <c r="L3" s="744"/>
    </row>
    <row r="4" spans="1:14" ht="39.5" thickBot="1">
      <c r="A4" s="744" t="s">
        <v>999</v>
      </c>
      <c r="B4" s="750" t="str">
        <f>quest</f>
        <v>O/N/?</v>
      </c>
      <c r="C4" s="747" t="s">
        <v>1003</v>
      </c>
      <c r="D4" s="765" t="s">
        <v>873</v>
      </c>
      <c r="E4" s="765" t="s">
        <v>876</v>
      </c>
      <c r="F4" s="749" t="s">
        <v>38</v>
      </c>
      <c r="G4" s="749" t="s">
        <v>877</v>
      </c>
      <c r="H4" s="749" t="s">
        <v>878</v>
      </c>
      <c r="I4" s="765" t="s">
        <v>879</v>
      </c>
      <c r="J4" s="765" t="s">
        <v>880</v>
      </c>
      <c r="K4" s="765" t="s">
        <v>881</v>
      </c>
      <c r="L4" s="744" t="s">
        <v>359</v>
      </c>
      <c r="M4" s="620" t="s">
        <v>1151</v>
      </c>
    </row>
    <row r="5" spans="1:14">
      <c r="A5" s="270" t="s">
        <v>1000</v>
      </c>
      <c r="B5" s="365"/>
      <c r="C5" s="377"/>
      <c r="D5" s="347" t="s">
        <v>1004</v>
      </c>
      <c r="E5" s="456" t="str">
        <f>IF(OR($B5=yes,$B5=yes),'5-10 Cremat and cem'!K6, IF(OR($B5=no,$B5=no),"-", IF($B5=que,que, pres)))</f>
        <v>Présent ?</v>
      </c>
      <c r="F5" s="279" t="str">
        <f>IF(OR($B5=yes,$B5=yes),'5-10 Cremat and cem'!V6, IF(OR($B5=no,$B5=no),"-", IF($B5=que,que, pres)))</f>
        <v>Présent ?</v>
      </c>
      <c r="G5" s="279" t="str">
        <f>IF(OR($B5=yes,$B5=yes),'5-10 Cremat and cem'!W6, IF(OR($B5=no,$B5=no),"-", IF($B5=que,que, pres)))</f>
        <v>Présent ?</v>
      </c>
      <c r="H5" s="279" t="str">
        <f>IF(OR($B5=yes,$B5=yes),'5-10 Cremat and cem'!X6, IF(OR($B5=no,$B5=no),"-", IF($B5=que,que, pres)))</f>
        <v>Présent ?</v>
      </c>
      <c r="I5" s="279" t="str">
        <f>IF(OR($B5=yes,$B5=yes),'5-10 Cremat and cem'!Y6, IF(OR($B5=no,$B5=no),"-", IF($B5=que,que, pres)))</f>
        <v>Présent ?</v>
      </c>
      <c r="J5" s="279" t="str">
        <f>IF(OR($B5=yes,$B5=yes),'5-10 Cremat and cem'!Z6, IF(OR($B5=no,$B5=no),"-", IF($B5=que,que, pres)))</f>
        <v>Présent ?</v>
      </c>
      <c r="K5" s="279" t="str">
        <f>IF(OR($B5=yes,$B5=yes),'5-10 Cremat and cem'!AA6, IF(OR($B5=no,$B5=no),"-", IF($B5=que,que, pres)))</f>
        <v>Présent ?</v>
      </c>
      <c r="L5" s="273" t="s">
        <v>311</v>
      </c>
      <c r="M5" s="459"/>
      <c r="N5" s="338" t="str">
        <f>INDEX('Range-thresholds'!$G$6:$G$73,MATCH(A5,'Range-thresholds'!$A$6:$A$73,0))</f>
        <v/>
      </c>
    </row>
    <row r="6" spans="1:14" ht="13" thickBot="1">
      <c r="A6" s="270" t="s">
        <v>1001</v>
      </c>
      <c r="B6" s="366"/>
      <c r="C6" s="396"/>
      <c r="D6" s="347" t="s">
        <v>1005</v>
      </c>
      <c r="E6" s="456" t="str">
        <f>IF(OR($B6=yes,$B6=yes),'5-10 Cremat and cem'!K8, IF(OR($B6=no,$B6=no),"-", IF($B6=que,que, pres)))</f>
        <v>Présent ?</v>
      </c>
      <c r="F6" s="279" t="str">
        <f>IF(OR($B6=yes,$B6=yes),'5-10 Cremat and cem'!V8, IF(OR($B6=no,$B6=no),"-", IF($B6=que,que, pres)))</f>
        <v>Présent ?</v>
      </c>
      <c r="G6" s="279" t="str">
        <f>IF(OR($B6=yes,$B6=yes),'5-10 Cremat and cem'!W8, IF(OR($B6=no,$B6=no),"-", IF($B6=que,que, pres)))</f>
        <v>Présent ?</v>
      </c>
      <c r="H6" s="279" t="str">
        <f>IF(OR($B6=yes,$B6=yes),'5-10 Cremat and cem'!X8, IF(OR($B6=no,$B6=no),"-", IF($B6=que,que, pres)))</f>
        <v>Présent ?</v>
      </c>
      <c r="I6" s="279" t="str">
        <f>IF(OR($B6=yes,$B6=yes),'5-10 Cremat and cem'!Y8, IF(OR($B6=no,$B6=no),"-", IF($B6=que,que, pres)))</f>
        <v>Présent ?</v>
      </c>
      <c r="J6" s="279" t="str">
        <f>IF(OR($B6=yes,$B6=yes),'5-10 Cremat and cem'!Z8, IF(OR($B6=no,$B6=no),"-", IF($B6=que,que, pres)))</f>
        <v>Présent ?</v>
      </c>
      <c r="K6" s="279" t="str">
        <f>IF(OR($B6=yes,$B6=yes),'5-10 Cremat and cem'!AA8, IF(OR($B6=no,$B6=no),"-", IF($B6=que,que, pres)))</f>
        <v>Présent ?</v>
      </c>
      <c r="L6" s="273" t="s">
        <v>312</v>
      </c>
      <c r="M6" s="459"/>
      <c r="N6" s="338" t="str">
        <f>INDEX('Range-thresholds'!$G$6:$G$73,MATCH(A6,'Range-thresholds'!$A$6:$A$73,0))</f>
        <v/>
      </c>
    </row>
    <row r="8" spans="1:14">
      <c r="C8" s="806">
        <f>'Etape6-Produits-substances Hg'!C11</f>
        <v>0.82919079065322876</v>
      </c>
      <c r="D8" s="829" t="str">
        <f>'Etape6-Produits-substances Hg'!D11</f>
        <v>Nombre de personnel dentaire pour 1000 hab.</v>
      </c>
      <c r="E8" s="829"/>
      <c r="F8" s="829"/>
      <c r="G8" s="829"/>
    </row>
    <row r="9" spans="1:14">
      <c r="A9" s="618" t="s">
        <v>747</v>
      </c>
    </row>
    <row r="10" spans="1:14">
      <c r="A10" s="618" t="s">
        <v>746</v>
      </c>
    </row>
  </sheetData>
  <sheetProtection algorithmName="SHA-512" hashValue="OXIl8V9nPm/gvmReUnFwh/bxyH2VhEDNuRjQ8vRuxwVKktbDmKa8+9O1xoDfQ9887kpok0a0wd3Ud3b0bFdg7g==" saltValue="BIBBYDQkExWNVYbSyPNRSw==" spinCount="100000" sheet="1" objects="1" scenarios="1"/>
  <mergeCells count="2">
    <mergeCell ref="A2:L2"/>
    <mergeCell ref="D8:G8"/>
  </mergeCells>
  <conditionalFormatting sqref="E5:E6">
    <cfRule type="expression" dxfId="5" priority="5" stopIfTrue="1">
      <formula>AND(B5="y",N5="n")</formula>
    </cfRule>
  </conditionalFormatting>
  <conditionalFormatting sqref="A2">
    <cfRule type="expression" dxfId="4" priority="4" stopIfTrue="1">
      <formula>$A$2&lt;&gt;""</formula>
    </cfRule>
  </conditionalFormatting>
  <dataValidations count="2">
    <dataValidation type="decimal" allowBlank="1" showInputMessage="1" showErrorMessage="1" errorTitle="Input error" error="Use digits and decimal mark only." prompt="Utiliser des chiffres et décimales seulement." sqref="C5:C6" xr:uid="{00000000-0002-0000-1000-000000000000}">
      <formula1>-9.99999999999999E+22</formula1>
      <formula2>9.99999999999999E+22</formula2>
    </dataValidation>
    <dataValidation type="list" allowBlank="1" showInputMessage="1" showErrorMessage="1" errorTitle="Input error" error="Enter only y, n or ? (or translation of these)" prompt="Entrer: O, N ou ?" sqref="B5:B6" xr:uid="{00000000-0002-0000-1000-000001000000}">
      <formula1>yn?</formula1>
    </dataValidation>
  </dataValidations>
  <pageMargins left="0.39370078740157483" right="0.39370078740157483" top="0.74803149606299213" bottom="0.74803149606299213" header="0.31496062992125984" footer="0.31496062992125984"/>
  <pageSetup paperSize="9" scale="8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 id="{171663B9-D7F6-46C8-B10B-8985F1E572F4}">
            <xm:f>'Insérer résultats IN2'!$K77&lt;&gt;""</xm:f>
            <x14:dxf>
              <font>
                <color rgb="FFFF0000"/>
              </font>
            </x14:dxf>
          </x14:cfRule>
          <xm:sqref>A9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D31"/>
  <sheetViews>
    <sheetView workbookViewId="0">
      <selection activeCell="E8" sqref="E8"/>
    </sheetView>
  </sheetViews>
  <sheetFormatPr defaultColWidth="9.1796875" defaultRowHeight="12.5"/>
  <cols>
    <col min="1" max="1" width="66.81640625" style="338" customWidth="1"/>
    <col min="2" max="2" width="8.81640625" style="359" customWidth="1"/>
    <col min="3" max="16384" width="9.1796875" style="338"/>
  </cols>
  <sheetData>
    <row r="1" spans="1:4" ht="13">
      <c r="A1" s="386" t="s">
        <v>1006</v>
      </c>
      <c r="B1" s="388"/>
      <c r="C1" s="369"/>
    </row>
    <row r="2" spans="1:4" s="360" customFormat="1" ht="38.25" customHeight="1">
      <c r="A2" s="744" t="s">
        <v>867</v>
      </c>
      <c r="B2" s="745" t="s">
        <v>868</v>
      </c>
      <c r="C2" s="429"/>
      <c r="D2" s="801" t="s">
        <v>1156</v>
      </c>
    </row>
    <row r="3" spans="1:4" ht="13.5" thickBot="1">
      <c r="A3" s="265"/>
      <c r="B3" s="266" t="s">
        <v>871</v>
      </c>
      <c r="C3" s="428"/>
      <c r="D3" s="459"/>
    </row>
    <row r="4" spans="1:4">
      <c r="A4" s="275" t="s">
        <v>1007</v>
      </c>
      <c r="B4" s="484"/>
      <c r="C4" s="428"/>
      <c r="D4" s="459"/>
    </row>
    <row r="5" spans="1:4">
      <c r="A5" s="270" t="s">
        <v>1008</v>
      </c>
      <c r="B5" s="485"/>
      <c r="C5" s="428"/>
      <c r="D5" s="459"/>
    </row>
    <row r="6" spans="1:4">
      <c r="A6" s="270" t="s">
        <v>1009</v>
      </c>
      <c r="B6" s="485"/>
      <c r="C6" s="428"/>
      <c r="D6" s="459"/>
    </row>
    <row r="7" spans="1:4">
      <c r="A7" s="270" t="s">
        <v>1010</v>
      </c>
      <c r="B7" s="485"/>
      <c r="C7" s="428"/>
      <c r="D7" s="459"/>
    </row>
    <row r="8" spans="1:4">
      <c r="A8" s="270" t="s">
        <v>1011</v>
      </c>
      <c r="B8" s="485"/>
      <c r="C8" s="428"/>
      <c r="D8" s="459"/>
    </row>
    <row r="9" spans="1:4" ht="25">
      <c r="A9" s="270" t="s">
        <v>1012</v>
      </c>
      <c r="B9" s="485"/>
      <c r="C9" s="428"/>
      <c r="D9" s="463"/>
    </row>
    <row r="10" spans="1:4" ht="37.5">
      <c r="A10" s="275" t="s">
        <v>1013</v>
      </c>
      <c r="B10" s="485"/>
      <c r="C10" s="428"/>
      <c r="D10" s="459"/>
    </row>
    <row r="11" spans="1:4">
      <c r="A11" s="270" t="s">
        <v>1014</v>
      </c>
      <c r="B11" s="485"/>
      <c r="C11" s="428"/>
      <c r="D11" s="459"/>
    </row>
    <row r="12" spans="1:4">
      <c r="A12" s="270" t="s">
        <v>1015</v>
      </c>
      <c r="B12" s="485"/>
      <c r="C12" s="428"/>
      <c r="D12" s="459"/>
    </row>
    <row r="13" spans="1:4">
      <c r="A13" s="270" t="s">
        <v>1016</v>
      </c>
      <c r="B13" s="485"/>
      <c r="C13" s="428"/>
      <c r="D13" s="459"/>
    </row>
    <row r="14" spans="1:4">
      <c r="A14" s="275" t="s">
        <v>1017</v>
      </c>
      <c r="B14" s="485"/>
      <c r="C14" s="428"/>
      <c r="D14" s="459"/>
    </row>
    <row r="15" spans="1:4">
      <c r="A15" s="270" t="s">
        <v>1018</v>
      </c>
      <c r="B15" s="485"/>
      <c r="C15" s="428"/>
      <c r="D15" s="459"/>
    </row>
    <row r="16" spans="1:4">
      <c r="A16" s="270" t="s">
        <v>1019</v>
      </c>
      <c r="B16" s="485"/>
      <c r="C16" s="428"/>
      <c r="D16" s="459"/>
    </row>
    <row r="17" spans="1:4">
      <c r="A17" s="270" t="s">
        <v>1020</v>
      </c>
      <c r="B17" s="485"/>
      <c r="C17" s="428"/>
      <c r="D17" s="459"/>
    </row>
    <row r="18" spans="1:4">
      <c r="A18" s="270" t="s">
        <v>1021</v>
      </c>
      <c r="B18" s="485"/>
      <c r="C18" s="428"/>
      <c r="D18" s="459"/>
    </row>
    <row r="19" spans="1:4" ht="25">
      <c r="A19" s="270" t="s">
        <v>1022</v>
      </c>
      <c r="B19" s="485"/>
      <c r="C19" s="428"/>
      <c r="D19" s="459"/>
    </row>
    <row r="20" spans="1:4">
      <c r="A20" s="270" t="s">
        <v>1023</v>
      </c>
      <c r="B20" s="485"/>
      <c r="C20" s="428"/>
      <c r="D20" s="459"/>
    </row>
    <row r="21" spans="1:4">
      <c r="A21" s="275" t="s">
        <v>1024</v>
      </c>
      <c r="B21" s="485"/>
      <c r="C21" s="428"/>
      <c r="D21" s="459"/>
    </row>
    <row r="22" spans="1:4" ht="25">
      <c r="A22" s="270" t="s">
        <v>1025</v>
      </c>
      <c r="B22" s="485"/>
      <c r="C22" s="428"/>
      <c r="D22" s="459"/>
    </row>
    <row r="23" spans="1:4">
      <c r="A23" s="270" t="s">
        <v>1026</v>
      </c>
      <c r="B23" s="485"/>
      <c r="C23" s="428"/>
      <c r="D23" s="459"/>
    </row>
    <row r="24" spans="1:4">
      <c r="A24" s="270" t="s">
        <v>244</v>
      </c>
      <c r="B24" s="485"/>
      <c r="C24" s="428"/>
      <c r="D24" s="459"/>
    </row>
    <row r="25" spans="1:4">
      <c r="A25" s="270" t="s">
        <v>1027</v>
      </c>
      <c r="B25" s="485"/>
      <c r="C25" s="428"/>
      <c r="D25" s="459"/>
    </row>
    <row r="26" spans="1:4">
      <c r="A26" s="270" t="s">
        <v>1028</v>
      </c>
      <c r="B26" s="485"/>
      <c r="C26" s="428"/>
      <c r="D26" s="459"/>
    </row>
    <row r="27" spans="1:4">
      <c r="A27" s="270" t="s">
        <v>1029</v>
      </c>
      <c r="B27" s="485"/>
      <c r="C27" s="428"/>
      <c r="D27" s="459"/>
    </row>
    <row r="28" spans="1:4">
      <c r="A28" s="270" t="s">
        <v>1030</v>
      </c>
      <c r="B28" s="485"/>
      <c r="C28" s="428"/>
      <c r="D28" s="459"/>
    </row>
    <row r="29" spans="1:4">
      <c r="A29" s="270" t="s">
        <v>1031</v>
      </c>
      <c r="B29" s="485"/>
      <c r="C29" s="428"/>
      <c r="D29" s="459"/>
    </row>
    <row r="30" spans="1:4" ht="13" thickBot="1">
      <c r="A30" s="270" t="s">
        <v>1032</v>
      </c>
      <c r="B30" s="486"/>
      <c r="C30" s="428"/>
      <c r="D30" s="459"/>
    </row>
    <row r="31" spans="1:4">
      <c r="A31" s="482"/>
      <c r="B31" s="483"/>
      <c r="C31" s="354"/>
    </row>
  </sheetData>
  <sheetProtection algorithmName="SHA-512" hashValue="KK31WOg7OUXPJm7a/EBN7sW6iqjmHUc4LuiXSIeTNsAXHQ3ohkHGz9fhbCipU1vAVNZH5UMAxxW7qYNjQ/7hPA==" saltValue="cgslRDuA6PP60Ip31Ut/hA==" spinCount="100000" sheet="1" objects="1" scenarios="1"/>
  <dataValidations count="1">
    <dataValidation allowBlank="1" showInputMessage="1" showErrorMessage="1" prompt="Utiliser des chiffres et décimales seulement." sqref="B4:B30" xr:uid="{00000000-0002-0000-1100-000000000000}"/>
  </dataValidations>
  <pageMargins left="0.39370078740157483" right="0.39370078740157483" top="0.74803149606299213" bottom="0.74803149606299213" header="0.31496062992125984" footer="0.31496062992125984"/>
  <pageSetup paperSize="9" orientation="portrait" r:id="rId1"/>
  <headerFooter>
    <oddFooter>&amp;L&amp;A
Printed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91"/>
  <sheetViews>
    <sheetView topLeftCell="A34" workbookViewId="0">
      <selection activeCell="J10" sqref="J10"/>
    </sheetView>
  </sheetViews>
  <sheetFormatPr defaultColWidth="9.1796875" defaultRowHeight="12.5"/>
  <cols>
    <col min="1" max="1" width="46.81640625" style="338" customWidth="1"/>
    <col min="2" max="2" width="10.81640625" style="338" customWidth="1"/>
    <col min="3" max="3" width="12.453125" style="338" customWidth="1"/>
    <col min="4" max="4" width="12.81640625" style="338" customWidth="1"/>
    <col min="5" max="5" width="11.6328125" style="338" customWidth="1"/>
    <col min="6" max="8" width="12.453125" style="338" customWidth="1"/>
    <col min="9" max="9" width="16.1796875" style="338" customWidth="1"/>
    <col min="10" max="10" width="102.1796875" style="338" customWidth="1"/>
    <col min="11" max="11" width="5.36328125" style="338" customWidth="1"/>
    <col min="12" max="16384" width="9.1796875" style="338"/>
  </cols>
  <sheetData>
    <row r="1" spans="1:14" ht="13">
      <c r="A1" s="355" t="s">
        <v>1176</v>
      </c>
    </row>
    <row r="2" spans="1:14" ht="13">
      <c r="A2" s="355"/>
    </row>
    <row r="3" spans="1:14" ht="13">
      <c r="A3" s="355" t="s">
        <v>1177</v>
      </c>
    </row>
    <row r="4" spans="1:14" ht="13">
      <c r="A4" s="355" t="s">
        <v>1178</v>
      </c>
    </row>
    <row r="5" spans="1:14" ht="13">
      <c r="A5" s="355" t="s">
        <v>1179</v>
      </c>
    </row>
    <row r="6" spans="1:14" ht="13">
      <c r="A6" s="540" t="s">
        <v>1180</v>
      </c>
    </row>
    <row r="7" spans="1:14" ht="13">
      <c r="A7" s="540" t="s">
        <v>1181</v>
      </c>
    </row>
    <row r="8" spans="1:14" ht="13.5" thickBot="1">
      <c r="A8" s="540"/>
    </row>
    <row r="9" spans="1:14" s="360" customFormat="1" ht="27.75" customHeight="1" thickBot="1">
      <c r="A9" s="544" t="s">
        <v>867</v>
      </c>
      <c r="B9" s="545"/>
      <c r="C9" s="788" t="s">
        <v>1182</v>
      </c>
      <c r="D9" s="830" t="s">
        <v>1183</v>
      </c>
      <c r="E9" s="831"/>
      <c r="F9" s="831"/>
      <c r="G9" s="831"/>
      <c r="H9" s="831"/>
      <c r="I9" s="832"/>
      <c r="J9" s="784"/>
      <c r="K9" s="786"/>
      <c r="L9" s="777"/>
      <c r="M9" s="777"/>
      <c r="N9" s="777"/>
    </row>
    <row r="10" spans="1:14" ht="50.5" thickBot="1">
      <c r="A10" s="546"/>
      <c r="B10" s="552" t="s">
        <v>1034</v>
      </c>
      <c r="C10" s="787" t="s">
        <v>1035</v>
      </c>
      <c r="D10" s="548" t="s">
        <v>38</v>
      </c>
      <c r="E10" s="548" t="s">
        <v>877</v>
      </c>
      <c r="F10" s="548" t="s">
        <v>878</v>
      </c>
      <c r="G10" s="547" t="s">
        <v>879</v>
      </c>
      <c r="H10" s="547" t="s">
        <v>880</v>
      </c>
      <c r="I10" s="547" t="s">
        <v>881</v>
      </c>
      <c r="J10" s="625" t="s">
        <v>1036</v>
      </c>
      <c r="K10" s="785" t="s">
        <v>1033</v>
      </c>
      <c r="L10" s="620"/>
    </row>
    <row r="11" spans="1:14" ht="13">
      <c r="A11" s="638" t="str">
        <f>'Etape 2-Energie'!A4</f>
        <v>Consommation énergétique</v>
      </c>
      <c r="B11" s="639"/>
      <c r="C11" s="639"/>
      <c r="D11" s="639"/>
      <c r="E11" s="639"/>
      <c r="F11" s="639"/>
      <c r="G11" s="639"/>
      <c r="H11" s="639"/>
      <c r="I11" s="639"/>
      <c r="J11" s="789"/>
      <c r="K11" s="629" t="str">
        <f>IF(SUM(C12:I20)+SUM(C22:I24)&lt;&gt;0,"IL2","")</f>
        <v/>
      </c>
    </row>
    <row r="12" spans="1:14">
      <c r="A12" s="541" t="str">
        <f>'Etape 2-Energie'!A5</f>
        <v>Combustion de charbon issue de centrales électriques</v>
      </c>
      <c r="B12" s="263" t="str">
        <f>'Etape 2-Energie'!M5</f>
        <v>5.1.1</v>
      </c>
      <c r="C12" s="555"/>
      <c r="D12" s="555"/>
      <c r="E12" s="555"/>
      <c r="F12" s="555"/>
      <c r="G12" s="555"/>
      <c r="H12" s="555"/>
      <c r="I12" s="555"/>
      <c r="J12" s="623"/>
      <c r="K12" s="627"/>
    </row>
    <row r="13" spans="1:14">
      <c r="A13" s="541" t="str">
        <f>'Etape 2-Energie'!A8</f>
        <v>Chaudières industrielles alimentées au charbon</v>
      </c>
      <c r="B13" s="692" t="s">
        <v>757</v>
      </c>
      <c r="C13" s="555"/>
      <c r="D13" s="555"/>
      <c r="E13" s="555"/>
      <c r="F13" s="555"/>
      <c r="G13" s="555"/>
      <c r="H13" s="555"/>
      <c r="I13" s="555"/>
      <c r="J13" s="623"/>
      <c r="K13" s="627"/>
    </row>
    <row r="14" spans="1:14">
      <c r="A14" s="541" t="str">
        <f>'Etape 2-Energie'!A11</f>
        <v>Autres utilisations de charbon</v>
      </c>
      <c r="B14" s="263" t="str">
        <f>'Etape 2-Energie'!M11</f>
        <v>5.1.2.2</v>
      </c>
      <c r="C14" s="555"/>
      <c r="D14" s="555"/>
      <c r="E14" s="555"/>
      <c r="F14" s="555"/>
      <c r="G14" s="555"/>
      <c r="H14" s="555"/>
      <c r="I14" s="555"/>
      <c r="J14" s="623"/>
      <c r="K14" s="627"/>
    </row>
    <row r="15" spans="1:14" ht="25">
      <c r="A15" s="541" t="str">
        <f>'Etape 2-Energie'!A12</f>
        <v>Combustion/utilisation du coke de pétrole et de pétrole brut lourd</v>
      </c>
      <c r="B15" s="263" t="str">
        <f>'Etape 2-Energie'!M12</f>
        <v>5.1.3</v>
      </c>
      <c r="C15" s="555"/>
      <c r="D15" s="555"/>
      <c r="E15" s="555"/>
      <c r="F15" s="555"/>
      <c r="G15" s="555"/>
      <c r="H15" s="555"/>
      <c r="I15" s="555"/>
      <c r="J15" s="623"/>
      <c r="K15" s="627"/>
    </row>
    <row r="16" spans="1:14" ht="15.75" customHeight="1">
      <c r="A16" s="541" t="str">
        <f>'Etape 2-Energie'!A15</f>
        <v>Combustion/utilisation de diesel, gasoil, pétrole, kérosène, GPL et d'autres distillats légers à moyens</v>
      </c>
      <c r="B16" s="263" t="str">
        <f>'Etape 2-Energie'!M15</f>
        <v>5.1.3</v>
      </c>
      <c r="C16" s="555"/>
      <c r="D16" s="555"/>
      <c r="E16" s="555"/>
      <c r="F16" s="555"/>
      <c r="G16" s="555"/>
      <c r="H16" s="555"/>
      <c r="I16" s="555"/>
      <c r="J16" s="623"/>
      <c r="K16" s="627"/>
    </row>
    <row r="17" spans="1:11" ht="15.75" customHeight="1">
      <c r="A17" s="541" t="str">
        <f>'Etape 2-Energie'!A18</f>
        <v>Utilisation de gaz naturel brut ou purifié au préalable</v>
      </c>
      <c r="B17" s="263" t="str">
        <f>'Etape 2-Energie'!M18</f>
        <v>5.1.4</v>
      </c>
      <c r="C17" s="555"/>
      <c r="D17" s="555"/>
      <c r="E17" s="555"/>
      <c r="F17" s="555"/>
      <c r="G17" s="555"/>
      <c r="H17" s="555"/>
      <c r="I17" s="555"/>
      <c r="J17" s="623"/>
      <c r="K17" s="627"/>
    </row>
    <row r="18" spans="1:11" ht="15.75" customHeight="1">
      <c r="A18" s="541" t="str">
        <f>'Etape 2-Energie'!A19</f>
        <v>Utilisation de gaz riche (qualité pour les consommateurs)</v>
      </c>
      <c r="B18" s="263" t="str">
        <f>'Etape 2-Energie'!M19</f>
        <v>5.1.4</v>
      </c>
      <c r="C18" s="555"/>
      <c r="D18" s="555"/>
      <c r="E18" s="555"/>
      <c r="F18" s="555"/>
      <c r="G18" s="555"/>
      <c r="H18" s="555"/>
      <c r="I18" s="555"/>
      <c r="J18" s="623"/>
      <c r="K18" s="627"/>
    </row>
    <row r="19" spans="1:11" ht="25">
      <c r="A19" s="541" t="str">
        <f>'Etape 2-Energie'!A20</f>
        <v>Production électrique et thermique par combustion de biomasse</v>
      </c>
      <c r="B19" s="263" t="str">
        <f>'Etape 2-Energie'!M20</f>
        <v>5.1.6</v>
      </c>
      <c r="C19" s="555"/>
      <c r="D19" s="555"/>
      <c r="E19" s="555"/>
      <c r="F19" s="555"/>
      <c r="G19" s="555"/>
      <c r="H19" s="555"/>
      <c r="I19" s="555"/>
      <c r="J19" s="623"/>
      <c r="K19" s="627"/>
    </row>
    <row r="20" spans="1:11" ht="13" thickBot="1">
      <c r="A20" s="542" t="str">
        <f>'Etape 2-Energie'!A21</f>
        <v>Combustion de charbon de bois</v>
      </c>
      <c r="B20" s="543" t="str">
        <f>'Etape 2-Energie'!M21</f>
        <v>5.1.6</v>
      </c>
      <c r="C20" s="555"/>
      <c r="D20" s="555"/>
      <c r="E20" s="555"/>
      <c r="F20" s="555"/>
      <c r="G20" s="555"/>
      <c r="H20" s="555"/>
      <c r="I20" s="555"/>
      <c r="J20" s="624"/>
      <c r="K20" s="627"/>
    </row>
    <row r="21" spans="1:11" ht="13">
      <c r="A21" s="638" t="str">
        <f>'Etape 2-Energie'!A23</f>
        <v>Production de carburant</v>
      </c>
      <c r="B21" s="639"/>
      <c r="C21" s="639"/>
      <c r="D21" s="639"/>
      <c r="E21" s="639"/>
      <c r="F21" s="639"/>
      <c r="G21" s="639"/>
      <c r="H21" s="639"/>
      <c r="I21" s="639"/>
      <c r="J21" s="622"/>
      <c r="K21" s="627"/>
    </row>
    <row r="22" spans="1:11">
      <c r="A22" s="541" t="str">
        <f>'Etape 2-Energie'!A24</f>
        <v>Extraction de pétrole</v>
      </c>
      <c r="B22" s="263" t="str">
        <f>'Etape 2-Energie'!M24</f>
        <v>5.1.3</v>
      </c>
      <c r="C22" s="555"/>
      <c r="D22" s="555"/>
      <c r="E22" s="555"/>
      <c r="F22" s="555"/>
      <c r="G22" s="555"/>
      <c r="H22" s="555"/>
      <c r="I22" s="555"/>
      <c r="J22" s="623"/>
      <c r="K22" s="627"/>
    </row>
    <row r="23" spans="1:11">
      <c r="A23" s="541" t="str">
        <f>'Etape 2-Energie'!A25</f>
        <v>Raffinage du pétrole</v>
      </c>
      <c r="B23" s="263" t="str">
        <f>'Etape 2-Energie'!M25</f>
        <v>5.1.3</v>
      </c>
      <c r="C23" s="555"/>
      <c r="D23" s="555"/>
      <c r="E23" s="555"/>
      <c r="F23" s="555"/>
      <c r="G23" s="555"/>
      <c r="H23" s="555"/>
      <c r="I23" s="555"/>
      <c r="J23" s="623"/>
      <c r="K23" s="627"/>
    </row>
    <row r="24" spans="1:11" ht="13" thickBot="1">
      <c r="A24" s="542" t="str">
        <f>'Etape 2-Energie'!A26</f>
        <v>Extraction et traitement du gaz naturel</v>
      </c>
      <c r="B24" s="543" t="str">
        <f>'Etape 2-Energie'!M26</f>
        <v>5.1.4</v>
      </c>
      <c r="C24" s="555"/>
      <c r="D24" s="555"/>
      <c r="E24" s="555"/>
      <c r="F24" s="555"/>
      <c r="G24" s="555"/>
      <c r="H24" s="555"/>
      <c r="I24" s="555"/>
      <c r="J24" s="624"/>
      <c r="K24" s="627"/>
    </row>
    <row r="25" spans="1:11" ht="13">
      <c r="A25" s="638" t="str">
        <f>'Etape 3-Métaux-MatPre'!A5</f>
        <v>Production de métaux primaires</v>
      </c>
      <c r="B25" s="639"/>
      <c r="C25" s="639"/>
      <c r="D25" s="639"/>
      <c r="E25" s="639"/>
      <c r="F25" s="639"/>
      <c r="G25" s="639"/>
      <c r="H25" s="639"/>
      <c r="I25" s="639"/>
      <c r="J25" s="622"/>
      <c r="K25" s="626" t="str">
        <f>IF(SUM(C26:I34)+SUM(C36:I37)&lt;&gt;0,"IL2","")</f>
        <v/>
      </c>
    </row>
    <row r="26" spans="1:11" ht="25">
      <c r="A26" s="541" t="str">
        <f>'Etape 3-Métaux-MatPre'!A6</f>
        <v>Extraction et transformation initiale du mercure (primaire)</v>
      </c>
      <c r="B26" s="263" t="str">
        <f>'Etape 3-Métaux-MatPre'!M6</f>
        <v>5.2.1</v>
      </c>
      <c r="C26" s="555"/>
      <c r="D26" s="555"/>
      <c r="E26" s="555"/>
      <c r="F26" s="555"/>
      <c r="G26" s="555"/>
      <c r="H26" s="555"/>
      <c r="I26" s="555"/>
      <c r="J26" s="623"/>
      <c r="K26" s="627"/>
    </row>
    <row r="27" spans="1:11">
      <c r="A27" s="541" t="str">
        <f>'Etape 3-Métaux-MatPre'!A7</f>
        <v>Production de zinc à partir de concentrés</v>
      </c>
      <c r="B27" s="263" t="str">
        <f>'Etape 3-Métaux-MatPre'!M7</f>
        <v>5.2.3</v>
      </c>
      <c r="C27" s="555"/>
      <c r="D27" s="555"/>
      <c r="E27" s="555"/>
      <c r="F27" s="555"/>
      <c r="G27" s="555"/>
      <c r="H27" s="555"/>
      <c r="I27" s="555"/>
      <c r="J27" s="623"/>
      <c r="K27" s="627"/>
    </row>
    <row r="28" spans="1:11">
      <c r="A28" s="541" t="str">
        <f>'Etape 3-Métaux-MatPre'!A10</f>
        <v>Production de cuivre à partir de concentrés</v>
      </c>
      <c r="B28" s="263" t="str">
        <f>'Etape 3-Métaux-MatPre'!M10</f>
        <v>5.2.4</v>
      </c>
      <c r="C28" s="555"/>
      <c r="D28" s="555"/>
      <c r="E28" s="555"/>
      <c r="F28" s="555"/>
      <c r="G28" s="555"/>
      <c r="H28" s="555"/>
      <c r="I28" s="555"/>
      <c r="J28" s="623"/>
      <c r="K28" s="627"/>
    </row>
    <row r="29" spans="1:11">
      <c r="A29" s="541" t="str">
        <f>'Etape 3-Métaux-MatPre'!A13</f>
        <v>Production de plomb à partir de concentrés</v>
      </c>
      <c r="B29" s="263" t="str">
        <f>'Etape 3-Métaux-MatPre'!M13</f>
        <v>5.2.5</v>
      </c>
      <c r="C29" s="555"/>
      <c r="D29" s="555"/>
      <c r="E29" s="555"/>
      <c r="F29" s="555"/>
      <c r="G29" s="555"/>
      <c r="H29" s="555"/>
      <c r="I29" s="555"/>
      <c r="J29" s="623"/>
      <c r="K29" s="627"/>
    </row>
    <row r="30" spans="1:11" ht="25">
      <c r="A30" s="541" t="str">
        <f>'Etape 3-Métaux-MatPre'!A16</f>
        <v>Extraction de l'or par des méthodes autres que l'amalgamation au mercure</v>
      </c>
      <c r="B30" s="263" t="str">
        <f>'Etape 3-Métaux-MatPre'!M16</f>
        <v>5.2.6</v>
      </c>
      <c r="C30" s="555"/>
      <c r="D30" s="555"/>
      <c r="E30" s="555"/>
      <c r="F30" s="555"/>
      <c r="G30" s="555"/>
      <c r="H30" s="555"/>
      <c r="I30" s="555"/>
      <c r="J30" s="623"/>
      <c r="K30" s="627"/>
    </row>
    <row r="31" spans="1:11" ht="24" customHeight="1">
      <c r="A31" s="541" t="str">
        <f>'Etape 3-Métaux-MatPre'!A17</f>
        <v>Production d'alumine à partir de la bauxite (production d'aluminium)</v>
      </c>
      <c r="B31" s="263" t="str">
        <f>'Etape 3-Métaux-MatPre'!M17</f>
        <v>5.2.7</v>
      </c>
      <c r="C31" s="555"/>
      <c r="D31" s="555"/>
      <c r="E31" s="555"/>
      <c r="F31" s="555"/>
      <c r="G31" s="555"/>
      <c r="H31" s="555"/>
      <c r="I31" s="555"/>
      <c r="J31" s="623"/>
      <c r="K31" s="627"/>
    </row>
    <row r="32" spans="1:11" ht="24.75" customHeight="1">
      <c r="A32" s="541" t="str">
        <f>'Etape 3-Métaux-MatPre'!A18</f>
        <v>Production de métal ferreux de première fusion (production de fonte)</v>
      </c>
      <c r="B32" s="263" t="str">
        <f>'Etape 3-Métaux-MatPre'!M18</f>
        <v>5.2.9</v>
      </c>
      <c r="C32" s="555"/>
      <c r="D32" s="555"/>
      <c r="E32" s="555"/>
      <c r="F32" s="555"/>
      <c r="G32" s="555"/>
      <c r="H32" s="555"/>
      <c r="I32" s="555"/>
      <c r="J32" s="623"/>
      <c r="K32" s="627"/>
    </row>
    <row r="33" spans="1:11" ht="25">
      <c r="A33" s="541" t="str">
        <f>'Etape 3-Métaux-MatPre'!A19</f>
        <v>Extraction de l'or par amalgamation au mercure- à partir du minerai brut/entier</v>
      </c>
      <c r="B33" s="263" t="str">
        <f>'Etape 3-Métaux-MatPre'!M19</f>
        <v>5.2.2</v>
      </c>
      <c r="C33" s="555"/>
      <c r="D33" s="555"/>
      <c r="E33" s="555"/>
      <c r="F33" s="555"/>
      <c r="G33" s="555"/>
      <c r="H33" s="555"/>
      <c r="I33" s="555"/>
      <c r="J33" s="623"/>
      <c r="K33" s="627"/>
    </row>
    <row r="34" spans="1:11" ht="25.5" thickBot="1">
      <c r="A34" s="542" t="str">
        <f>'Etape 3-Métaux-MatPre'!A22</f>
        <v>Extraction de l'or par amalgamation au mercure- à partir de concentrés</v>
      </c>
      <c r="B34" s="543" t="str">
        <f>'Etape 3-Métaux-MatPre'!M22</f>
        <v>5.2.2</v>
      </c>
      <c r="C34" s="555"/>
      <c r="D34" s="555"/>
      <c r="E34" s="555"/>
      <c r="F34" s="555"/>
      <c r="G34" s="555"/>
      <c r="H34" s="555"/>
      <c r="I34" s="555"/>
      <c r="J34" s="624"/>
      <c r="K34" s="627"/>
    </row>
    <row r="35" spans="1:11" ht="17.25" customHeight="1">
      <c r="A35" s="638" t="str">
        <f>'Etape 3-Métaux-MatPre'!A25</f>
        <v>Autres productions de matériaux</v>
      </c>
      <c r="B35" s="639"/>
      <c r="C35" s="639"/>
      <c r="D35" s="639"/>
      <c r="E35" s="639"/>
      <c r="F35" s="639"/>
      <c r="G35" s="639"/>
      <c r="H35" s="639"/>
      <c r="I35" s="639"/>
      <c r="J35" s="622"/>
      <c r="K35" s="627"/>
    </row>
    <row r="36" spans="1:11">
      <c r="A36" s="541" t="str">
        <f>'Etape 3-Métaux-MatPre'!A26</f>
        <v>Production de ciment</v>
      </c>
      <c r="B36" s="263" t="str">
        <f>'Etape 3-Métaux-MatPre'!M26</f>
        <v>5.3.1</v>
      </c>
      <c r="C36" s="555"/>
      <c r="D36" s="555"/>
      <c r="E36" s="555"/>
      <c r="F36" s="555"/>
      <c r="G36" s="555"/>
      <c r="H36" s="555"/>
      <c r="I36" s="555"/>
      <c r="J36" s="623"/>
      <c r="K36" s="627"/>
    </row>
    <row r="37" spans="1:11" ht="13" thickBot="1">
      <c r="A37" s="542" t="str">
        <f>'Etape 3-Métaux-MatPre'!A31</f>
        <v>Production de pulpe et de papier</v>
      </c>
      <c r="B37" s="543" t="str">
        <f>'Etape 3-Métaux-MatPre'!M31</f>
        <v>5.3.2</v>
      </c>
      <c r="C37" s="555"/>
      <c r="D37" s="555"/>
      <c r="E37" s="555"/>
      <c r="F37" s="555"/>
      <c r="G37" s="555"/>
      <c r="H37" s="555"/>
      <c r="I37" s="555"/>
      <c r="J37" s="624"/>
      <c r="K37" s="627"/>
    </row>
    <row r="38" spans="1:11" ht="13">
      <c r="A38" s="638" t="str">
        <f>'Etape 4-Utilis. Industrielle Hg'!A4</f>
        <v>Production de produits chimiques</v>
      </c>
      <c r="B38" s="639"/>
      <c r="C38" s="639"/>
      <c r="D38" s="639"/>
      <c r="E38" s="639"/>
      <c r="F38" s="639"/>
      <c r="G38" s="639"/>
      <c r="H38" s="639"/>
      <c r="I38" s="639"/>
      <c r="J38" s="622"/>
      <c r="K38" s="626" t="str">
        <f>IF(SUM(C39:I41)+SUM(C43:I50)&lt;&gt;0,"IL2","")</f>
        <v/>
      </c>
    </row>
    <row r="39" spans="1:11" ht="25">
      <c r="A39" s="541" t="str">
        <f>'Etape 4-Utilis. Industrielle Hg'!A5</f>
        <v>Production de chlore et de soude caustique avec cellules à mercure</v>
      </c>
      <c r="B39" s="272" t="str">
        <f>'Etape 4-Utilis. Industrielle Hg'!L5</f>
        <v>5.4.1</v>
      </c>
      <c r="C39" s="555"/>
      <c r="D39" s="555"/>
      <c r="E39" s="555"/>
      <c r="F39" s="555"/>
      <c r="G39" s="555"/>
      <c r="H39" s="555"/>
      <c r="I39" s="555"/>
      <c r="J39" s="623"/>
      <c r="K39" s="627"/>
    </row>
    <row r="40" spans="1:11">
      <c r="A40" s="541" t="str">
        <f>'Etape 4-Utilis. Industrielle Hg'!A6</f>
        <v>Production de CVM avec catalyseur au mercure</v>
      </c>
      <c r="B40" s="272" t="str">
        <f>'Etape 4-Utilis. Industrielle Hg'!L6</f>
        <v>5.4.2</v>
      </c>
      <c r="C40" s="555"/>
      <c r="D40" s="555"/>
      <c r="E40" s="555"/>
      <c r="F40" s="555"/>
      <c r="G40" s="555"/>
      <c r="H40" s="555"/>
      <c r="I40" s="555"/>
      <c r="J40" s="623"/>
      <c r="K40" s="627"/>
    </row>
    <row r="41" spans="1:11" ht="13" thickBot="1">
      <c r="A41" s="542" t="str">
        <f>'Etape 4-Utilis. Industrielle Hg'!A7</f>
        <v>Production d'acétaldéhyde avec catalyseur au mercure</v>
      </c>
      <c r="B41" s="549" t="str">
        <f>'Etape 4-Utilis. Industrielle Hg'!L7</f>
        <v>5.4.3</v>
      </c>
      <c r="C41" s="555"/>
      <c r="D41" s="555"/>
      <c r="E41" s="555"/>
      <c r="F41" s="555"/>
      <c r="G41" s="555"/>
      <c r="H41" s="555"/>
      <c r="I41" s="555"/>
      <c r="J41" s="624"/>
      <c r="K41" s="627"/>
    </row>
    <row r="42" spans="1:11" ht="13">
      <c r="A42" s="638" t="str">
        <f>'Etape 4-Utilis. Industrielle Hg'!A9</f>
        <v>Production de produits avec des teneurs en mercure</v>
      </c>
      <c r="B42" s="639"/>
      <c r="C42" s="639"/>
      <c r="D42" s="639"/>
      <c r="E42" s="639"/>
      <c r="F42" s="639"/>
      <c r="G42" s="639"/>
      <c r="H42" s="639"/>
      <c r="I42" s="639"/>
      <c r="J42" s="622"/>
      <c r="K42" s="627"/>
    </row>
    <row r="43" spans="1:11" ht="25">
      <c r="A43" s="541" t="str">
        <f>'Etape 4-Utilis. Industrielle Hg'!A10</f>
        <v>Thermomètres au mercure (médical, air, laboratoire, industriel etc.)</v>
      </c>
      <c r="B43" s="279" t="str">
        <f>'Etape 4-Utilis. Industrielle Hg'!L10</f>
        <v>5.5.1</v>
      </c>
      <c r="C43" s="555"/>
      <c r="D43" s="555"/>
      <c r="E43" s="555"/>
      <c r="F43" s="555"/>
      <c r="G43" s="555"/>
      <c r="H43" s="555"/>
      <c r="I43" s="555"/>
      <c r="J43" s="623"/>
      <c r="K43" s="627"/>
    </row>
    <row r="44" spans="1:11">
      <c r="A44" s="541" t="str">
        <f>'Etape 4-Utilis. Industrielle Hg'!A11</f>
        <v>Commutateurs et relais électriques avec du mercure</v>
      </c>
      <c r="B44" s="279" t="str">
        <f>'Etape 4-Utilis. Industrielle Hg'!L11</f>
        <v>5.5.2</v>
      </c>
      <c r="C44" s="555"/>
      <c r="D44" s="555"/>
      <c r="E44" s="555"/>
      <c r="F44" s="555"/>
      <c r="G44" s="555"/>
      <c r="H44" s="555"/>
      <c r="I44" s="555"/>
      <c r="J44" s="623"/>
      <c r="K44" s="627"/>
    </row>
    <row r="45" spans="1:11" ht="25">
      <c r="A45" s="541" t="str">
        <f>'Etape 4-Utilis. Industrielle Hg'!A12</f>
        <v>Sources de lumière au mercure (fluorescent, compact, autres : voir guide)</v>
      </c>
      <c r="B45" s="279" t="str">
        <f>'Etape 4-Utilis. Industrielle Hg'!L12</f>
        <v>5.5.3</v>
      </c>
      <c r="C45" s="555"/>
      <c r="D45" s="555"/>
      <c r="E45" s="555"/>
      <c r="F45" s="555"/>
      <c r="G45" s="555"/>
      <c r="H45" s="555"/>
      <c r="I45" s="555"/>
      <c r="J45" s="623"/>
      <c r="K45" s="627"/>
    </row>
    <row r="46" spans="1:11">
      <c r="A46" s="541" t="str">
        <f>'Etape 4-Utilis. Industrielle Hg'!A13</f>
        <v>Piles au mercure</v>
      </c>
      <c r="B46" s="279" t="str">
        <f>'Etape 4-Utilis. Industrielle Hg'!L13</f>
        <v>5.5.4</v>
      </c>
      <c r="C46" s="555"/>
      <c r="D46" s="555"/>
      <c r="E46" s="555"/>
      <c r="F46" s="555"/>
      <c r="G46" s="555"/>
      <c r="H46" s="555"/>
      <c r="I46" s="555"/>
      <c r="J46" s="623"/>
      <c r="K46" s="627"/>
    </row>
    <row r="47" spans="1:11">
      <c r="A47" s="541" t="str">
        <f>'Etape 4-Utilis. Industrielle Hg'!A14</f>
        <v>Manomètres et jauges au mercure</v>
      </c>
      <c r="B47" s="272" t="str">
        <f>'Etape 4-Utilis. Industrielle Hg'!L14</f>
        <v>5.6.2</v>
      </c>
      <c r="C47" s="555"/>
      <c r="D47" s="555"/>
      <c r="E47" s="555"/>
      <c r="F47" s="555"/>
      <c r="G47" s="555"/>
      <c r="H47" s="555"/>
      <c r="I47" s="555"/>
      <c r="J47" s="623"/>
      <c r="K47" s="627"/>
    </row>
    <row r="48" spans="1:11">
      <c r="A48" s="541" t="str">
        <f>'Etape 4-Utilis. Industrielle Hg'!A15</f>
        <v>Biocides et pesticides au mercure</v>
      </c>
      <c r="B48" s="272" t="str">
        <f>'Etape 4-Utilis. Industrielle Hg'!L15</f>
        <v>5.5.5</v>
      </c>
      <c r="C48" s="555"/>
      <c r="D48" s="555"/>
      <c r="E48" s="555"/>
      <c r="F48" s="555"/>
      <c r="G48" s="555"/>
      <c r="H48" s="555"/>
      <c r="I48" s="555"/>
      <c r="J48" s="623"/>
      <c r="K48" s="627"/>
    </row>
    <row r="49" spans="1:11">
      <c r="A49" s="541" t="str">
        <f>'Etape 4-Utilis. Industrielle Hg'!A16</f>
        <v>Peintures au mercure</v>
      </c>
      <c r="B49" s="272" t="str">
        <f>'Etape 4-Utilis. Industrielle Hg'!L16</f>
        <v>5.5.6</v>
      </c>
      <c r="C49" s="555"/>
      <c r="D49" s="555"/>
      <c r="E49" s="555"/>
      <c r="F49" s="555"/>
      <c r="G49" s="555"/>
      <c r="H49" s="555"/>
      <c r="I49" s="555"/>
      <c r="J49" s="623"/>
      <c r="K49" s="627"/>
    </row>
    <row r="50" spans="1:11" ht="25.5" thickBot="1">
      <c r="A50" s="542" t="str">
        <f>'Etape 4-Utilis. Industrielle Hg'!A17</f>
        <v>Crèmes et savons éclaircissants pour la peau contenant du mercure</v>
      </c>
      <c r="B50" s="549" t="str">
        <f>'Etape 4-Utilis. Industrielle Hg'!L17</f>
        <v>5.5.7</v>
      </c>
      <c r="C50" s="555"/>
      <c r="D50" s="555"/>
      <c r="E50" s="555"/>
      <c r="F50" s="555"/>
      <c r="G50" s="555"/>
      <c r="H50" s="555"/>
      <c r="I50" s="555"/>
      <c r="J50" s="624"/>
      <c r="K50" s="628"/>
    </row>
    <row r="51" spans="1:11" ht="16.5" customHeight="1">
      <c r="A51" s="638" t="str">
        <f>'Etape6-Produits-substances Hg'!A6</f>
        <v>Utilisation et élimination de produits avec des teneurs en mercure</v>
      </c>
      <c r="B51" s="639"/>
      <c r="C51" s="639"/>
      <c r="D51" s="639"/>
      <c r="E51" s="639"/>
      <c r="F51" s="639"/>
      <c r="G51" s="639"/>
      <c r="H51" s="639"/>
      <c r="I51" s="639"/>
      <c r="J51" s="622"/>
      <c r="K51" s="627" t="str">
        <f>IF(SUM(C52:I63)&lt;&gt;0,"IL2","")</f>
        <v/>
      </c>
    </row>
    <row r="52" spans="1:11">
      <c r="A52" s="541" t="str">
        <f>'Etape6-Produits-substances Hg'!A7</f>
        <v>Amalgames dentaires (obturation "argent")</v>
      </c>
      <c r="B52" s="272" t="str">
        <f>'Etape6-Produits-substances Hg'!M7</f>
        <v>5.6.1</v>
      </c>
      <c r="C52" s="555"/>
      <c r="D52" s="555"/>
      <c r="E52" s="555"/>
      <c r="F52" s="555"/>
      <c r="G52" s="555"/>
      <c r="H52" s="555"/>
      <c r="I52" s="555"/>
      <c r="J52" s="623"/>
      <c r="K52" s="627"/>
    </row>
    <row r="53" spans="1:11">
      <c r="A53" s="541" t="str">
        <f>'Etape6-Produits-substances Hg'!A15</f>
        <v>Thermomètres</v>
      </c>
      <c r="B53" s="272" t="str">
        <f>'Etape6-Produits-substances Hg'!M15</f>
        <v>5.5.1</v>
      </c>
      <c r="C53" s="555"/>
      <c r="D53" s="555"/>
      <c r="E53" s="555"/>
      <c r="F53" s="555"/>
      <c r="G53" s="555"/>
      <c r="H53" s="555"/>
      <c r="I53" s="555"/>
      <c r="J53" s="623"/>
      <c r="K53" s="627"/>
    </row>
    <row r="54" spans="1:11" ht="25">
      <c r="A54" s="541" t="str">
        <f>'Etape6-Produits-substances Hg'!A20</f>
        <v>Commutateurs et relais électriques contenant du mercure</v>
      </c>
      <c r="B54" s="272" t="str">
        <f>'Etape6-Produits-substances Hg'!M20</f>
        <v>5.5.2</v>
      </c>
      <c r="C54" s="555"/>
      <c r="D54" s="555"/>
      <c r="E54" s="555"/>
      <c r="F54" s="555"/>
      <c r="G54" s="555"/>
      <c r="H54" s="555"/>
      <c r="I54" s="555"/>
      <c r="J54" s="623"/>
      <c r="K54" s="627"/>
    </row>
    <row r="55" spans="1:11">
      <c r="A55" s="541" t="str">
        <f>'Etape6-Produits-substances Hg'!A23</f>
        <v>Sources de lumière au mercure</v>
      </c>
      <c r="B55" s="272" t="str">
        <f>'Etape6-Produits-substances Hg'!M23</f>
        <v>5.5.3</v>
      </c>
      <c r="C55" s="555"/>
      <c r="D55" s="555"/>
      <c r="E55" s="555"/>
      <c r="F55" s="555"/>
      <c r="G55" s="555"/>
      <c r="H55" s="555"/>
      <c r="I55" s="555"/>
      <c r="J55" s="623"/>
      <c r="K55" s="627"/>
    </row>
    <row r="56" spans="1:11">
      <c r="A56" s="550" t="str">
        <f>'Etape6-Produits-substances Hg'!A28</f>
        <v>Piles contenant du mercure</v>
      </c>
      <c r="B56" s="272" t="str">
        <f>'Etape6-Produits-substances Hg'!M28</f>
        <v>5.5.4</v>
      </c>
      <c r="C56" s="555"/>
      <c r="D56" s="555"/>
      <c r="E56" s="555"/>
      <c r="F56" s="555"/>
      <c r="G56" s="555"/>
      <c r="H56" s="555"/>
      <c r="I56" s="555"/>
      <c r="J56" s="623"/>
      <c r="K56" s="627"/>
    </row>
    <row r="57" spans="1:11" ht="25">
      <c r="A57" s="541" t="str">
        <f>'Etape6-Produits-substances Hg'!A33</f>
        <v>Polyuréthane produit (PU, PUR) avec un catalyseur au mercure</v>
      </c>
      <c r="B57" s="272" t="str">
        <f>'Etape6-Produits-substances Hg'!M33</f>
        <v>5.5.5.</v>
      </c>
      <c r="C57" s="555"/>
      <c r="D57" s="555"/>
      <c r="E57" s="555"/>
      <c r="F57" s="555"/>
      <c r="G57" s="555"/>
      <c r="H57" s="555"/>
      <c r="I57" s="555"/>
      <c r="J57" s="623"/>
      <c r="K57" s="627"/>
    </row>
    <row r="58" spans="1:11">
      <c r="A58" s="541" t="str">
        <f>'Etape6-Produits-substances Hg'!A36</f>
        <v>Peintures avec des conservateurs au mercure</v>
      </c>
      <c r="B58" s="272" t="str">
        <f>'Etape6-Produits-substances Hg'!M36</f>
        <v>5.5.7</v>
      </c>
      <c r="C58" s="555"/>
      <c r="D58" s="555"/>
      <c r="E58" s="555"/>
      <c r="F58" s="555"/>
      <c r="G58" s="555"/>
      <c r="H58" s="555"/>
      <c r="I58" s="555"/>
      <c r="J58" s="623"/>
      <c r="K58" s="627"/>
    </row>
    <row r="59" spans="1:11" ht="25">
      <c r="A59" s="541" t="str">
        <f>'Etape6-Produits-substances Hg'!A38</f>
        <v>Crèmes et savons éclaircissants pour la peau contenant du mercure</v>
      </c>
      <c r="B59" s="272" t="str">
        <f>'Etape6-Produits-substances Hg'!M38</f>
        <v>5.5.8</v>
      </c>
      <c r="C59" s="555"/>
      <c r="D59" s="555"/>
      <c r="E59" s="555"/>
      <c r="F59" s="555"/>
      <c r="G59" s="555"/>
      <c r="H59" s="555"/>
      <c r="I59" s="555"/>
      <c r="J59" s="623"/>
      <c r="K59" s="627"/>
    </row>
    <row r="60" spans="1:11" ht="29.25" customHeight="1">
      <c r="A60" s="541" t="str">
        <f>'Etape6-Produits-substances Hg'!A40</f>
        <v>Appareil médical servant à mesurer la pression sanguine (tensiomètre au mercure)</v>
      </c>
      <c r="B60" s="272" t="str">
        <f>'Etape6-Produits-substances Hg'!M40</f>
        <v>5.6.2</v>
      </c>
      <c r="C60" s="555"/>
      <c r="D60" s="555"/>
      <c r="E60" s="555"/>
      <c r="F60" s="555"/>
      <c r="G60" s="555"/>
      <c r="H60" s="555"/>
      <c r="I60" s="555"/>
      <c r="J60" s="623"/>
      <c r="K60" s="627"/>
    </row>
    <row r="61" spans="1:11">
      <c r="A61" s="541" t="str">
        <f>'Etape6-Produits-substances Hg'!A42</f>
        <v>Autres manomètres et jauges contenant du mercure</v>
      </c>
      <c r="B61" s="272" t="str">
        <f>'Etape6-Produits-substances Hg'!M42</f>
        <v>5.6.2</v>
      </c>
      <c r="C61" s="555"/>
      <c r="D61" s="555"/>
      <c r="E61" s="555"/>
      <c r="F61" s="555"/>
      <c r="G61" s="555"/>
      <c r="H61" s="555"/>
      <c r="I61" s="555"/>
      <c r="J61" s="623"/>
      <c r="K61" s="627"/>
    </row>
    <row r="62" spans="1:11">
      <c r="A62" s="541" t="str">
        <f>'Etape6-Produits-substances Hg'!A45</f>
        <v>Produits chimiques de laboratoire</v>
      </c>
      <c r="B62" s="272" t="str">
        <f>'Etape6-Produits-substances Hg'!M45</f>
        <v>5.6.3</v>
      </c>
      <c r="C62" s="555"/>
      <c r="D62" s="555"/>
      <c r="E62" s="555"/>
      <c r="F62" s="555"/>
      <c r="G62" s="555"/>
      <c r="H62" s="555"/>
      <c r="I62" s="555"/>
      <c r="J62" s="623"/>
      <c r="K62" s="627"/>
    </row>
    <row r="63" spans="1:11" ht="25.5" thickBot="1">
      <c r="A63" s="542" t="str">
        <f>'Etape6-Produits-substances Hg'!A48</f>
        <v>Autres équipements de laboratoire et médical contenant du mercure</v>
      </c>
      <c r="B63" s="549" t="str">
        <f>'Etape6-Produits-substances Hg'!M48</f>
        <v>5.6.3, 5.6.5</v>
      </c>
      <c r="C63" s="555"/>
      <c r="D63" s="555"/>
      <c r="E63" s="555"/>
      <c r="F63" s="555"/>
      <c r="G63" s="555"/>
      <c r="H63" s="555"/>
      <c r="I63" s="555"/>
      <c r="J63" s="624"/>
      <c r="K63" s="627"/>
    </row>
    <row r="64" spans="1:11" ht="13">
      <c r="A64" s="638" t="str">
        <f>'Etape5-Trait.+recyclage déchets'!A8</f>
        <v>Production de métal recyclé</v>
      </c>
      <c r="B64" s="639"/>
      <c r="C64" s="639"/>
      <c r="D64" s="639"/>
      <c r="E64" s="639"/>
      <c r="F64" s="639"/>
      <c r="G64" s="639"/>
      <c r="H64" s="639"/>
      <c r="I64" s="639"/>
      <c r="J64" s="622"/>
      <c r="K64" s="626" t="str">
        <f>IF(SUM(C65:I66)+SUM(C68:I72)+SUM(C74:I76)&lt;&gt;0,"IL2","")</f>
        <v/>
      </c>
    </row>
    <row r="65" spans="1:11">
      <c r="A65" s="541" t="str">
        <f>'Etape5-Trait.+recyclage déchets'!A9</f>
        <v>Production de mercure recyclé ("production secondaire”)</v>
      </c>
      <c r="B65" s="272" t="str">
        <f>'Etape5-Trait.+recyclage déchets'!M9</f>
        <v>5.7.1</v>
      </c>
      <c r="C65" s="555"/>
      <c r="D65" s="555"/>
      <c r="E65" s="555"/>
      <c r="F65" s="555"/>
      <c r="G65" s="555"/>
      <c r="H65" s="555"/>
      <c r="I65" s="555"/>
      <c r="J65" s="623"/>
      <c r="K65" s="627"/>
    </row>
    <row r="66" spans="1:11" ht="13" thickBot="1">
      <c r="A66" s="542" t="str">
        <f>'Etape5-Trait.+recyclage déchets'!A10</f>
        <v>Production de métaux ferreux recyclés (fer et acier)</v>
      </c>
      <c r="B66" s="549" t="str">
        <f>'Etape5-Trait.+recyclage déchets'!M10</f>
        <v>5.7.2</v>
      </c>
      <c r="C66" s="555"/>
      <c r="D66" s="555"/>
      <c r="E66" s="555"/>
      <c r="F66" s="555"/>
      <c r="G66" s="555"/>
      <c r="H66" s="555"/>
      <c r="I66" s="555"/>
      <c r="J66" s="624"/>
      <c r="K66" s="627"/>
    </row>
    <row r="67" spans="1:11" ht="13">
      <c r="A67" s="638" t="str">
        <f>'Etape5-Trait.+recyclage déchets'!A12</f>
        <v>Incinération des déchets</v>
      </c>
      <c r="B67" s="639"/>
      <c r="C67" s="639"/>
      <c r="D67" s="639"/>
      <c r="E67" s="639"/>
      <c r="F67" s="639"/>
      <c r="G67" s="639"/>
      <c r="H67" s="639"/>
      <c r="I67" s="639"/>
      <c r="J67" s="622"/>
      <c r="K67" s="627"/>
    </row>
    <row r="68" spans="1:11">
      <c r="A68" s="550" t="s">
        <v>461</v>
      </c>
      <c r="B68" s="272" t="str">
        <f>'Etape5-Trait.+recyclage déchets'!M13</f>
        <v>5.8.1</v>
      </c>
      <c r="C68" s="555"/>
      <c r="D68" s="555"/>
      <c r="E68" s="555"/>
      <c r="F68" s="555"/>
      <c r="G68" s="555"/>
      <c r="H68" s="555"/>
      <c r="I68" s="555"/>
      <c r="J68" s="623"/>
      <c r="K68" s="627"/>
    </row>
    <row r="69" spans="1:11">
      <c r="A69" s="550" t="s">
        <v>462</v>
      </c>
      <c r="B69" s="272" t="str">
        <f>'Etape5-Trait.+recyclage déchets'!M16</f>
        <v>5.8.2</v>
      </c>
      <c r="C69" s="555"/>
      <c r="D69" s="555"/>
      <c r="E69" s="555"/>
      <c r="F69" s="555"/>
      <c r="G69" s="555"/>
      <c r="H69" s="555"/>
      <c r="I69" s="555"/>
      <c r="J69" s="623"/>
      <c r="K69" s="627"/>
    </row>
    <row r="70" spans="1:11">
      <c r="A70" s="550" t="s">
        <v>463</v>
      </c>
      <c r="B70" s="272" t="str">
        <f>'Etape5-Trait.+recyclage déchets'!M19</f>
        <v>5.8.3</v>
      </c>
      <c r="C70" s="555"/>
      <c r="D70" s="555"/>
      <c r="E70" s="555"/>
      <c r="F70" s="555"/>
      <c r="G70" s="555"/>
      <c r="H70" s="555"/>
      <c r="I70" s="555"/>
      <c r="J70" s="623"/>
      <c r="K70" s="627"/>
    </row>
    <row r="71" spans="1:11">
      <c r="A71" s="550" t="s">
        <v>464</v>
      </c>
      <c r="B71" s="272" t="str">
        <f>'Etape5-Trait.+recyclage déchets'!M22</f>
        <v>5.8.4</v>
      </c>
      <c r="C71" s="555"/>
      <c r="D71" s="555"/>
      <c r="E71" s="555"/>
      <c r="F71" s="555"/>
      <c r="G71" s="555"/>
      <c r="H71" s="555"/>
      <c r="I71" s="555"/>
      <c r="J71" s="623"/>
      <c r="K71" s="627"/>
    </row>
    <row r="72" spans="1:11" ht="13" thickBot="1">
      <c r="A72" s="634" t="s">
        <v>465</v>
      </c>
      <c r="B72" s="635" t="str">
        <f>'Etape5-Trait.+recyclage déchets'!M23</f>
        <v>5.8.5</v>
      </c>
      <c r="C72" s="636"/>
      <c r="D72" s="636"/>
      <c r="E72" s="636"/>
      <c r="F72" s="636"/>
      <c r="G72" s="636"/>
      <c r="H72" s="636"/>
      <c r="I72" s="636"/>
      <c r="J72" s="637"/>
      <c r="K72" s="627"/>
    </row>
    <row r="73" spans="1:11" ht="13">
      <c r="A73" s="638" t="str">
        <f>'Etape5-Trait.+recyclage déchets'!A25</f>
        <v>Dépôt/décharge de déchets et traitement des eaux usées</v>
      </c>
      <c r="B73" s="639"/>
      <c r="C73" s="639"/>
      <c r="D73" s="639"/>
      <c r="E73" s="639"/>
      <c r="F73" s="639"/>
      <c r="G73" s="639"/>
      <c r="H73" s="639"/>
      <c r="I73" s="639"/>
      <c r="J73" s="630"/>
      <c r="K73" s="627"/>
    </row>
    <row r="74" spans="1:11">
      <c r="A74" s="550" t="s">
        <v>447</v>
      </c>
      <c r="B74" s="272" t="str">
        <f>'Etape5-Trait.+recyclage déchets'!M26</f>
        <v>5.9.1</v>
      </c>
      <c r="C74" s="555"/>
      <c r="D74" s="555"/>
      <c r="E74" s="555"/>
      <c r="F74" s="555"/>
      <c r="G74" s="555"/>
      <c r="H74" s="555"/>
      <c r="I74" s="555"/>
      <c r="J74" s="631"/>
      <c r="K74" s="627"/>
    </row>
    <row r="75" spans="1:11">
      <c r="A75" s="550" t="s">
        <v>460</v>
      </c>
      <c r="B75" s="272" t="str">
        <f>'Etape5-Trait.+recyclage déchets'!M27</f>
        <v>5.9.4</v>
      </c>
      <c r="C75" s="555"/>
      <c r="D75" s="555"/>
      <c r="E75" s="555"/>
      <c r="F75" s="555"/>
      <c r="G75" s="555"/>
      <c r="H75" s="555"/>
      <c r="I75" s="555"/>
      <c r="J75" s="631"/>
      <c r="K75" s="627"/>
    </row>
    <row r="76" spans="1:11" ht="13" thickBot="1">
      <c r="A76" s="551" t="s">
        <v>446</v>
      </c>
      <c r="B76" s="549" t="str">
        <f>'Etape5-Trait.+recyclage déchets'!M29</f>
        <v>5.9.5</v>
      </c>
      <c r="C76" s="632"/>
      <c r="D76" s="632"/>
      <c r="E76" s="632"/>
      <c r="F76" s="632"/>
      <c r="G76" s="632"/>
      <c r="H76" s="632"/>
      <c r="I76" s="632"/>
      <c r="J76" s="633"/>
      <c r="K76" s="628"/>
    </row>
    <row r="77" spans="1:11" ht="13">
      <c r="A77" s="638" t="str">
        <f>'Etape7-Crématoriums-cimetières'!A4</f>
        <v>Crématoriums and cimetières</v>
      </c>
      <c r="B77" s="640"/>
      <c r="C77" s="640"/>
      <c r="D77" s="640"/>
      <c r="E77" s="640"/>
      <c r="F77" s="640"/>
      <c r="G77" s="640"/>
      <c r="H77" s="640"/>
      <c r="I77" s="640"/>
      <c r="J77" s="630"/>
      <c r="K77" s="627" t="str">
        <f>IF(SUM(C78:I79)&lt;&gt;0,"IL2","")</f>
        <v/>
      </c>
    </row>
    <row r="78" spans="1:11">
      <c r="A78" s="541" t="str">
        <f>'Etape7-Crématoriums-cimetières'!A5</f>
        <v>Crématoriums</v>
      </c>
      <c r="B78" s="272" t="str">
        <f>'Etape7-Crématoriums-cimetières'!L5</f>
        <v>5.10.1</v>
      </c>
      <c r="C78" s="555"/>
      <c r="D78" s="555"/>
      <c r="E78" s="555"/>
      <c r="F78" s="555"/>
      <c r="G78" s="555"/>
      <c r="H78" s="555"/>
      <c r="I78" s="555"/>
      <c r="J78" s="631"/>
      <c r="K78" s="627"/>
    </row>
    <row r="79" spans="1:11" ht="13" thickBot="1">
      <c r="A79" s="542" t="str">
        <f>'Etape7-Crématoriums-cimetières'!A6</f>
        <v>Cimetières</v>
      </c>
      <c r="B79" s="549" t="str">
        <f>'Etape7-Crématoriums-cimetières'!L6</f>
        <v>5.10.2</v>
      </c>
      <c r="C79" s="632"/>
      <c r="D79" s="632"/>
      <c r="E79" s="632"/>
      <c r="F79" s="632"/>
      <c r="G79" s="632"/>
      <c r="H79" s="632"/>
      <c r="I79" s="632"/>
      <c r="J79" s="633"/>
      <c r="K79" s="628"/>
    </row>
    <row r="80" spans="1:11">
      <c r="A80" s="322"/>
      <c r="C80" s="3"/>
    </row>
    <row r="81" spans="1:11">
      <c r="A81" s="322"/>
    </row>
    <row r="82" spans="1:11">
      <c r="K82" s="469"/>
    </row>
    <row r="85" spans="1:11">
      <c r="A85" s="322"/>
    </row>
    <row r="86" spans="1:11">
      <c r="A86" s="322"/>
    </row>
    <row r="87" spans="1:11">
      <c r="A87" s="322"/>
      <c r="K87" s="469"/>
    </row>
    <row r="88" spans="1:11">
      <c r="A88" s="322"/>
    </row>
    <row r="89" spans="1:11">
      <c r="K89" s="469"/>
    </row>
    <row r="91" spans="1:11">
      <c r="K91" s="469"/>
    </row>
  </sheetData>
  <sheetProtection algorithmName="SHA-512" hashValue="v0xaPwJiig/IvYktlapgpjiZm8Y8igv86WukbgHN5jnUu04/BqdhIsqROKPcoWvu8fE6f4Qyi/Obfgg3c6yQtw==" saltValue="QqDMJrwcyksEqfEwPK+QSA==" spinCount="100000" sheet="1" objects="1" scenarios="1"/>
  <mergeCells count="1">
    <mergeCell ref="D9:I9"/>
  </mergeCells>
  <dataValidations count="1">
    <dataValidation type="decimal" allowBlank="1" showInputMessage="1" showErrorMessage="1" errorTitle="Input error" error="Use digits and decimal mark only." prompt="Utiliser des chiffres et décimales seulement." sqref="C12:I20 C22:I24 C26:I34 C36:I37 C39:I41 C43:I50 C52:I63 C65:I66 C68:I72 C74:I76 C78:I79" xr:uid="{00000000-0002-0000-1200-000000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40"/>
  <sheetViews>
    <sheetView zoomScaleNormal="100" zoomScaleSheetLayoutView="80" workbookViewId="0">
      <selection activeCell="B27" sqref="B27"/>
    </sheetView>
  </sheetViews>
  <sheetFormatPr defaultColWidth="9.1796875" defaultRowHeight="12.5" outlineLevelRow="1"/>
  <cols>
    <col min="1" max="1" width="29.6328125" style="338" customWidth="1"/>
    <col min="2" max="2" width="11.1796875" style="359" customWidth="1"/>
    <col min="3" max="3" width="16" style="338" customWidth="1"/>
    <col min="4" max="4" width="24.1796875" style="338" customWidth="1"/>
    <col min="5" max="5" width="23" style="338" customWidth="1"/>
    <col min="6" max="6" width="15.1796875" style="338" customWidth="1"/>
    <col min="7" max="7" width="13.6328125" style="338" customWidth="1"/>
    <col min="8" max="8" width="12.6328125" style="338" customWidth="1"/>
    <col min="9" max="9" width="11.453125" style="338" customWidth="1"/>
    <col min="10" max="10" width="13.453125" style="338" customWidth="1"/>
    <col min="11" max="11" width="10.36328125" style="338" customWidth="1"/>
    <col min="12" max="12" width="15.6328125" style="338" customWidth="1"/>
    <col min="13" max="13" width="7" style="338" customWidth="1"/>
    <col min="14" max="14" width="8.453125" style="338" customWidth="1"/>
    <col min="15" max="15" width="0.1796875" style="338" hidden="1" customWidth="1"/>
    <col min="16" max="16" width="20.1796875" style="338" customWidth="1"/>
    <col min="17" max="16384" width="9.1796875" style="338"/>
  </cols>
  <sheetData>
    <row r="1" spans="1:17" ht="13">
      <c r="A1" s="355" t="s">
        <v>866</v>
      </c>
      <c r="B1" s="356"/>
    </row>
    <row r="2" spans="1:17" ht="30" customHeight="1">
      <c r="A2" s="816" t="str">
        <f>IF(ISNA(MATCH("n",O5:O26,0)),"",trans_warning)</f>
        <v/>
      </c>
      <c r="B2" s="817"/>
      <c r="C2" s="817"/>
      <c r="D2" s="817"/>
      <c r="E2" s="817"/>
      <c r="F2" s="817"/>
      <c r="G2" s="817"/>
      <c r="H2" s="817"/>
      <c r="I2" s="817"/>
      <c r="J2" s="817"/>
      <c r="K2" s="817"/>
      <c r="L2" s="817"/>
      <c r="M2" s="818"/>
    </row>
    <row r="3" spans="1:17" s="360" customFormat="1" ht="45" customHeight="1">
      <c r="A3" s="744" t="s">
        <v>867</v>
      </c>
      <c r="B3" s="757" t="s">
        <v>868</v>
      </c>
      <c r="C3" s="758" t="s">
        <v>869</v>
      </c>
      <c r="D3" s="744"/>
      <c r="E3" s="746"/>
      <c r="F3" s="756" t="s">
        <v>874</v>
      </c>
      <c r="G3" s="813" t="s">
        <v>875</v>
      </c>
      <c r="H3" s="814"/>
      <c r="I3" s="814"/>
      <c r="J3" s="814"/>
      <c r="K3" s="814"/>
      <c r="L3" s="815"/>
      <c r="M3" s="744"/>
    </row>
    <row r="4" spans="1:17" ht="52.5" thickBot="1">
      <c r="A4" s="742" t="s">
        <v>870</v>
      </c>
      <c r="B4" s="743" t="s">
        <v>871</v>
      </c>
      <c r="C4" s="747" t="s">
        <v>872</v>
      </c>
      <c r="D4" s="748" t="s">
        <v>873</v>
      </c>
      <c r="E4" s="769" t="s">
        <v>1116</v>
      </c>
      <c r="F4" s="758" t="s">
        <v>876</v>
      </c>
      <c r="G4" s="749" t="s">
        <v>38</v>
      </c>
      <c r="H4" s="749" t="s">
        <v>877</v>
      </c>
      <c r="I4" s="749" t="s">
        <v>878</v>
      </c>
      <c r="J4" s="758" t="s">
        <v>879</v>
      </c>
      <c r="K4" s="758" t="s">
        <v>880</v>
      </c>
      <c r="L4" s="758" t="s">
        <v>881</v>
      </c>
      <c r="M4" s="744" t="s">
        <v>359</v>
      </c>
      <c r="N4" s="322" t="s">
        <v>1151</v>
      </c>
    </row>
    <row r="5" spans="1:17" ht="25.5" thickBot="1">
      <c r="A5" s="621" t="s">
        <v>882</v>
      </c>
      <c r="B5" s="400"/>
      <c r="C5" s="399"/>
      <c r="D5" s="767" t="s">
        <v>883</v>
      </c>
      <c r="E5" s="695"/>
      <c r="F5" s="456" t="str">
        <f>IF(OR($B5=yes,$B5=yes),'5-1 Fuels'!$K$6, IF(OR($B5=no,$B5=no),"-", IF($B5=que,que, pres)))</f>
        <v>Présent ?</v>
      </c>
      <c r="G5" s="457" t="str">
        <f>IF(OR($B5=yes,$B5=yes),'5-1 Fuels'!V6, IF(OR($B5=no,$B5=no),"-", IF($B5=que,que, pres)))</f>
        <v>Présent ?</v>
      </c>
      <c r="H5" s="457" t="str">
        <f>IF(OR($B5=yes,$B5=yes),'5-1 Fuels'!W6, IF(OR($B5=no,$B5=no),"-", IF($B5=que,que, pres)))</f>
        <v>Présent ?</v>
      </c>
      <c r="I5" s="457" t="str">
        <f>IF(OR($B5=yes,$B5=yes),'5-1 Fuels'!X6, IF(OR($B5=no,$B5=no),"-", IF($B5=que,que, pres)))</f>
        <v>Présent ?</v>
      </c>
      <c r="J5" s="457" t="str">
        <f>IF(OR($B5=yes,$B5=yes),'5-1 Fuels'!Y6, IF(OR($B5=no,$B5=no),"-", IF($B5=que,que, pres)))</f>
        <v>Présent ?</v>
      </c>
      <c r="K5" s="457" t="str">
        <f>IF(OR($B5=yes,$B5=yes),'5-1 Fuels'!Z6, IF(OR($B5=no,$B5=no),"-", IF($B5=que,que, pres)))</f>
        <v>Présent ?</v>
      </c>
      <c r="L5" s="457" t="str">
        <f>IF(OR($B5=yes,$B5=yes),'5-1 Fuels'!AA6, IF(OR($B5=no,$B5=no),"-", IF($B5=que,que, pres)))</f>
        <v>Présent ?</v>
      </c>
      <c r="M5" s="272" t="str">
        <f>'5-1 Fuels'!B6</f>
        <v>5.1.1</v>
      </c>
      <c r="N5" s="460"/>
      <c r="O5" s="338" t="str">
        <f>INDEX('Range-thresholds'!$G$6:$G$73,MATCH(A5,'Range-thresholds'!$A$6:$A$73,0))</f>
        <v/>
      </c>
      <c r="P5" s="322"/>
      <c r="Q5" s="469"/>
    </row>
    <row r="6" spans="1:17" ht="52.5" customHeight="1" outlineLevel="1">
      <c r="A6" s="270"/>
      <c r="B6" s="676"/>
      <c r="C6" s="349"/>
      <c r="D6" s="680"/>
      <c r="E6" s="703" t="s">
        <v>1120</v>
      </c>
      <c r="F6" s="681"/>
      <c r="G6" s="681" t="s">
        <v>1122</v>
      </c>
      <c r="H6" s="681" t="s">
        <v>1125</v>
      </c>
      <c r="I6" s="681" t="s">
        <v>1126</v>
      </c>
      <c r="J6" s="681" t="s">
        <v>1128</v>
      </c>
      <c r="K6" s="681" t="s">
        <v>1127</v>
      </c>
      <c r="L6" s="681" t="s">
        <v>1130</v>
      </c>
      <c r="M6" s="272"/>
      <c r="N6" s="460"/>
      <c r="P6" s="322"/>
    </row>
    <row r="7" spans="1:17" ht="38" outlineLevel="1" thickBot="1">
      <c r="A7" s="270"/>
      <c r="B7" s="677"/>
      <c r="C7" s="346"/>
      <c r="D7" s="682" t="s">
        <v>1129</v>
      </c>
      <c r="E7" s="681" t="s">
        <v>1121</v>
      </c>
      <c r="F7" s="681"/>
      <c r="G7" s="684">
        <f>100-H7-I7-J7-K7-L7</f>
        <v>0</v>
      </c>
      <c r="H7" s="689">
        <v>100</v>
      </c>
      <c r="I7" s="689"/>
      <c r="J7" s="689"/>
      <c r="K7" s="689"/>
      <c r="L7" s="689"/>
      <c r="M7" s="725" t="s">
        <v>1224</v>
      </c>
      <c r="N7" s="460"/>
      <c r="P7" s="322"/>
    </row>
    <row r="8" spans="1:17" ht="25.5" thickBot="1">
      <c r="A8" s="621" t="s">
        <v>1115</v>
      </c>
      <c r="B8" s="644"/>
      <c r="C8" s="399"/>
      <c r="D8" s="767" t="s">
        <v>883</v>
      </c>
      <c r="E8" s="695"/>
      <c r="F8" s="456" t="str">
        <f>IF(OR($B8=yes,$B8=yes),'5-1 Fuels'!K16, IF(OR($B8=no,$B8=no),"-", IF($B8=que,que, pres)))</f>
        <v>Présent ?</v>
      </c>
      <c r="G8" s="457" t="str">
        <f>IF(OR($B8=yes,$B8=yes),'5-1 Fuels'!V16, IF(OR($B8=no,$B8=no),"-", IF($B8=que,que, pres)))</f>
        <v>Présent ?</v>
      </c>
      <c r="H8" s="457" t="str">
        <f>IF(OR($B8=yes,$B8=yes),'5-1 Fuels'!W16, IF(OR($B8=no,$B8=no),"-", IF($B8=que,que, pres)))</f>
        <v>Présent ?</v>
      </c>
      <c r="I8" s="457" t="str">
        <f>IF(OR($B8=yes,$B8=yes),'5-1 Fuels'!X16, IF(OR($B8=no,$B8=no),"-", IF($B8=que,que, pres)))</f>
        <v>Présent ?</v>
      </c>
      <c r="J8" s="457" t="str">
        <f>IF(OR($B8=yes,$B8=yes),'5-1 Fuels'!Y16, IF(OR($B8=no,$B8=no),"-", IF($B8=que,que, pres)))</f>
        <v>Présent ?</v>
      </c>
      <c r="K8" s="457" t="str">
        <f>IF(OR($B8=yes,$B8=yes),'5-1 Fuels'!Z16, IF(OR($B8=no,$B8=no),"-", IF($B8=que,que, pres)))</f>
        <v>Présent ?</v>
      </c>
      <c r="L8" s="457" t="str">
        <f>IF(OR($B8=yes,$B8=yes),'5-1 Fuels'!AA16, IF(OR($B8=no,$B8=no),"-", IF($B8=que,que, pres)))</f>
        <v>Présent ?</v>
      </c>
      <c r="M8" s="272" t="str">
        <f>'5-1 Fuels'!B16</f>
        <v>5.1.2.1</v>
      </c>
      <c r="N8" s="460"/>
      <c r="P8" s="322"/>
      <c r="Q8" s="469"/>
    </row>
    <row r="9" spans="1:17" ht="54.75" customHeight="1" outlineLevel="1">
      <c r="A9" s="270"/>
      <c r="B9" s="678"/>
      <c r="C9" s="349"/>
      <c r="D9" s="344"/>
      <c r="E9" s="703" t="s">
        <v>1120</v>
      </c>
      <c r="F9" s="681"/>
      <c r="G9" s="681" t="s">
        <v>1122</v>
      </c>
      <c r="H9" s="681" t="s">
        <v>1125</v>
      </c>
      <c r="I9" s="681" t="s">
        <v>1126</v>
      </c>
      <c r="J9" s="681" t="s">
        <v>1128</v>
      </c>
      <c r="K9" s="681" t="s">
        <v>1127</v>
      </c>
      <c r="L9" s="681" t="s">
        <v>1130</v>
      </c>
      <c r="M9" s="272"/>
      <c r="N9" s="460"/>
      <c r="P9" s="322"/>
    </row>
    <row r="10" spans="1:17" ht="38" outlineLevel="1" thickBot="1">
      <c r="A10" s="270"/>
      <c r="B10" s="679"/>
      <c r="C10" s="346"/>
      <c r="D10" s="682" t="s">
        <v>1129</v>
      </c>
      <c r="E10" s="681" t="s">
        <v>1121</v>
      </c>
      <c r="F10" s="681"/>
      <c r="G10" s="684">
        <f>100-H10-I10-J10-K10-L10</f>
        <v>100</v>
      </c>
      <c r="H10" s="689"/>
      <c r="I10" s="689"/>
      <c r="J10" s="689"/>
      <c r="K10" s="689"/>
      <c r="L10" s="689"/>
      <c r="M10" s="729" t="s">
        <v>1224</v>
      </c>
      <c r="N10" s="460"/>
      <c r="P10" s="322"/>
    </row>
    <row r="11" spans="1:17" ht="13" thickBot="1">
      <c r="A11" s="621" t="s">
        <v>884</v>
      </c>
      <c r="B11" s="641"/>
      <c r="C11" s="377"/>
      <c r="D11" s="767" t="s">
        <v>885</v>
      </c>
      <c r="E11" s="344"/>
      <c r="F11" s="456" t="str">
        <f>IF(OR($B11=yes,$B11=yes),'5-1 Fuels'!K26, IF(OR($B11=no,$B11=no),"-", IF($B11=que,que, pres)))</f>
        <v>Présent ?</v>
      </c>
      <c r="G11" s="457" t="str">
        <f>IF(OR($B11=yes,$B11=yes),'5-1 Fuels'!V26, IF(OR($B11=no,$B11=no),"-", IF($B11=que,que, pres)))</f>
        <v>Présent ?</v>
      </c>
      <c r="H11" s="457" t="str">
        <f>IF(OR($B11=yes,$B11=yes),'5-1 Fuels'!W26, IF(OR($B11=no,$B11=no),"-", IF($B11=que,que, pres)))</f>
        <v>Présent ?</v>
      </c>
      <c r="I11" s="457" t="str">
        <f>IF(OR($B11=yes,$B11=yes),'5-1 Fuels'!X26, IF(OR($B11=no,$B11=no),"-", IF($B11=que,que, pres)))</f>
        <v>Présent ?</v>
      </c>
      <c r="J11" s="457" t="str">
        <f>IF(OR($B11=yes,$B11=yes),'5-1 Fuels'!Y26, IF(OR($B11=no,$B11=no),"-", IF($B11=que,que, pres)))</f>
        <v>Présent ?</v>
      </c>
      <c r="K11" s="457" t="str">
        <f>IF(OR($B11=yes,$B11=yes),'5-1 Fuels'!Z26, IF(OR($B11=no,$B11=no),"-", IF($B11=que,que, pres)))</f>
        <v>Présent ?</v>
      </c>
      <c r="L11" s="457" t="str">
        <f>IF(OR($B11=yes,$B11=yes),'5-1 Fuels'!AA26, IF(OR($B11=no,$B11=no),"-", IF($B11=que,que, pres)))</f>
        <v>Présent ?</v>
      </c>
      <c r="M11" s="272" t="str">
        <f>'5-1 Fuels'!B26</f>
        <v>5.1.2.2</v>
      </c>
      <c r="N11" s="459"/>
      <c r="O11" s="338" t="str">
        <f>INDEX('Range-thresholds'!$G$6:$G$73,MATCH(A11,'Range-thresholds'!$A$6:$A$73,0))</f>
        <v/>
      </c>
      <c r="Q11" s="469"/>
    </row>
    <row r="12" spans="1:17" ht="25.5" thickBot="1">
      <c r="A12" s="621" t="s">
        <v>887</v>
      </c>
      <c r="B12" s="642"/>
      <c r="C12" s="396"/>
      <c r="D12" s="699" t="s">
        <v>888</v>
      </c>
      <c r="E12" s="695"/>
      <c r="F12" s="456" t="str">
        <f>IF(OR($B12=yes,$B12=yes),SUM('5-1 Fuels'!K38:K41), IF(OR($B12=no,$B12=no),"-", IF($B12=que,que, pres)))</f>
        <v>Présent ?</v>
      </c>
      <c r="G12" s="457" t="str">
        <f>IF(OR($B12=yes,$B12=yes),SUM('5-1 Fuels'!V38:V41), IF(OR($B12=no,$B12=no),"-", IF($B12=que,que, pres)))</f>
        <v>Présent ?</v>
      </c>
      <c r="H12" s="457" t="str">
        <f>IF(OR($B12=yes,$B12=yes),SUM('5-1 Fuels'!W38:W41), IF(OR($B12=no,$B12=no),"-", IF($B12=que,que, pres)))</f>
        <v>Présent ?</v>
      </c>
      <c r="I12" s="457" t="str">
        <f>IF(OR($B12=yes,$B12=yes),SUM('5-1 Fuels'!X38:X41), IF(OR($B12=no,$B12=no),"-", IF($B12=que,que, pres)))</f>
        <v>Présent ?</v>
      </c>
      <c r="J12" s="457" t="str">
        <f>IF(OR($B12=yes,$B12=yes),SUM('5-1 Fuels'!Y38:Y41), IF(OR($B12=no,$B12=no),"-", IF($B12=que,que, pres)))</f>
        <v>Présent ?</v>
      </c>
      <c r="K12" s="457" t="str">
        <f>IF(OR($B12=yes,$B12=yes),SUM('5-1 Fuels'!Z38:Z41), IF(OR($B12=no,$B12=no),"-", IF($B12=que,que, pres)))</f>
        <v>Présent ?</v>
      </c>
      <c r="L12" s="457" t="str">
        <f>IF(OR($B12=yes,$B12=yes),SUM('5-1 Fuels'!AA38:AA41), IF(OR($B12=no,$B12=no),"-", IF($B12=que,que, pres)))</f>
        <v>Présent ?</v>
      </c>
      <c r="M12" s="272" t="str">
        <f>'5-1 Fuels'!B34</f>
        <v>5.1.3</v>
      </c>
      <c r="N12" s="459"/>
      <c r="O12" s="338" t="str">
        <f>INDEX('Range-thresholds'!$G$6:$G$73,MATCH(A12,'Range-thresholds'!$A$6:$A$73,0))</f>
        <v/>
      </c>
      <c r="Q12" s="469"/>
    </row>
    <row r="13" spans="1:17" ht="54.75" customHeight="1" outlineLevel="1">
      <c r="A13" s="275"/>
      <c r="B13" s="676"/>
      <c r="C13" s="349"/>
      <c r="D13" s="680"/>
      <c r="E13" s="703" t="s">
        <v>1120</v>
      </c>
      <c r="F13" s="681"/>
      <c r="G13" s="681" t="s">
        <v>1123</v>
      </c>
      <c r="H13" s="681" t="s">
        <v>1131</v>
      </c>
      <c r="I13" s="681" t="s">
        <v>1132</v>
      </c>
      <c r="J13" s="457"/>
      <c r="K13" s="457"/>
      <c r="L13" s="457"/>
      <c r="M13" s="272"/>
      <c r="N13" s="459"/>
    </row>
    <row r="14" spans="1:17" ht="38" outlineLevel="1" thickBot="1">
      <c r="A14" s="275"/>
      <c r="B14" s="677"/>
      <c r="C14" s="346"/>
      <c r="D14" s="682" t="s">
        <v>1129</v>
      </c>
      <c r="E14" s="681" t="s">
        <v>1121</v>
      </c>
      <c r="F14" s="681"/>
      <c r="G14" s="684">
        <f>100-H14-I14</f>
        <v>100</v>
      </c>
      <c r="H14" s="689"/>
      <c r="I14" s="689"/>
      <c r="J14" s="457"/>
      <c r="K14" s="457"/>
      <c r="L14" s="457"/>
      <c r="M14" s="729" t="s">
        <v>1224</v>
      </c>
      <c r="N14" s="460"/>
    </row>
    <row r="15" spans="1:17" ht="54.75" customHeight="1" thickBot="1">
      <c r="A15" s="621" t="s">
        <v>886</v>
      </c>
      <c r="B15" s="644"/>
      <c r="C15" s="399"/>
      <c r="D15" s="699" t="s">
        <v>888</v>
      </c>
      <c r="E15" s="695"/>
      <c r="F15" s="456" t="str">
        <f>IF(OR($B15=yes,$B15=yes),'5-1 Fuels'!K43, IF(OR($B15=no,$B15=no),"-", IF($B15=que,que, pres)))</f>
        <v>Présent ?</v>
      </c>
      <c r="G15" s="457" t="str">
        <f>IF(OR($B15=yes,$B15=yes),SUM('5-1 Fuels'!V43:V47), IF(OR($B15=no,$B15=no),"-", IF($B15=que,que, pres)))</f>
        <v>Présent ?</v>
      </c>
      <c r="H15" s="457" t="str">
        <f>IF(OR($B15=yes,$B15=yes),SUM('5-1 Fuels'!W43:W47), IF(OR($B15=no,$B15=no),"-", IF($B15=que,que, pres)))</f>
        <v>Présent ?</v>
      </c>
      <c r="I15" s="457" t="str">
        <f>IF(OR($B15=yes,$B15=yes),SUM('5-1 Fuels'!X43:X47), IF(OR($B15=no,$B15=no),"-", IF($B15=que,que, pres)))</f>
        <v>Présent ?</v>
      </c>
      <c r="J15" s="457" t="str">
        <f>IF(OR($B15=yes,$B15=yes),SUM('5-1 Fuels'!Y43:Y47), IF(OR($B15=no,$B15=no),"-", IF($B15=que,que, pres)))</f>
        <v>Présent ?</v>
      </c>
      <c r="K15" s="457" t="str">
        <f>IF(OR($B15=yes,$B15=yes),SUM('5-1 Fuels'!Z43:Z47), IF(OR($B15=no,$B15=no),"-", IF($B15=que,que, pres)))</f>
        <v>Présent ?</v>
      </c>
      <c r="L15" s="457" t="str">
        <f>IF(OR($B15=yes,$B15=yes),SUM('5-1 Fuels'!AA43:AA47), IF(OR($B15=no,$B15=no),"-", IF($B15=que,que, pres)))</f>
        <v>Présent ?</v>
      </c>
      <c r="M15" s="272" t="str">
        <f>M24</f>
        <v>5.1.3</v>
      </c>
      <c r="N15" s="460"/>
      <c r="O15" s="338" t="str">
        <f>INDEX('Range-thresholds'!$G$6:$G$73,MATCH(A15,'Range-thresholds'!$A$6:$A$73,0))</f>
        <v/>
      </c>
      <c r="Q15" s="469"/>
    </row>
    <row r="16" spans="1:17" ht="52.5" customHeight="1">
      <c r="A16" s="621"/>
      <c r="B16" s="676"/>
      <c r="C16" s="349"/>
      <c r="D16" s="680"/>
      <c r="E16" s="703" t="s">
        <v>1120</v>
      </c>
      <c r="F16" s="681"/>
      <c r="G16" s="681" t="s">
        <v>1123</v>
      </c>
      <c r="H16" s="681" t="s">
        <v>1131</v>
      </c>
      <c r="I16" s="681" t="s">
        <v>1132</v>
      </c>
      <c r="J16" s="457"/>
      <c r="K16" s="457"/>
      <c r="L16" s="457"/>
      <c r="M16" s="272"/>
      <c r="N16" s="460"/>
    </row>
    <row r="17" spans="1:17" ht="38" thickBot="1">
      <c r="A17" s="621"/>
      <c r="B17" s="677"/>
      <c r="C17" s="346"/>
      <c r="D17" s="682" t="s">
        <v>1129</v>
      </c>
      <c r="E17" s="681" t="s">
        <v>1121</v>
      </c>
      <c r="F17" s="681"/>
      <c r="G17" s="684">
        <f>100-H17-I17</f>
        <v>100</v>
      </c>
      <c r="H17" s="689"/>
      <c r="I17" s="689"/>
      <c r="J17" s="457"/>
      <c r="K17" s="457"/>
      <c r="L17" s="457"/>
      <c r="M17" s="729" t="s">
        <v>1224</v>
      </c>
      <c r="N17" s="460"/>
    </row>
    <row r="18" spans="1:17" ht="25">
      <c r="A18" s="621" t="s">
        <v>889</v>
      </c>
      <c r="B18" s="641"/>
      <c r="C18" s="377"/>
      <c r="D18" s="767" t="s">
        <v>893</v>
      </c>
      <c r="E18" s="344"/>
      <c r="F18" s="456" t="str">
        <f>IF(OR($B18=yes,$B18=yes),'5-1 Fuels'!K52, IF(OR($B18=no,$B18=no),"-", IF($B18=que,que, pres)))</f>
        <v>Présent ?</v>
      </c>
      <c r="G18" s="457" t="str">
        <f>IF(OR($B18=yes,$B18=yes),'5-1 Fuels'!V52, IF(OR($B18=no,$B18=no),"-", IF($B18=que,que, pres)))</f>
        <v>Présent ?</v>
      </c>
      <c r="H18" s="457" t="str">
        <f>IF(OR($B18=yes,$B18=yes),'5-1 Fuels'!W52, IF(OR($B18=no,$B18=no),"-", IF($B18=que,que, pres)))</f>
        <v>Présent ?</v>
      </c>
      <c r="I18" s="457" t="str">
        <f>IF(OR($B18=yes,$B18=yes),'5-1 Fuels'!X52, IF(OR($B18=no,$B18=no),"-", IF($B18=que,que, pres)))</f>
        <v>Présent ?</v>
      </c>
      <c r="J18" s="457" t="str">
        <f>IF(OR($B18=yes,$B18=yes),'5-1 Fuels'!Y52, IF(OR($B18=no,$B18=no),"-", IF($B18=que,que, pres)))</f>
        <v>Présent ?</v>
      </c>
      <c r="K18" s="457" t="str">
        <f>IF(OR($B18=yes,$B18=yes),'5-1 Fuels'!Z52, IF(OR($B18=no,$B18=no),"-", IF($B18=que,que, pres)))</f>
        <v>Présent ?</v>
      </c>
      <c r="L18" s="457" t="str">
        <f>IF(OR($B18=yes,$B18=yes),'5-1 Fuels'!AA52, IF(OR($B18=no,$B18=no),"-", IF($B18=que,que, pres)))</f>
        <v>Présent ?</v>
      </c>
      <c r="M18" s="272" t="str">
        <f>'5-1 Fuels'!B49</f>
        <v>5.1.4</v>
      </c>
      <c r="N18" s="460"/>
      <c r="O18" s="338" t="str">
        <f>INDEX('Range-thresholds'!$G$6:$G$73,MATCH(A18,'Range-thresholds'!$A$6:$A$73,0))</f>
        <v/>
      </c>
      <c r="Q18" s="469"/>
    </row>
    <row r="19" spans="1:17" ht="25">
      <c r="A19" s="621" t="s">
        <v>890</v>
      </c>
      <c r="B19" s="643"/>
      <c r="C19" s="378"/>
      <c r="D19" s="767" t="s">
        <v>893</v>
      </c>
      <c r="E19" s="344"/>
      <c r="F19" s="456" t="str">
        <f>IF(OR($B19=yes,$B19=yes),'5-1 Fuels'!K53, IF(OR($B19=no,$B19=no),"-", IF($B19=que,que, pres)))</f>
        <v>Présent ?</v>
      </c>
      <c r="G19" s="457" t="str">
        <f>IF(OR($B19=yes,$B19=yes),'5-1 Fuels'!V53, IF(OR($B19=no,$B19=no),"-", IF($B19=que,que, pres)))</f>
        <v>Présent ?</v>
      </c>
      <c r="H19" s="457" t="str">
        <f>IF(OR($B19=yes,$B19=yes),'5-1 Fuels'!W53, IF(OR($B19=no,$B19=no),"-", IF($B19=que,que, pres)))</f>
        <v>Présent ?</v>
      </c>
      <c r="I19" s="457" t="str">
        <f>IF(OR($B19=yes,$B19=yes),'5-1 Fuels'!X53, IF(OR($B19=no,$B19=no),"-", IF($B19=que,que, pres)))</f>
        <v>Présent ?</v>
      </c>
      <c r="J19" s="457" t="str">
        <f>IF(OR($B19=yes,$B19=yes),'5-1 Fuels'!Y53, IF(OR($B19=no,$B19=no),"-", IF($B19=que,que, pres)))</f>
        <v>Présent ?</v>
      </c>
      <c r="K19" s="457" t="str">
        <f>IF(OR($B19=yes,$B19=yes),'5-1 Fuels'!Z53, IF(OR($B19=no,$B19=no),"-", IF($B19=que,que, pres)))</f>
        <v>Présent ?</v>
      </c>
      <c r="L19" s="457" t="str">
        <f>IF(OR($B19=yes,$B19=yes),'5-1 Fuels'!AA53, IF(OR($B19=no,$B19=no),"-", IF($B19=que,que, pres)))</f>
        <v>Présent ?</v>
      </c>
      <c r="M19" s="272" t="str">
        <f>M18</f>
        <v>5.1.4</v>
      </c>
      <c r="N19" s="459"/>
      <c r="O19" s="338" t="str">
        <f>INDEX('Range-thresholds'!$G$6:$G$73,MATCH(A19,'Range-thresholds'!$A$6:$A$73,0))</f>
        <v/>
      </c>
      <c r="Q19" s="469"/>
    </row>
    <row r="20" spans="1:17" ht="25">
      <c r="A20" s="621" t="s">
        <v>891</v>
      </c>
      <c r="B20" s="643"/>
      <c r="C20" s="379"/>
      <c r="D20" s="767" t="s">
        <v>894</v>
      </c>
      <c r="E20" s="344"/>
      <c r="F20" s="456" t="str">
        <f>IF(OR($B20=yes,$B20=yes),'5-1 Fuels'!K62, IF(OR($B20=no,$B20=no),"-", IF($B20=que,que, pres)))</f>
        <v>Présent ?</v>
      </c>
      <c r="G20" s="457" t="str">
        <f>IF(OR($B20=yes,$B20=yes),'5-1 Fuels'!V62, IF(OR($B20=no,$B20=no),"-", IF($B20=que,que, pres)))</f>
        <v>Présent ?</v>
      </c>
      <c r="H20" s="457" t="str">
        <f>IF(OR($B20=yes,$B20=yes),'5-1 Fuels'!W62, IF(OR($B20=no,$B20=no),"-", IF($B20=que,que, pres)))</f>
        <v>Présent ?</v>
      </c>
      <c r="I20" s="457" t="str">
        <f>IF(OR($B20=yes,$B20=yes),'5-1 Fuels'!X62, IF(OR($B20=no,$B20=no),"-", IF($B20=que,que, pres)))</f>
        <v>Présent ?</v>
      </c>
      <c r="J20" s="457" t="str">
        <f>IF(OR($B20=yes,$B20=yes),'5-1 Fuels'!Y62, IF(OR($B20=no,$B20=no),"-", IF($B20=que,que, pres)))</f>
        <v>Présent ?</v>
      </c>
      <c r="K20" s="457" t="str">
        <f>IF(OR($B20=yes,$B20=yes),'5-1 Fuels'!Z62, IF(OR($B20=no,$B20=no),"-", IF($B20=que,que, pres)))</f>
        <v>Présent ?</v>
      </c>
      <c r="L20" s="457" t="str">
        <f>IF(OR($B20=yes,$B20=yes),'5-1 Fuels'!AA62, IF(OR($B20=no,$B20=no),"-", IF($B20=que,que, pres)))</f>
        <v>Présent ?</v>
      </c>
      <c r="M20" s="272" t="str">
        <f>'5-1 Fuels'!B62</f>
        <v>5.1.6</v>
      </c>
      <c r="N20" s="459"/>
      <c r="O20" s="338" t="str">
        <f>INDEX('Range-thresholds'!$G$6:$G$73,MATCH(A20,'Range-thresholds'!$A$6:$A$73,0))</f>
        <v/>
      </c>
      <c r="Q20" s="469"/>
    </row>
    <row r="21" spans="1:17" ht="13" thickBot="1">
      <c r="A21" s="621" t="s">
        <v>892</v>
      </c>
      <c r="B21" s="642"/>
      <c r="C21" s="396"/>
      <c r="D21" s="767" t="s">
        <v>894</v>
      </c>
      <c r="E21" s="344"/>
      <c r="F21" s="456" t="str">
        <f>IF(OR($B21=yes,$B21=yes),'5-1 Fuels'!K63, IF(OR($B21=no,$B21=no),"-", IF($B21=que,que, pres)))</f>
        <v>Présent ?</v>
      </c>
      <c r="G21" s="457" t="str">
        <f>IF(OR($B21=yes,$B21=yes),'5-1 Fuels'!V63, IF(OR($B21=no,$B21=no),"-", IF($B21=que,que, pres)))</f>
        <v>Présent ?</v>
      </c>
      <c r="H21" s="457" t="str">
        <f>IF(OR($B21=yes,$B21=yes),'5-1 Fuels'!W63, IF(OR($B21=no,$B21=no),"-", IF($B21=que,que, pres)))</f>
        <v>Présent ?</v>
      </c>
      <c r="I21" s="457" t="str">
        <f>IF(OR($B21=yes,$B21=yes),'5-1 Fuels'!X63, IF(OR($B21=no,$B21=no),"-", IF($B21=que,que, pres)))</f>
        <v>Présent ?</v>
      </c>
      <c r="J21" s="457" t="str">
        <f>IF(OR($B21=yes,$B21=yes),'5-1 Fuels'!Y63, IF(OR($B21=no,$B21=no),"-", IF($B21=que,que, pres)))</f>
        <v>Présent ?</v>
      </c>
      <c r="K21" s="457" t="str">
        <f>IF(OR($B21=yes,$B21=yes),'5-1 Fuels'!Z63, IF(OR($B21=no,$B21=no),"-", IF($B21=que,que, pres)))</f>
        <v>Présent ?</v>
      </c>
      <c r="L21" s="457" t="str">
        <f>IF(OR($B21=yes,$B21=yes),'5-1 Fuels'!AA63, IF(OR($B21=no,$B21=no),"-", IF($B21=que,que, pres)))</f>
        <v>Présent ?</v>
      </c>
      <c r="M21" s="272" t="str">
        <f>'5-1 Fuels'!B62</f>
        <v>5.1.6</v>
      </c>
      <c r="N21" s="459"/>
      <c r="O21" s="338" t="str">
        <f>INDEX('Range-thresholds'!$G$6:$G$73,MATCH(A21,'Range-thresholds'!$A$6:$A$73,0))</f>
        <v/>
      </c>
      <c r="Q21" s="469"/>
    </row>
    <row r="22" spans="1:17">
      <c r="A22" s="272"/>
      <c r="B22" s="477"/>
      <c r="C22" s="376"/>
      <c r="D22" s="272"/>
      <c r="E22" s="272"/>
      <c r="F22" s="456"/>
      <c r="G22" s="456"/>
      <c r="H22" s="456"/>
      <c r="I22" s="456"/>
      <c r="J22" s="456"/>
      <c r="K22" s="456"/>
      <c r="L22" s="456"/>
      <c r="M22" s="272"/>
      <c r="N22" s="459"/>
      <c r="Q22" s="469"/>
    </row>
    <row r="23" spans="1:17" ht="13.5" thickBot="1">
      <c r="A23" s="374" t="s">
        <v>895</v>
      </c>
      <c r="B23" s="476"/>
      <c r="C23" s="380"/>
      <c r="D23" s="635"/>
      <c r="E23" s="272"/>
      <c r="F23" s="456"/>
      <c r="G23" s="456"/>
      <c r="H23" s="456"/>
      <c r="I23" s="456"/>
      <c r="J23" s="456"/>
      <c r="K23" s="456"/>
      <c r="L23" s="456"/>
      <c r="M23" s="272"/>
      <c r="N23" s="459"/>
      <c r="Q23" s="469"/>
    </row>
    <row r="24" spans="1:17">
      <c r="A24" s="621" t="s">
        <v>896</v>
      </c>
      <c r="B24" s="696"/>
      <c r="C24" s="794"/>
      <c r="D24" s="699" t="s">
        <v>900</v>
      </c>
      <c r="E24" s="354"/>
      <c r="F24" s="456" t="str">
        <f>IF(OR($B24=yes,$B24=yes),'5-1 Fuels'!K35, IF(OR($B24=no,$B24=no),"-", IF($B24=que,que, pres)))</f>
        <v>Présent ?</v>
      </c>
      <c r="G24" s="457" t="str">
        <f>IF(OR($B24=yes,$B24=yes),'5-1 Fuels'!V35, IF(OR($B24=no,$B24=no),"-", IF($B24=que,que, pres)))</f>
        <v>Présent ?</v>
      </c>
      <c r="H24" s="457" t="str">
        <f>IF(OR($B24=yes,$B24=yes),'5-1 Fuels'!W35, IF(OR($B24=no,$B24=no),"-", IF($B24=que,que, pres)))</f>
        <v>Présent ?</v>
      </c>
      <c r="I24" s="457" t="str">
        <f>IF(OR($B24=yes,$B24=yes),'5-1 Fuels'!X35, IF(OR($B24=no,$B24=no),"-", IF($B24=que,que, pres)))</f>
        <v>Présent ?</v>
      </c>
      <c r="J24" s="457" t="str">
        <f>IF(OR($B24=yes,$B24=yes),'5-1 Fuels'!Y35, IF(OR($B24=no,$B24=no),"-", IF($B24=que,que, pres)))</f>
        <v>Présent ?</v>
      </c>
      <c r="K24" s="457" t="str">
        <f>IF(OR($B24=yes,$B24=yes),'5-1 Fuels'!Z35, IF(OR($B24=no,$B24=no),"-", IF($B24=que,que, pres)))</f>
        <v>Présent ?</v>
      </c>
      <c r="L24" s="457" t="str">
        <f>IF(OR($B24=yes,$B24=yes),'5-1 Fuels'!AA35, IF(OR($B24=no,$B24=no),"-", IF($B24=que,que, pres)))</f>
        <v>Présent ?</v>
      </c>
      <c r="M24" s="272" t="str">
        <f>M12</f>
        <v>5.1.3</v>
      </c>
      <c r="N24" s="459"/>
      <c r="O24" s="338" t="str">
        <f>INDEX('Range-thresholds'!$G$6:$G$73,MATCH(A24,'Range-thresholds'!$A$6:$A$73,0))</f>
        <v/>
      </c>
      <c r="Q24" s="469"/>
    </row>
    <row r="25" spans="1:17" ht="13" thickBot="1">
      <c r="A25" s="621" t="s">
        <v>897</v>
      </c>
      <c r="B25" s="643"/>
      <c r="C25" s="379"/>
      <c r="D25" s="699" t="s">
        <v>899</v>
      </c>
      <c r="E25" s="354"/>
      <c r="F25" s="456" t="str">
        <f>IF(OR($B25=yes,$B25=yes),'5-1 Fuels'!K36, IF(OR($B25=no,$B25=no),"-", IF($B25=que,que, pres)))</f>
        <v>Présent ?</v>
      </c>
      <c r="G25" s="457" t="str">
        <f>IF(OR($B25=yes,$B25=yes),'5-1 Fuels'!V36, IF(OR($B25=no,$B25=no),"-", IF($B25=que,que, pres)))</f>
        <v>Présent ?</v>
      </c>
      <c r="H25" s="457" t="str">
        <f>IF(OR($B25=yes,$B25=yes),'5-1 Fuels'!W36, IF(OR($B25=no,$B25=no),"-", IF($B25=que,que, pres)))</f>
        <v>Présent ?</v>
      </c>
      <c r="I25" s="457" t="str">
        <f>IF(OR($B25=yes,$B25=yes),'5-1 Fuels'!X36, IF(OR($B25=no,$B25=no),"-", IF($B25=que,que, pres)))</f>
        <v>Présent ?</v>
      </c>
      <c r="J25" s="457" t="str">
        <f>IF(OR($B25=yes,$B25=yes),'5-1 Fuels'!Y36, IF(OR($B25=no,$B25=no),"-", IF($B25=que,que, pres)))</f>
        <v>Présent ?</v>
      </c>
      <c r="K25" s="457" t="str">
        <f>IF(OR($B25=yes,$B25=yes),'5-1 Fuels'!Z36, IF(OR($B25=no,$B25=no),"-", IF($B25=que,que, pres)))</f>
        <v>Présent ?</v>
      </c>
      <c r="L25" s="457" t="str">
        <f>IF(OR($B25=yes,$B25=yes),'5-1 Fuels'!AA36, IF(OR($B25=no,$B25=no),"-", IF($B25=que,que, pres)))</f>
        <v>Présent ?</v>
      </c>
      <c r="M25" s="272" t="str">
        <f>M24</f>
        <v>5.1.3</v>
      </c>
      <c r="N25" s="459"/>
      <c r="O25" s="338" t="str">
        <f>INDEX('Range-thresholds'!$G$6:$G$73,MATCH(A25,'Range-thresholds'!$A$6:$A$73,0))</f>
        <v/>
      </c>
      <c r="Q25" s="469"/>
    </row>
    <row r="26" spans="1:17" ht="25.5" thickBot="1">
      <c r="A26" s="621" t="s">
        <v>898</v>
      </c>
      <c r="B26" s="642"/>
      <c r="C26" s="396"/>
      <c r="D26" s="795" t="s">
        <v>901</v>
      </c>
      <c r="E26" s="695"/>
      <c r="F26" s="673" t="str">
        <f>IF(OR($B26=yes,$B26=yes),'5-1 Fuels'!K50, IF(OR($B26=no,$B26=no),"-", IF($B26=que,que, pres)))</f>
        <v>Présent ?</v>
      </c>
      <c r="G26" s="674" t="str">
        <f>IF(OR($B26=yes,$B26=yes),SUM('5-1 Fuels'!V50:V51), IF(OR($B26=no,$B26=no),"-", IF($B26=que,que, pres)))</f>
        <v>Présent ?</v>
      </c>
      <c r="H26" s="674" t="str">
        <f>IF(OR($B26=yes,$B26=yes),SUM('5-1 Fuels'!W50:W51), IF(OR($B26=no,$B26=no),"-", IF($B26=que,que, pres)))</f>
        <v>Présent ?</v>
      </c>
      <c r="I26" s="674" t="str">
        <f>IF(OR($B26=yes,$B26=yes),SUM('5-1 Fuels'!X50:X51), IF(OR($B26=no,$B26=no),"-", IF($B26=que,que, pres)))</f>
        <v>Présent ?</v>
      </c>
      <c r="J26" s="674" t="str">
        <f>IF(OR($B26=yes,$B26=yes),SUM('5-1 Fuels'!Y50:Y51), IF(OR($B26=no,$B26=no),"-", IF($B26=que,que, pres)))</f>
        <v>Présent ?</v>
      </c>
      <c r="K26" s="674" t="str">
        <f>IF(OR($B26=yes,$B26=yes),SUM('5-1 Fuels'!Z50:Z51), IF(OR($B26=no,$B26=no),"-", IF($B26=que,que, pres)))</f>
        <v>Présent ?</v>
      </c>
      <c r="L26" s="674" t="str">
        <f>IF(OR($B26=yes,$B26=yes),'5-1 Fuels'!AA49, IF(OR($B26=no,$B26=no),"-", IF($B26=que,que, pres)))</f>
        <v>Présent ?</v>
      </c>
      <c r="M26" s="635" t="str">
        <f>'5-1 Fuels'!B49</f>
        <v>5.1.4</v>
      </c>
      <c r="N26" s="459"/>
      <c r="O26" s="338" t="str">
        <f>INDEX('Range-thresholds'!$G$6:$G$73,MATCH(A26,'Range-thresholds'!$A$6:$A$73,0))</f>
        <v/>
      </c>
      <c r="Q26" s="469"/>
    </row>
    <row r="27" spans="1:17" ht="38.25" customHeight="1">
      <c r="A27" s="702"/>
      <c r="B27" s="676"/>
      <c r="C27" s="349"/>
      <c r="D27" s="768"/>
      <c r="E27" s="703" t="s">
        <v>1120</v>
      </c>
      <c r="F27" s="681"/>
      <c r="G27" s="681" t="s">
        <v>1133</v>
      </c>
      <c r="H27" s="681" t="s">
        <v>1134</v>
      </c>
      <c r="I27" s="457"/>
      <c r="J27" s="457"/>
      <c r="K27" s="457"/>
      <c r="L27" s="457"/>
      <c r="M27" s="272"/>
      <c r="N27" s="459"/>
    </row>
    <row r="28" spans="1:17" ht="37.5">
      <c r="A28" s="367"/>
      <c r="B28" s="675"/>
      <c r="C28" s="375"/>
      <c r="D28" s="682" t="s">
        <v>1129</v>
      </c>
      <c r="E28" s="681" t="s">
        <v>1121</v>
      </c>
      <c r="F28" s="681"/>
      <c r="G28" s="684">
        <f>100-H28-I28</f>
        <v>50</v>
      </c>
      <c r="H28" s="683">
        <v>50</v>
      </c>
      <c r="I28" s="457"/>
      <c r="J28" s="457"/>
      <c r="K28" s="457"/>
      <c r="L28" s="457"/>
      <c r="M28" s="729" t="s">
        <v>1224</v>
      </c>
      <c r="N28" s="460"/>
      <c r="P28" s="360"/>
    </row>
    <row r="30" spans="1:17" s="369" customFormat="1">
      <c r="B30" s="793"/>
    </row>
    <row r="31" spans="1:17">
      <c r="A31" s="618" t="s">
        <v>747</v>
      </c>
    </row>
    <row r="32" spans="1:17">
      <c r="A32" s="618"/>
    </row>
    <row r="40" spans="9:9">
      <c r="I40" s="620"/>
    </row>
  </sheetData>
  <sheetProtection algorithmName="SHA-512" hashValue="DHoryODwC5xHOgFjFpcMca2rxTQU1/BatBe/vr8RuXdElrmGiHUwHTDd1nzJokUme+a99LWB99fRllVJRVTF5g==" saltValue="OiZq00EgWplcg5dPj+ewDw==" spinCount="100000" sheet="1" objects="1" scenarios="1"/>
  <dataConsolidate/>
  <mergeCells count="2">
    <mergeCell ref="G3:L3"/>
    <mergeCell ref="A2:M2"/>
  </mergeCells>
  <conditionalFormatting sqref="A2">
    <cfRule type="expression" dxfId="135" priority="51" stopIfTrue="1">
      <formula>$A$2&lt;&gt;""</formula>
    </cfRule>
  </conditionalFormatting>
  <conditionalFormatting sqref="F5 F11:F12 F15 F18:F26">
    <cfRule type="expression" dxfId="134" priority="53" stopIfTrue="1">
      <formula>AND(B5="y",O5="n")</formula>
    </cfRule>
  </conditionalFormatting>
  <conditionalFormatting sqref="F8">
    <cfRule type="expression" dxfId="133" priority="47" stopIfTrue="1">
      <formula>AND(B8="y",O8="n")</formula>
    </cfRule>
  </conditionalFormatting>
  <conditionalFormatting sqref="E6:L6">
    <cfRule type="expression" dxfId="132" priority="45">
      <formula>OR($E$5="y", $E$5="s", $E$5="o", $E$5="da")</formula>
    </cfRule>
  </conditionalFormatting>
  <conditionalFormatting sqref="E7:G7">
    <cfRule type="expression" dxfId="131" priority="44">
      <formula>OR($E$5="y", $E$5="s", $E$5="o", $E$5="da")</formula>
    </cfRule>
  </conditionalFormatting>
  <conditionalFormatting sqref="H7:L7">
    <cfRule type="expression" dxfId="130" priority="43">
      <formula>OR($E$5="y", $E$5="s", $E$5="o", $E$5="da")</formula>
    </cfRule>
  </conditionalFormatting>
  <conditionalFormatting sqref="G7">
    <cfRule type="expression" dxfId="129" priority="42">
      <formula>$G$7&lt;0</formula>
    </cfRule>
  </conditionalFormatting>
  <conditionalFormatting sqref="D7">
    <cfRule type="expression" dxfId="128" priority="41">
      <formula>$G$7&lt;0</formula>
    </cfRule>
  </conditionalFormatting>
  <conditionalFormatting sqref="F9:L9">
    <cfRule type="expression" dxfId="127" priority="39">
      <formula>OR($E$8="y", $E$8="s", $E$8="o", $E$8="da")</formula>
    </cfRule>
  </conditionalFormatting>
  <conditionalFormatting sqref="E10:F10">
    <cfRule type="expression" dxfId="126" priority="38">
      <formula>OR($E$8="y", $E$8="s", $E$8="o", $E$8="da")</formula>
    </cfRule>
  </conditionalFormatting>
  <conditionalFormatting sqref="D10">
    <cfRule type="expression" dxfId="125" priority="35">
      <formula>$G$10&lt;0</formula>
    </cfRule>
  </conditionalFormatting>
  <conditionalFormatting sqref="E13:I13">
    <cfRule type="expression" dxfId="124" priority="30">
      <formula>OR($E$12="y", $E$12="s", $E$12="o", $E$12="da")</formula>
    </cfRule>
  </conditionalFormatting>
  <conditionalFormatting sqref="E14:G14">
    <cfRule type="expression" dxfId="123" priority="29">
      <formula>OR($E$12="y", $E$12="s", $E$12="o", $E$12="da")</formula>
    </cfRule>
  </conditionalFormatting>
  <conditionalFormatting sqref="H14:I14">
    <cfRule type="expression" dxfId="122" priority="28">
      <formula>OR($E$12="y", $E$12="s", $E$12="o", $E$12="da")</formula>
    </cfRule>
  </conditionalFormatting>
  <conditionalFormatting sqref="G14">
    <cfRule type="expression" dxfId="121" priority="27">
      <formula>$G$14&lt;0</formula>
    </cfRule>
  </conditionalFormatting>
  <conditionalFormatting sqref="D14">
    <cfRule type="expression" dxfId="120" priority="26">
      <formula>$G$14&lt;0</formula>
    </cfRule>
  </conditionalFormatting>
  <conditionalFormatting sqref="E16:I16">
    <cfRule type="expression" dxfId="119" priority="25">
      <formula>OR($E$15="y", $E$15="s", $E$15="o", $E$15="da")</formula>
    </cfRule>
  </conditionalFormatting>
  <conditionalFormatting sqref="E17:G17">
    <cfRule type="expression" dxfId="118" priority="24">
      <formula>OR($E$15="y", $E$15="s", $E$15="o", $E$15="da")</formula>
    </cfRule>
  </conditionalFormatting>
  <conditionalFormatting sqref="G17">
    <cfRule type="expression" dxfId="117" priority="22">
      <formula>$G$17&lt;0</formula>
    </cfRule>
  </conditionalFormatting>
  <conditionalFormatting sqref="D17">
    <cfRule type="expression" dxfId="116" priority="21">
      <formula>$G$17&lt;0</formula>
    </cfRule>
  </conditionalFormatting>
  <conditionalFormatting sqref="E27:H27">
    <cfRule type="expression" dxfId="115" priority="20">
      <formula>OR($E$26="y", $E$26="s", $E$26="o", $E$26="da")</formula>
    </cfRule>
  </conditionalFormatting>
  <conditionalFormatting sqref="E28:G28">
    <cfRule type="expression" dxfId="114" priority="19">
      <formula>OR($E$26="y", $E$26="s", $E$26="o", $E$26="da")</formula>
    </cfRule>
  </conditionalFormatting>
  <conditionalFormatting sqref="H28">
    <cfRule type="expression" dxfId="113" priority="18">
      <formula>OR($E$26="y", $E$26="s", $E$26="o", $E$26="da")</formula>
    </cfRule>
  </conditionalFormatting>
  <conditionalFormatting sqref="G28">
    <cfRule type="expression" dxfId="112" priority="17">
      <formula>$G$28&lt;0</formula>
    </cfRule>
  </conditionalFormatting>
  <conditionalFormatting sqref="D28">
    <cfRule type="expression" dxfId="111" priority="16">
      <formula>$G$28&lt;0</formula>
    </cfRule>
  </conditionalFormatting>
  <conditionalFormatting sqref="E9">
    <cfRule type="expression" dxfId="110" priority="15">
      <formula>OR($E$8="y", $E$8="s", $E$8="o", $E$8="da")</formula>
    </cfRule>
  </conditionalFormatting>
  <conditionalFormatting sqref="G10">
    <cfRule type="expression" dxfId="109" priority="9">
      <formula>OR($E$8="y", $E$8="s", $E$8="o", $E$8="da")</formula>
    </cfRule>
  </conditionalFormatting>
  <conditionalFormatting sqref="G10">
    <cfRule type="expression" dxfId="108" priority="8">
      <formula>$G$10&lt;0</formula>
    </cfRule>
  </conditionalFormatting>
  <conditionalFormatting sqref="H10">
    <cfRule type="expression" dxfId="107" priority="7">
      <formula>OR($E$5="y", $E$5="s", $E$5="o", $E$5="da")</formula>
    </cfRule>
  </conditionalFormatting>
  <conditionalFormatting sqref="I10">
    <cfRule type="expression" dxfId="106" priority="6">
      <formula>OR($E$5="y", $E$5="s", $E$5="o", $E$5="da")</formula>
    </cfRule>
  </conditionalFormatting>
  <conditionalFormatting sqref="J10">
    <cfRule type="expression" dxfId="105" priority="5">
      <formula>OR($E$5="y", $E$5="s", $E$5="o", $E$5="da")</formula>
    </cfRule>
  </conditionalFormatting>
  <conditionalFormatting sqref="K10">
    <cfRule type="expression" dxfId="104" priority="4">
      <formula>OR($E$5="y", $E$5="s", $E$5="o", $E$5="da")</formula>
    </cfRule>
  </conditionalFormatting>
  <conditionalFormatting sqref="L10">
    <cfRule type="expression" dxfId="103" priority="3">
      <formula>OR($E$5="y", $E$5="s", $E$5="o", $E$5="da")</formula>
    </cfRule>
  </conditionalFormatting>
  <conditionalFormatting sqref="H17">
    <cfRule type="expression" dxfId="102" priority="2">
      <formula>OR($E$15="y", $E$15="s", $E$15="o", $E$15="da")</formula>
    </cfRule>
  </conditionalFormatting>
  <conditionalFormatting sqref="I17">
    <cfRule type="expression" dxfId="101" priority="1">
      <formula>OR($E$15="y", $E$15="s", $E$15="o", $E$15="da")</formula>
    </cfRule>
  </conditionalFormatting>
  <dataValidations xWindow="731" yWindow="530" count="24">
    <dataValidation type="list" allowBlank="1" showInputMessage="1" showErrorMessage="1" errorTitle="Input error" error="Enter only y, n or ? (or translation of these)" sqref="B27:B28" xr:uid="{00000000-0002-0000-0100-000000000000}">
      <formula1>yn?</formula1>
    </dataValidation>
    <dataValidation allowBlank="1" showErrorMessage="1" promptTitle="Controls" prompt="No filters in place (automatically calculated)" sqref="G10 G7" xr:uid="{00000000-0002-0000-0100-000001000000}"/>
    <dataValidation type="list" allowBlank="1" showInputMessage="1" showErrorMessage="1" sqref="E26 E5 E8 E12 E15" xr:uid="{00000000-0002-0000-0100-000002000000}">
      <formula1>yn</formula1>
    </dataValidation>
    <dataValidation allowBlank="1" showErrorMessage="1" promptTitle="Controls" prompt="Facilities/uses with no filters in place (automatically calculated)" sqref="G28 G14" xr:uid="{00000000-0002-0000-0100-000003000000}"/>
    <dataValidation allowBlank="1" showInputMessage="1" showErrorMessage="1" promptTitle="Contrôles" prompt="Inscrivez le pourcentage du taux d'activité total qui est utilisé dans les installations avec nettoyage des gaz dans des filtres fixes avec des absorbants de mercure (ou similaire)" sqref="H28" xr:uid="{00000000-0002-0000-0100-000004000000}"/>
    <dataValidation allowBlank="1" showErrorMessage="1" promptTitle="Controls" prompt="Transport and facilities/uses with no filters in place (automatically calculated)" sqref="G17" xr:uid="{00000000-0002-0000-0100-000005000000}"/>
    <dataValidation allowBlank="1" showInputMessage="1" showErrorMessage="1" prompt="Utiliser des chiffres et décimales seulement." sqref="C5 C8 C11:C12 C15 C18:C21 C24:C26" xr:uid="{00000000-0002-0000-0100-000006000000}"/>
    <dataValidation type="list" allowBlank="1" showInputMessage="1" showErrorMessage="1" errorTitle="Input error" error="Enter only y, n or ? (or translation of these)" prompt="Entrer: O, N ou ?" sqref="B5 B8 B11:B12 B15 B18:B21 B24:B26" xr:uid="{00000000-0002-0000-0100-000007000000}">
      <formula1>yn?</formula1>
    </dataValidation>
    <dataValidation allowBlank="1" showInputMessage="1" showErrorMessage="1" prompt="Précipitateurs électrostatiques (ESP), épurateurs de particules (PS), cyclones (CYC) ou filtres à particules similaires à faible retention de mercure " sqref="H6 H9" xr:uid="{00000000-0002-0000-0100-000008000000}"/>
    <dataValidation allowBlank="1" showInputMessage="1" showErrorMessage="1" prompt="Filtres en tissu (FF, aussi appelés filtres à manches)" sqref="I6 I9" xr:uid="{00000000-0002-0000-0100-000009000000}"/>
    <dataValidation allowBlank="1" showInputMessage="1" showErrorMessage="1" prompt="Filtres à particules (PM) + système d'adsorption (SDA) ou désulférisation humide des gaz de combustion (wFGD)" sqref="J6 J9" xr:uid="{00000000-0002-0000-0100-00000A000000}"/>
    <dataValidation allowBlank="1" showInputMessage="1" showErrorMessage="1" prompt="Filtres à particules (PM) + désulférisation des gaz de combustion  (FGD) + réduction catalytique sélective" sqref="K6 K9" xr:uid="{00000000-0002-0000-0100-00000B000000}"/>
    <dataValidation allowBlank="1" showInputMessage="1" showErrorMessage="1" prompt="Injection de carbone activé (ACI) ou autres fliltres spéciaux pour le mercure" sqref="L6 L9" xr:uid="{00000000-0002-0000-0100-00000C000000}"/>
    <dataValidation allowBlank="1" showInputMessage="1" showErrorMessage="1" prompt="Précipitateurs électrostatiques (ESP), épurateurs à particules (PS) ou autres filtres à particules de performances similaires" sqref="H13 H16" xr:uid="{00000000-0002-0000-0100-00000D000000}"/>
    <dataValidation allowBlank="1" showInputMessage="1" showErrorMessage="1" prompt="Précipitateurs électrostatiques froids (cESP) + désulférisation des gaz de combustion (FGD) ou autres configuration de pointe avec performances similaires" sqref="I13 I16" xr:uid="{00000000-0002-0000-0100-00000E000000}"/>
    <dataValidation allowBlank="1" showInputMessage="1" showErrorMessage="1" prompt="Nettoyage des gaz dans des filtres fixes avec des absorbants de mercure (ou similaire)" sqref="H27" xr:uid="{00000000-0002-0000-0100-00000F000000}"/>
    <dataValidation allowBlank="1" showInputMessage="1" showErrorMessage="1" promptTitle="Contrôles" prompt="Inscrivez le pourcentage du taux d'activité total qui est utilisé dans les installations avec précipitateurs électrostatiques (ESP), épurateurs de particules (PS), cyclones (CYC) ou filtres à particules similaires à faible retention de mercure " sqref="H7 H10" xr:uid="{00000000-0002-0000-0100-000010000000}"/>
    <dataValidation allowBlank="1" showInputMessage="1" showErrorMessage="1" promptTitle="Contrôles" prompt="Inscrivez le pourcentage du taux d'activité total qui est utilisé dans les installations avec filtres en tissu (FF, aussi appelés filtres à manches)" sqref="I7 I10" xr:uid="{00000000-0002-0000-0100-000011000000}"/>
    <dataValidation allowBlank="1" showInputMessage="1" showErrorMessage="1" promptTitle="Contrôles" prompt="Inscrivez le pourcentage du taux d'activité total qui est utilisé dans les installations avec filtres à particules (PM) + système d'adsorption (SDA) ou désulférisation humide des gaz de combustion (wFGD)" sqref="J7 J10" xr:uid="{00000000-0002-0000-0100-000012000000}"/>
    <dataValidation allowBlank="1" showInputMessage="1" showErrorMessage="1" promptTitle="Contrôles" prompt="Inscrivez le pourcentage du taux d'activité total qui est utilisé dans les installations avec filtres à particules (PM) + désulférisation des gaz de combustion  (FGD) + réduction catalytique sélective" sqref="K7 K10" xr:uid="{00000000-0002-0000-0100-000013000000}"/>
    <dataValidation allowBlank="1" showInputMessage="1" showErrorMessage="1" promptTitle="Contrôles" prompt="Inscrivez le pourcentage du taux d'activité total qui est utilisé dans les installations avec injection de carbone activé (ACI) ou autres fliltres spéciaux pour le mercure" sqref="L7 L10" xr:uid="{00000000-0002-0000-0100-000014000000}"/>
    <dataValidation allowBlank="1" showInputMessage="1" showErrorMessage="1" promptTitle="Contrôles" prompt="Inscrivez le pourcentage du taux d'activité total qui est utilisé dans les installations avec précipitateurs électrostatiques (ESP), épurateurs à particules (PS) ou autres filtres à particules de performances similaires" sqref="H14 H17" xr:uid="{00000000-0002-0000-0100-000015000000}"/>
    <dataValidation allowBlank="1" showInputMessage="1" showErrorMessage="1" promptTitle="Contrôles" prompt="Inscrivez le pourcentage du taux d'activité total qui est utilisé dans les installations avec précipitateurs électrostatiques froids (cESP) + désulférisation des gaz de combustion (FGD) ou autres configuration de pointe avec performances similaires" sqref="I14 I17" xr:uid="{00000000-0002-0000-0100-000016000000}"/>
    <dataValidation allowBlank="1" showInputMessage="1" showErrorMessage="1" promptTitle="Contrôles" prompt="La cellule est bleue, si vous avez modifié la sélection des contrôles par défaut entrée à l'origine. Pour le restaurer, entrez la sélection des contrôles par défaut indiquée dans l'onglet &quot;Contrôles par défaut&quot;" sqref="M28 M17 M14 M10 M7" xr:uid="{00000000-0002-0000-0100-000019000000}"/>
  </dataValidations>
  <pageMargins left="0.39370078740157483" right="0.39370078740157483" top="0.74803149606299213" bottom="0.74803149606299213" header="0.31496062992125984" footer="0.31496062992125984"/>
  <pageSetup paperSize="9" scale="70"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48" id="{2D294E8F-C094-4B04-BBCF-78E62FF6E629}">
            <xm:f>'Insérer résultats IN2'!$K$11&lt;&gt;""</xm:f>
            <x14:dxf>
              <font>
                <color rgb="FFFF0000"/>
              </font>
            </x14:dxf>
          </x14:cfRule>
          <xm:sqref>A31</xm:sqref>
        </x14:conditionalFormatting>
        <x14:conditionalFormatting xmlns:xm="http://schemas.microsoft.com/office/excel/2006/main">
          <x14:cfRule type="expression" priority="14" id="{BBB71621-48E4-43F1-BF33-B613791E30C0}">
            <xm:f>OR($G$7&lt;&gt;'Contrôles par défaut'!$C$4,$H$7&lt;&gt;'Contrôles par défaut'!$D$4,$I$7&lt;&gt;'Contrôles par défaut'!$E$4,$J$7&lt;&gt;'Contrôles par défaut'!$F$4,$K$7&lt;&gt;'Contrôles par défaut'!$G$4,$L$7&lt;&gt;'Contrôles par défaut'!$H$4)</xm:f>
            <x14:dxf>
              <font>
                <color theme="1"/>
              </font>
              <fill>
                <patternFill>
                  <bgColor theme="8" tint="0.39994506668294322"/>
                </patternFill>
              </fill>
            </x14:dxf>
          </x14:cfRule>
          <xm:sqref>M7</xm:sqref>
        </x14:conditionalFormatting>
        <x14:conditionalFormatting xmlns:xm="http://schemas.microsoft.com/office/excel/2006/main">
          <x14:cfRule type="expression" priority="13" id="{06A1182B-7ABB-4A44-8F8A-4B2825965FD0}">
            <xm:f>OR($G$10&lt;&gt;'Contrôles par défaut'!$C$7,$H$10&lt;&gt;'Contrôles par défaut'!$D$7,$I$10&lt;&gt;'Contrôles par défaut'!$E$7,$J$10&lt;&gt;'Contrôles par défaut'!$F$7,$K$10&lt;&gt;'Contrôles par défaut'!$G$7,$L$10&lt;&gt;'Contrôles par défaut'!$H$7)</xm:f>
            <x14:dxf>
              <font>
                <color theme="1"/>
              </font>
              <fill>
                <patternFill>
                  <bgColor theme="8" tint="0.39994506668294322"/>
                </patternFill>
              </fill>
            </x14:dxf>
          </x14:cfRule>
          <xm:sqref>M10</xm:sqref>
        </x14:conditionalFormatting>
        <x14:conditionalFormatting xmlns:xm="http://schemas.microsoft.com/office/excel/2006/main">
          <x14:cfRule type="expression" priority="12" id="{7E23BB15-3F6D-467C-B8C5-9DCCE2EE1A6E}">
            <xm:f>OR($K$14&lt;&gt;'Contrôles par défaut'!$G$10,$L$14&lt;&gt;'Contrôles par défaut'!$H$10,$G$14&lt;&gt;'Contrôles par défaut'!$C$10,$H$14&lt;&gt;'Contrôles par défaut'!$D$10,$H$14&lt;&gt;'Contrôles par défaut'!$D$10,$I$14&lt;&gt;'Contrôles par défaut'!$E$10)</xm:f>
            <x14:dxf>
              <font>
                <color theme="1"/>
              </font>
              <fill>
                <patternFill>
                  <bgColor theme="8" tint="0.39994506668294322"/>
                </patternFill>
              </fill>
            </x14:dxf>
          </x14:cfRule>
          <xm:sqref>M14</xm:sqref>
        </x14:conditionalFormatting>
        <x14:conditionalFormatting xmlns:xm="http://schemas.microsoft.com/office/excel/2006/main">
          <x14:cfRule type="expression" priority="11" id="{F1D6B63C-C8FF-4F6A-9602-7BBCCCF31E2B}">
            <xm:f>OR($G$17&lt;&gt;'Contrôles par défaut'!$C$13,$L$17&lt;&gt;'Contrôles par défaut'!$D$13,$I$17&lt;&gt;'Contrôles par défaut'!$E$13,$J$17&lt;&gt;'Contrôles par défaut'!$F$13,$K$17&lt;&gt;'Contrôles par défaut'!$G$13,$L$17&lt;&gt;'Contrôles par défaut'!$H$13)</xm:f>
            <x14:dxf>
              <font>
                <color theme="1"/>
              </font>
              <fill>
                <patternFill>
                  <bgColor theme="8" tint="0.39994506668294322"/>
                </patternFill>
              </fill>
            </x14:dxf>
          </x14:cfRule>
          <xm:sqref>M17</xm:sqref>
        </x14:conditionalFormatting>
        <x14:conditionalFormatting xmlns:xm="http://schemas.microsoft.com/office/excel/2006/main">
          <x14:cfRule type="expression" priority="10" id="{1E5D644E-96F6-4F3C-AB8E-CE7C359D602F}">
            <xm:f>OR($G$28&lt;&gt;'Contrôles par défaut'!$C$16,$H$28&lt;&gt;'Contrôles par défaut'!$D$16,$I$28&lt;&gt;'Contrôles par défaut'!$E$16,$J$28&lt;&gt;'Contrôles par défaut'!$F$16,$K$28&lt;&gt;'Contrôles par défaut'!$G$16,$L$28&lt;&gt;'Contrôles par défaut'!$H$16)</xm:f>
            <x14:dxf>
              <font>
                <color theme="1"/>
              </font>
              <fill>
                <patternFill>
                  <bgColor theme="8" tint="0.39994506668294322"/>
                </patternFill>
              </fill>
            </x14:dxf>
          </x14:cfRule>
          <xm:sqref>M28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73"/>
  <sheetViews>
    <sheetView zoomScale="70" zoomScaleNormal="70" workbookViewId="0">
      <selection activeCell="C7" sqref="C7"/>
    </sheetView>
  </sheetViews>
  <sheetFormatPr defaultColWidth="8.81640625" defaultRowHeight="12.5"/>
  <cols>
    <col min="1" max="1" width="50.1796875" customWidth="1"/>
    <col min="2" max="3" width="15.6328125" customWidth="1"/>
    <col min="4" max="4" width="15.81640625" customWidth="1"/>
    <col min="5" max="5" width="19" customWidth="1"/>
    <col min="6" max="6" width="15.81640625" customWidth="1"/>
  </cols>
  <sheetData>
    <row r="1" spans="1:7" ht="43.5">
      <c r="A1" s="355" t="s">
        <v>428</v>
      </c>
      <c r="B1" s="12" t="s">
        <v>732</v>
      </c>
      <c r="C1" s="12" t="s">
        <v>736</v>
      </c>
      <c r="D1" s="607" t="s">
        <v>741</v>
      </c>
      <c r="E1" s="12" t="s">
        <v>733</v>
      </c>
    </row>
    <row r="2" spans="1:7" ht="26">
      <c r="A2" s="449" t="s">
        <v>314</v>
      </c>
      <c r="B2" s="12"/>
      <c r="C2" s="12" t="s">
        <v>737</v>
      </c>
      <c r="D2" s="609"/>
      <c r="E2" s="53" t="s">
        <v>734</v>
      </c>
    </row>
    <row r="3" spans="1:7" ht="14.5">
      <c r="A3" s="449"/>
      <c r="B3" s="12"/>
      <c r="C3" s="53">
        <v>10</v>
      </c>
      <c r="D3" s="609"/>
      <c r="E3" s="9"/>
    </row>
    <row r="4" spans="1:7" ht="52">
      <c r="A4" s="58"/>
      <c r="B4" s="12" t="s">
        <v>702</v>
      </c>
      <c r="C4" s="564" t="s">
        <v>740</v>
      </c>
      <c r="D4" s="12" t="s">
        <v>742</v>
      </c>
      <c r="E4" s="12" t="s">
        <v>735</v>
      </c>
      <c r="F4" s="93" t="s">
        <v>743</v>
      </c>
      <c r="G4" s="93" t="s">
        <v>744</v>
      </c>
    </row>
    <row r="5" spans="1:7" ht="13">
      <c r="A5" s="389" t="str">
        <f>'Etape 2-Energie'!A4</f>
        <v>Consommation énergétique</v>
      </c>
      <c r="D5" s="608"/>
    </row>
    <row r="6" spans="1:7">
      <c r="A6" s="449" t="str">
        <f>'Etape 2-Energie'!A5</f>
        <v>Combustion de charbon issue de centrales électriques</v>
      </c>
      <c r="B6">
        <v>6.7227168213380929E-4</v>
      </c>
      <c r="C6">
        <f>$C$3</f>
        <v>10</v>
      </c>
      <c r="D6" s="606">
        <f t="shared" ref="D6:D34" si="0">IF(ISNUMBER(B6),B6*C6,"SKIP")</f>
        <v>6.7227168213380931E-3</v>
      </c>
      <c r="E6" s="610">
        <f>IF(ISNUMBER(D6),D6*'Etape 1-Données pays'!$B$6,"SKIP")</f>
        <v>0</v>
      </c>
      <c r="F6" s="614" t="str">
        <f>IF('Niveau 1-Sommaire des entréesHg'!E5="","",'Niveau 1-Sommaire des entréesHg'!E5)</f>
        <v>Présent ?</v>
      </c>
      <c r="G6" t="str">
        <f>IF(ISNUMBER(F6),IF(F6&lt;E6,"y","n"),"")</f>
        <v/>
      </c>
    </row>
    <row r="7" spans="1:7">
      <c r="A7" s="449" t="str">
        <f>'Etape 2-Energie'!A8</f>
        <v>Chaudières industrielles alimentées au charbon</v>
      </c>
      <c r="D7" s="606"/>
      <c r="E7" s="610"/>
      <c r="F7" s="614"/>
    </row>
    <row r="8" spans="1:7">
      <c r="A8" s="449" t="str">
        <f>'Etape 2-Energie'!A11</f>
        <v>Autres utilisations de charbon</v>
      </c>
      <c r="B8">
        <v>2.2364446616113013E-4</v>
      </c>
      <c r="C8" s="315">
        <v>20</v>
      </c>
      <c r="D8" s="606">
        <f t="shared" si="0"/>
        <v>4.4728893232226022E-3</v>
      </c>
      <c r="E8" s="610">
        <f>IF(ISNUMBER(D8),D8*'Etape 1-Données pays'!$B$6,"SKIP")</f>
        <v>0</v>
      </c>
      <c r="F8" s="614" t="str">
        <f>IF('Niveau 1-Sommaire des entréesHg'!E7="","",'Niveau 1-Sommaire des entréesHg'!E7)</f>
        <v>Présent ?</v>
      </c>
      <c r="G8" t="str">
        <f t="shared" ref="G8:G71" si="1">IF(ISNUMBER(F8),IF(F8&lt;E8,"y","n"),"")</f>
        <v/>
      </c>
    </row>
    <row r="9" spans="1:7" ht="25">
      <c r="A9" s="449" t="str">
        <f>'Etape 2-Energie'!A12</f>
        <v>Combustion/utilisation du coke de pétrole et de pétrole brut lourd</v>
      </c>
      <c r="B9">
        <v>1.0032298136645963E-4</v>
      </c>
      <c r="C9">
        <f t="shared" ref="C9:C71" si="2">$C$3</f>
        <v>10</v>
      </c>
      <c r="D9" s="606">
        <f t="shared" si="0"/>
        <v>1.0032298136645962E-3</v>
      </c>
      <c r="E9" s="610">
        <f>IF(ISNUMBER(D9),D9*'Etape 1-Données pays'!$B$6,"SKIP")</f>
        <v>0</v>
      </c>
      <c r="F9" s="614" t="str">
        <f>IF('Niveau 1-Sommaire des entréesHg'!E8="","",'Niveau 1-Sommaire des entréesHg'!E8)</f>
        <v>Présent ?</v>
      </c>
      <c r="G9" t="str">
        <f t="shared" si="1"/>
        <v/>
      </c>
    </row>
    <row r="10" spans="1:7" ht="25">
      <c r="A10" s="449" t="str">
        <f>'Etape 2-Energie'!A15</f>
        <v>Combustion/utilisation de diesel, gasoil, pétrole, kérosène, GPL et d'autres distillats légers à moyens</v>
      </c>
      <c r="B10">
        <v>1.6173158415841584E-5</v>
      </c>
      <c r="C10">
        <f t="shared" si="2"/>
        <v>10</v>
      </c>
      <c r="D10" s="606">
        <f t="shared" si="0"/>
        <v>1.6173158415841584E-4</v>
      </c>
      <c r="E10" s="610">
        <f>IF(ISNUMBER(D10),D10*'Etape 1-Données pays'!$B$6,"SKIP")</f>
        <v>0</v>
      </c>
      <c r="F10" s="614" t="str">
        <f>IF('Niveau 1-Sommaire des entréesHg'!E9="","",'Niveau 1-Sommaire des entréesHg'!E9)</f>
        <v>Présent ?</v>
      </c>
      <c r="G10" t="str">
        <f t="shared" si="1"/>
        <v/>
      </c>
    </row>
    <row r="11" spans="1:7">
      <c r="A11" s="449" t="str">
        <f>'Etape 2-Energie'!A18</f>
        <v>Utilisation de gaz naturel brut ou purifié au préalable</v>
      </c>
      <c r="B11">
        <v>3.7316770186335403E-5</v>
      </c>
      <c r="C11">
        <f t="shared" si="2"/>
        <v>10</v>
      </c>
      <c r="D11" s="606">
        <f t="shared" si="0"/>
        <v>3.7316770186335404E-4</v>
      </c>
      <c r="E11" s="610">
        <f>IF(ISNUMBER(D11),D11*'Etape 1-Données pays'!$B$6,"SKIP")</f>
        <v>0</v>
      </c>
      <c r="F11" s="614" t="str">
        <f>IF('Niveau 1-Sommaire des entréesHg'!E10="","",'Niveau 1-Sommaire des entréesHg'!E10)</f>
        <v>Présent ?</v>
      </c>
      <c r="G11" t="str">
        <f t="shared" si="1"/>
        <v/>
      </c>
    </row>
    <row r="12" spans="1:7">
      <c r="A12" s="449" t="str">
        <f>'Etape 2-Energie'!A19</f>
        <v>Utilisation de gaz riche (qualité pour les consommateurs)</v>
      </c>
      <c r="B12">
        <v>3.066424807808586E-6</v>
      </c>
      <c r="C12" s="315">
        <v>100</v>
      </c>
      <c r="D12" s="606">
        <f t="shared" si="0"/>
        <v>3.0664248078085858E-4</v>
      </c>
      <c r="E12" s="610">
        <f>IF(ISNUMBER(D12),D12*'Etape 1-Données pays'!$B$6,"SKIP")</f>
        <v>0</v>
      </c>
      <c r="F12" s="614" t="str">
        <f>IF('Niveau 1-Sommaire des entréesHg'!E11="","",'Niveau 1-Sommaire des entréesHg'!E11)</f>
        <v>Présent ?</v>
      </c>
      <c r="G12" t="str">
        <f t="shared" si="1"/>
        <v/>
      </c>
    </row>
    <row r="13" spans="1:7" ht="25">
      <c r="A13" s="449" t="str">
        <f>'Etape 2-Energie'!A20</f>
        <v>Production électrique et thermique par combustion de biomasse</v>
      </c>
      <c r="B13">
        <v>2.1352177849016704E-5</v>
      </c>
      <c r="C13">
        <f t="shared" si="2"/>
        <v>10</v>
      </c>
      <c r="D13" s="606">
        <f t="shared" si="0"/>
        <v>2.1352177849016704E-4</v>
      </c>
      <c r="E13" s="610">
        <f>IF(ISNUMBER(D13),D13*'Etape 1-Données pays'!$B$6,"SKIP")</f>
        <v>0</v>
      </c>
      <c r="F13" s="614" t="str">
        <f>IF('Niveau 1-Sommaire des entréesHg'!E12="","",'Niveau 1-Sommaire des entréesHg'!E12)</f>
        <v>Présent ?</v>
      </c>
      <c r="G13" t="str">
        <f t="shared" si="1"/>
        <v/>
      </c>
    </row>
    <row r="14" spans="1:7">
      <c r="A14" s="449" t="str">
        <f>'Etape 2-Energie'!A21</f>
        <v>Combustion de charbon de bois</v>
      </c>
      <c r="B14">
        <v>2.6555239118131514E-5</v>
      </c>
      <c r="C14">
        <f t="shared" si="2"/>
        <v>10</v>
      </c>
      <c r="D14" s="606">
        <f t="shared" si="0"/>
        <v>2.6555239118131516E-4</v>
      </c>
      <c r="E14" s="610">
        <f>IF(ISNUMBER(D14),D14*'Etape 1-Données pays'!$B$6,"SKIP")</f>
        <v>0</v>
      </c>
      <c r="F14" s="614" t="str">
        <f>IF('Niveau 1-Sommaire des entréesHg'!E13="","",'Niveau 1-Sommaire des entréesHg'!E13)</f>
        <v>Présent ?</v>
      </c>
      <c r="G14" t="str">
        <f t="shared" si="1"/>
        <v/>
      </c>
    </row>
    <row r="15" spans="1:7" ht="13">
      <c r="A15" s="389" t="str">
        <f>'Etape 2-Energie'!A23</f>
        <v>Production de carburant</v>
      </c>
      <c r="B15">
        <v>0</v>
      </c>
      <c r="C15">
        <f t="shared" si="2"/>
        <v>10</v>
      </c>
      <c r="D15" s="606">
        <f t="shared" si="0"/>
        <v>0</v>
      </c>
      <c r="E15" s="610">
        <f>IF(ISNUMBER(D15),D15*'Etape 1-Données pays'!$B$6,"SKIP")</f>
        <v>0</v>
      </c>
      <c r="F15" s="614" t="str">
        <f>IF('Niveau 1-Sommaire des entréesHg'!E14="","",'Niveau 1-Sommaire des entréesHg'!E14)</f>
        <v/>
      </c>
      <c r="G15" t="str">
        <f t="shared" si="1"/>
        <v/>
      </c>
    </row>
    <row r="16" spans="1:7">
      <c r="A16" s="449" t="str">
        <f>'Etape 2-Energie'!A24</f>
        <v>Extraction de pétrole</v>
      </c>
      <c r="B16">
        <v>5.112380952380952E-4</v>
      </c>
      <c r="C16">
        <f t="shared" si="2"/>
        <v>10</v>
      </c>
      <c r="D16" s="606">
        <f t="shared" si="0"/>
        <v>5.1123809523809516E-3</v>
      </c>
      <c r="E16" s="610">
        <f>IF(ISNUMBER(D16),D16*'Etape 1-Données pays'!$B$6,"SKIP")</f>
        <v>0</v>
      </c>
      <c r="F16" s="614" t="str">
        <f>IF('Niveau 1-Sommaire des entréesHg'!E15="","",'Niveau 1-Sommaire des entréesHg'!E15)</f>
        <v>Présent ?</v>
      </c>
      <c r="G16" t="str">
        <f t="shared" si="1"/>
        <v/>
      </c>
    </row>
    <row r="17" spans="1:7">
      <c r="A17" s="449" t="str">
        <f>'Etape 2-Energie'!A25</f>
        <v>Raffinage du pétrole</v>
      </c>
      <c r="B17">
        <v>1.7505590062111802E-4</v>
      </c>
      <c r="C17" s="315">
        <v>30</v>
      </c>
      <c r="D17" s="606">
        <f t="shared" si="0"/>
        <v>5.2516770186335406E-3</v>
      </c>
      <c r="E17" s="610">
        <f>IF(ISNUMBER(D17),D17*'Etape 1-Données pays'!$B$6,"SKIP")</f>
        <v>0</v>
      </c>
      <c r="F17" s="614" t="str">
        <f>IF('Niveau 1-Sommaire des entréesHg'!E16="","",'Niveau 1-Sommaire des entréesHg'!E16)</f>
        <v>Présent ?</v>
      </c>
      <c r="G17" t="str">
        <f t="shared" si="1"/>
        <v/>
      </c>
    </row>
    <row r="18" spans="1:7">
      <c r="A18" s="449" t="str">
        <f>'Etape 2-Energie'!A26</f>
        <v>Extraction et traitement du gaz naturel</v>
      </c>
      <c r="B18">
        <v>2.0723809523809524E-4</v>
      </c>
      <c r="C18">
        <f t="shared" si="2"/>
        <v>10</v>
      </c>
      <c r="D18" s="606">
        <f t="shared" si="0"/>
        <v>2.0723809523809523E-3</v>
      </c>
      <c r="E18" s="610">
        <f>IF(ISNUMBER(D18),D18*'Etape 1-Données pays'!$B$6,"SKIP")</f>
        <v>0</v>
      </c>
      <c r="F18" s="614" t="str">
        <f>IF('Niveau 1-Sommaire des entréesHg'!E17="","",'Niveau 1-Sommaire des entréesHg'!E17)</f>
        <v>Présent ?</v>
      </c>
      <c r="G18" t="str">
        <f t="shared" si="1"/>
        <v/>
      </c>
    </row>
    <row r="19" spans="1:7" ht="13">
      <c r="A19" s="389" t="str">
        <f>'Etape 3-Métaux-MatPre'!A5</f>
        <v>Production de métaux primaires</v>
      </c>
      <c r="B19">
        <v>0</v>
      </c>
      <c r="C19">
        <f t="shared" si="2"/>
        <v>10</v>
      </c>
      <c r="D19" s="606">
        <f t="shared" si="0"/>
        <v>0</v>
      </c>
      <c r="E19" s="610">
        <f>IF(ISNUMBER(D19),D19*'Etape 1-Données pays'!$B$6,"SKIP")</f>
        <v>0</v>
      </c>
      <c r="F19" s="614" t="str">
        <f>IF('Niveau 1-Sommaire des entréesHg'!E18="","",'Niveau 1-Sommaire des entréesHg'!E18)</f>
        <v/>
      </c>
      <c r="G19" t="str">
        <f t="shared" si="1"/>
        <v/>
      </c>
    </row>
    <row r="20" spans="1:7" ht="14.5">
      <c r="A20" s="603" t="str">
        <f>'Etape 3-Métaux-MatPre'!A6</f>
        <v>Extraction et transformation initiale du mercure (primaire)</v>
      </c>
      <c r="B20">
        <v>4.9587833629833274E-2</v>
      </c>
      <c r="C20">
        <f t="shared" si="2"/>
        <v>10</v>
      </c>
      <c r="D20" s="606">
        <f t="shared" si="0"/>
        <v>0.49587833629833272</v>
      </c>
      <c r="E20" s="610">
        <f>IF(ISNUMBER(D20),D20*'Etape 1-Données pays'!$B$6,"SKIP")</f>
        <v>0</v>
      </c>
      <c r="F20" s="614" t="str">
        <f>IF('Niveau 1-Sommaire des entréesHg'!E19="","",'Niveau 1-Sommaire des entréesHg'!E19)</f>
        <v>Présent ?</v>
      </c>
      <c r="G20" t="str">
        <f t="shared" si="1"/>
        <v/>
      </c>
    </row>
    <row r="21" spans="1:7">
      <c r="A21" s="449" t="str">
        <f>'Etape 3-Métaux-MatPre'!A7</f>
        <v>Production de zinc à partir de concentrés</v>
      </c>
      <c r="B21">
        <v>4.7096817600753547E-4</v>
      </c>
      <c r="C21" s="315">
        <v>200</v>
      </c>
      <c r="D21" s="606">
        <f t="shared" si="0"/>
        <v>9.41936352015071E-2</v>
      </c>
      <c r="E21" s="610">
        <f>IF(ISNUMBER(D21),D21*'Etape 1-Données pays'!$B$6,"SKIP")</f>
        <v>0</v>
      </c>
      <c r="F21" s="614" t="str">
        <f>IF('Niveau 1-Sommaire des entréesHg'!E20="","",'Niveau 1-Sommaire des entréesHg'!E20)</f>
        <v>Présent ?</v>
      </c>
      <c r="G21" t="str">
        <f t="shared" si="1"/>
        <v/>
      </c>
    </row>
    <row r="22" spans="1:7">
      <c r="A22" s="449" t="str">
        <f>'Etape 3-Métaux-MatPre'!A10</f>
        <v>Production de cuivre à partir de concentrés</v>
      </c>
      <c r="B22">
        <v>1.1711757298861753E-2</v>
      </c>
      <c r="C22">
        <f t="shared" si="2"/>
        <v>10</v>
      </c>
      <c r="D22" s="606">
        <f t="shared" si="0"/>
        <v>0.11711757298861752</v>
      </c>
      <c r="E22" s="610">
        <f>IF(ISNUMBER(D22),D22*'Etape 1-Données pays'!$B$6,"SKIP")</f>
        <v>0</v>
      </c>
      <c r="F22" s="614" t="str">
        <f>IF('Niveau 1-Sommaire des entréesHg'!E21="","",'Niveau 1-Sommaire des entréesHg'!E21)</f>
        <v>Présent ?</v>
      </c>
      <c r="G22" t="str">
        <f t="shared" si="1"/>
        <v/>
      </c>
    </row>
    <row r="23" spans="1:7">
      <c r="A23" s="449" t="str">
        <f>'Etape 3-Métaux-MatPre'!A13</f>
        <v>Production de plomb à partir de concentrés</v>
      </c>
      <c r="B23">
        <v>4.5302653120724842E-4</v>
      </c>
      <c r="C23" s="315">
        <v>200</v>
      </c>
      <c r="D23" s="606">
        <f t="shared" si="0"/>
        <v>9.060530624144969E-2</v>
      </c>
      <c r="E23" s="610">
        <f>IF(ISNUMBER(D23),D23*'Etape 1-Données pays'!$B$6,"SKIP")</f>
        <v>0</v>
      </c>
      <c r="F23" s="614" t="str">
        <f>IF('Niveau 1-Sommaire des entréesHg'!E22="","",'Niveau 1-Sommaire des entréesHg'!E22)</f>
        <v>Présent ?</v>
      </c>
      <c r="G23" t="str">
        <f t="shared" si="1"/>
        <v/>
      </c>
    </row>
    <row r="24" spans="1:7" ht="25">
      <c r="A24" s="449" t="str">
        <f>'Etape 3-Métaux-MatPre'!A16</f>
        <v>Extraction de l'or par des méthodes autres que l'amalgamation au mercure</v>
      </c>
      <c r="B24">
        <v>0.19547223276627479</v>
      </c>
      <c r="C24">
        <f t="shared" si="2"/>
        <v>10</v>
      </c>
      <c r="D24" s="606">
        <f t="shared" si="0"/>
        <v>1.9547223276627479</v>
      </c>
      <c r="E24" s="610">
        <f>IF(ISNUMBER(D24),D24*'Etape 1-Données pays'!$B$6,"SKIP")</f>
        <v>0</v>
      </c>
      <c r="F24" s="614" t="str">
        <f>IF('Niveau 1-Sommaire des entréesHg'!E23="","",'Niveau 1-Sommaire des entréesHg'!E23)</f>
        <v>Présent ?</v>
      </c>
      <c r="G24" t="str">
        <f t="shared" si="1"/>
        <v/>
      </c>
    </row>
    <row r="25" spans="1:7" ht="25">
      <c r="A25" s="449" t="str">
        <f>'Etape 3-Métaux-MatPre'!A17</f>
        <v>Production d'alumine à partir de la bauxite (production d'aluminium)</v>
      </c>
      <c r="B25">
        <v>1.024066800980033E-5</v>
      </c>
      <c r="C25">
        <f t="shared" si="2"/>
        <v>10</v>
      </c>
      <c r="D25" s="606">
        <f t="shared" si="0"/>
        <v>1.024066800980033E-4</v>
      </c>
      <c r="E25" s="610">
        <f>IF(ISNUMBER(D25),D25*'Etape 1-Données pays'!$B$6,"SKIP")</f>
        <v>0</v>
      </c>
      <c r="F25" s="614" t="str">
        <f>IF('Niveau 1-Sommaire des entréesHg'!E24="","",'Niveau 1-Sommaire des entréesHg'!E24)</f>
        <v>Présent ?</v>
      </c>
      <c r="G25" t="str">
        <f t="shared" si="1"/>
        <v/>
      </c>
    </row>
    <row r="26" spans="1:7" ht="25">
      <c r="A26" s="449" t="str">
        <f>'Etape 3-Métaux-MatPre'!A18</f>
        <v>Production de métal ferreux de première fusion (production de fonte)</v>
      </c>
      <c r="B26">
        <v>6.6708080643022112E-5</v>
      </c>
      <c r="C26">
        <f t="shared" si="2"/>
        <v>10</v>
      </c>
      <c r="D26" s="606">
        <f t="shared" si="0"/>
        <v>6.6708080643022112E-4</v>
      </c>
      <c r="E26" s="610">
        <f>IF(ISNUMBER(D26),D26*'Etape 1-Données pays'!$B$6,"SKIP")</f>
        <v>0</v>
      </c>
      <c r="F26" s="614" t="str">
        <f>IF('Niveau 1-Sommaire des entréesHg'!E25="","",'Niveau 1-Sommaire des entréesHg'!E25)</f>
        <v>Présent ?</v>
      </c>
      <c r="G26" t="str">
        <f t="shared" si="1"/>
        <v/>
      </c>
    </row>
    <row r="27" spans="1:7" ht="25">
      <c r="A27" s="449" t="str">
        <f>'Etape 3-Métaux-MatPre'!A19</f>
        <v>Extraction de l'or par amalgamation au mercure- à partir du minerai brut/entier</v>
      </c>
      <c r="B27">
        <v>1.0861473345961381E-3</v>
      </c>
      <c r="C27">
        <f t="shared" si="2"/>
        <v>10</v>
      </c>
      <c r="D27" s="606">
        <f t="shared" si="0"/>
        <v>1.0861473345961381E-2</v>
      </c>
      <c r="E27" s="610">
        <f>IF(ISNUMBER(D27),D27*'Etape 1-Données pays'!$B$6,"SKIP")</f>
        <v>0</v>
      </c>
      <c r="F27" s="614" t="str">
        <f>IF('Niveau 1-Sommaire des entréesHg'!E26="","",'Niveau 1-Sommaire des entréesHg'!E26)</f>
        <v>Présent ?</v>
      </c>
      <c r="G27" t="str">
        <f t="shared" si="1"/>
        <v/>
      </c>
    </row>
    <row r="28" spans="1:7" ht="25">
      <c r="A28" s="449" t="str">
        <f>'Etape 3-Métaux-MatPre'!A22</f>
        <v>Extraction de l'or par amalgamation au mercure- à partir de concentrés</v>
      </c>
      <c r="B28">
        <v>6.50839232784204E-10</v>
      </c>
      <c r="C28" s="315">
        <v>1000000</v>
      </c>
      <c r="D28" s="606">
        <f t="shared" si="0"/>
        <v>6.5083923278420398E-4</v>
      </c>
      <c r="E28" s="610">
        <f>IF(ISNUMBER(D28),D28*'Etape 1-Données pays'!$B$6,"SKIP")</f>
        <v>0</v>
      </c>
      <c r="F28" s="614" t="str">
        <f>IF('Niveau 1-Sommaire des entréesHg'!E27="","",'Niveau 1-Sommaire des entréesHg'!E27)</f>
        <v>Présent ?</v>
      </c>
      <c r="G28" t="str">
        <f t="shared" si="1"/>
        <v/>
      </c>
    </row>
    <row r="29" spans="1:7" ht="13">
      <c r="A29" s="389" t="str">
        <f>'Etape 3-Métaux-MatPre'!A25</f>
        <v>Autres productions de matériaux</v>
      </c>
      <c r="B29">
        <v>0</v>
      </c>
      <c r="C29">
        <f t="shared" si="2"/>
        <v>10</v>
      </c>
      <c r="D29" s="606">
        <f t="shared" si="0"/>
        <v>0</v>
      </c>
      <c r="E29" s="610">
        <f>IF(ISNUMBER(D29),D29*'Etape 1-Données pays'!$B$6,"SKIP")</f>
        <v>0</v>
      </c>
      <c r="F29" s="614" t="str">
        <f>IF('Niveau 1-Sommaire des entréesHg'!E28="","",'Niveau 1-Sommaire des entréesHg'!E28)</f>
        <v/>
      </c>
      <c r="G29" t="str">
        <f t="shared" si="1"/>
        <v/>
      </c>
    </row>
    <row r="30" spans="1:7">
      <c r="A30" s="449" t="str">
        <f>'Etape 3-Métaux-MatPre'!A26</f>
        <v>Production de ciment</v>
      </c>
      <c r="B30">
        <v>4.1647022787699354E-4</v>
      </c>
      <c r="C30">
        <f t="shared" si="2"/>
        <v>10</v>
      </c>
      <c r="D30" s="606">
        <f t="shared" si="0"/>
        <v>4.1647022787699352E-3</v>
      </c>
      <c r="E30" s="610">
        <f>IF(ISNUMBER(D30),D30*'Etape 1-Données pays'!$B$6,"SKIP")</f>
        <v>0</v>
      </c>
      <c r="F30" s="614" t="str">
        <f>IF('Niveau 1-Sommaire des entréesHg'!E29="","",'Niveau 1-Sommaire des entréesHg'!E29)</f>
        <v>Présent ?</v>
      </c>
      <c r="G30" t="str">
        <f t="shared" si="1"/>
        <v/>
      </c>
    </row>
    <row r="31" spans="1:7">
      <c r="A31" s="449" t="str">
        <f>'Etape 3-Métaux-MatPre'!A31</f>
        <v>Production de pulpe et de papier</v>
      </c>
      <c r="B31">
        <v>2.1555240695590912E-6</v>
      </c>
      <c r="C31">
        <f t="shared" si="2"/>
        <v>10</v>
      </c>
      <c r="D31" s="606">
        <f t="shared" si="0"/>
        <v>2.1555240695590913E-5</v>
      </c>
      <c r="E31" s="610">
        <f>IF(ISNUMBER(D31),D31*'Etape 1-Données pays'!$B$6,"SKIP")</f>
        <v>0</v>
      </c>
      <c r="F31" s="614" t="str">
        <f>IF('Niveau 1-Sommaire des entréesHg'!E30="","",'Niveau 1-Sommaire des entréesHg'!E30)</f>
        <v>Présent ?</v>
      </c>
      <c r="G31" t="str">
        <f t="shared" si="1"/>
        <v/>
      </c>
    </row>
    <row r="32" spans="1:7" ht="13">
      <c r="A32" s="389" t="str">
        <f>'Etape 4-Utilis. Industrielle Hg'!A4</f>
        <v>Production de produits chimiques</v>
      </c>
      <c r="B32">
        <v>0</v>
      </c>
      <c r="C32">
        <f t="shared" si="2"/>
        <v>10</v>
      </c>
      <c r="D32" s="606">
        <f t="shared" si="0"/>
        <v>0</v>
      </c>
      <c r="E32" s="610">
        <f>IF(ISNUMBER(D32),D32*'Etape 1-Données pays'!$B$6,"SKIP")</f>
        <v>0</v>
      </c>
      <c r="F32" s="614" t="str">
        <f>IF('Niveau 1-Sommaire des entréesHg'!E31="","",'Niveau 1-Sommaire des entréesHg'!E31)</f>
        <v/>
      </c>
      <c r="G32" t="str">
        <f t="shared" si="1"/>
        <v/>
      </c>
    </row>
    <row r="33" spans="1:7" ht="25">
      <c r="A33" s="449" t="str">
        <f>'Etape 4-Utilis. Industrielle Hg'!A5</f>
        <v>Production de chlore et de soude caustique avec cellules à mercure</v>
      </c>
      <c r="B33">
        <v>1.2788374205267939E-4</v>
      </c>
      <c r="C33">
        <f t="shared" si="2"/>
        <v>10</v>
      </c>
      <c r="D33" s="606">
        <f t="shared" si="0"/>
        <v>1.2788374205267938E-3</v>
      </c>
      <c r="E33" s="610">
        <f>IF(ISNUMBER(D33),D33*'Etape 1-Données pays'!$B$6,"SKIP")</f>
        <v>0</v>
      </c>
      <c r="F33" s="614" t="str">
        <f>IF('Niveau 1-Sommaire des entréesHg'!E32="","",'Niveau 1-Sommaire des entréesHg'!E32)</f>
        <v>Présent ?</v>
      </c>
      <c r="G33" t="str">
        <f t="shared" si="1"/>
        <v/>
      </c>
    </row>
    <row r="34" spans="1:7" ht="14.5">
      <c r="A34" s="603" t="str">
        <f>'Etape 4-Utilis. Industrielle Hg'!A6</f>
        <v>Production de CVM avec catalyseur au mercure</v>
      </c>
      <c r="B34">
        <v>1.0916327136237051E-4</v>
      </c>
      <c r="C34" s="315">
        <v>200</v>
      </c>
      <c r="D34" s="606">
        <f t="shared" si="0"/>
        <v>2.1832654272474102E-2</v>
      </c>
      <c r="E34" s="610">
        <f>IF(ISNUMBER(D34),D34*'Etape 1-Données pays'!$B$6,"SKIP")</f>
        <v>0</v>
      </c>
      <c r="F34" s="614" t="str">
        <f>IF('Niveau 1-Sommaire des entréesHg'!E33="","",'Niveau 1-Sommaire des entréesHg'!E33)</f>
        <v>Présent ?</v>
      </c>
      <c r="G34" t="str">
        <f t="shared" si="1"/>
        <v/>
      </c>
    </row>
    <row r="35" spans="1:7" ht="14.5">
      <c r="A35" s="603" t="str">
        <f>'Etape 4-Utilis. Industrielle Hg'!A7</f>
        <v>Production d'acétaldéhyde avec catalyseur au mercure</v>
      </c>
      <c r="B35" s="605" t="s">
        <v>738</v>
      </c>
      <c r="C35">
        <f t="shared" si="2"/>
        <v>10</v>
      </c>
      <c r="D35" s="606" t="str">
        <f>IF(ISNUMBER(B35),B35*C35,"SKIP")</f>
        <v>SKIP</v>
      </c>
      <c r="E35" s="610" t="str">
        <f>IF(ISNUMBER(D35),D35*'Etape 1-Données pays'!$B$6,"SKIP")</f>
        <v>SKIP</v>
      </c>
      <c r="F35" s="614" t="str">
        <f>IF('Niveau 1-Sommaire des entréesHg'!E34="","",'Niveau 1-Sommaire des entréesHg'!E34)</f>
        <v>Présent ?</v>
      </c>
      <c r="G35" t="str">
        <f t="shared" si="1"/>
        <v/>
      </c>
    </row>
    <row r="36" spans="1:7" ht="13">
      <c r="A36" s="389" t="str">
        <f>'Etape 4-Utilis. Industrielle Hg'!A9</f>
        <v>Production de produits avec des teneurs en mercure</v>
      </c>
      <c r="B36" s="605"/>
      <c r="C36">
        <f t="shared" si="2"/>
        <v>10</v>
      </c>
      <c r="D36" s="606" t="str">
        <f t="shared" ref="D36:D73" si="3">IF(ISNUMBER(B36),B36*C36,"SKIP")</f>
        <v>SKIP</v>
      </c>
      <c r="E36" s="610" t="str">
        <f>IF(ISNUMBER(D36),D36*'Etape 1-Données pays'!$B$6,"SKIP")</f>
        <v>SKIP</v>
      </c>
      <c r="F36" s="614" t="str">
        <f>IF('Niveau 1-Sommaire des entréesHg'!E35="","",'Niveau 1-Sommaire des entréesHg'!E35)</f>
        <v/>
      </c>
      <c r="G36" t="str">
        <f t="shared" si="1"/>
        <v/>
      </c>
    </row>
    <row r="37" spans="1:7" ht="29">
      <c r="A37" s="603" t="str">
        <f>'Etape 4-Utilis. Industrielle Hg'!A10</f>
        <v>Thermomètres au mercure (médical, air, laboratoire, industriel etc.)</v>
      </c>
      <c r="B37" s="611">
        <f>B40</f>
        <v>1.0046862845014277E-4</v>
      </c>
      <c r="C37">
        <f t="shared" si="2"/>
        <v>10</v>
      </c>
      <c r="D37" s="606">
        <f t="shared" si="3"/>
        <v>1.0046862845014277E-3</v>
      </c>
      <c r="E37" s="610">
        <f>IF(ISNUMBER(D37),D37*'Etape 1-Données pays'!$B$6,"SKIP")</f>
        <v>0</v>
      </c>
      <c r="F37" s="614" t="str">
        <f>IF('Niveau 1-Sommaire des entréesHg'!E36="","",'Niveau 1-Sommaire des entréesHg'!E36)</f>
        <v>Présent ?</v>
      </c>
      <c r="G37" t="str">
        <f t="shared" si="1"/>
        <v/>
      </c>
    </row>
    <row r="38" spans="1:7" ht="14.5">
      <c r="A38" s="603" t="str">
        <f>'Etape 4-Utilis. Industrielle Hg'!A11</f>
        <v>Commutateurs et relais électriques avec du mercure</v>
      </c>
      <c r="B38" s="611">
        <f>B40</f>
        <v>1.0046862845014277E-4</v>
      </c>
      <c r="C38">
        <f t="shared" si="2"/>
        <v>10</v>
      </c>
      <c r="D38" s="606">
        <f t="shared" si="3"/>
        <v>1.0046862845014277E-3</v>
      </c>
      <c r="E38" s="610">
        <f>IF(ISNUMBER(D38),D38*'Etape 1-Données pays'!$B$6,"SKIP")</f>
        <v>0</v>
      </c>
      <c r="F38" s="614" t="str">
        <f>IF('Niveau 1-Sommaire des entréesHg'!E37="","",'Niveau 1-Sommaire des entréesHg'!E37)</f>
        <v>Présent ?</v>
      </c>
      <c r="G38" t="str">
        <f t="shared" si="1"/>
        <v/>
      </c>
    </row>
    <row r="39" spans="1:7" ht="25">
      <c r="A39" s="449" t="str">
        <f>'Etape 4-Utilis. Industrielle Hg'!A12</f>
        <v>Sources de lumière au mercure (fluorescent, compact, autres : voir guide)</v>
      </c>
      <c r="B39">
        <v>2.4752475247524754E-7</v>
      </c>
      <c r="C39" s="315">
        <v>1000</v>
      </c>
      <c r="D39" s="606">
        <f t="shared" si="3"/>
        <v>2.4752475247524753E-4</v>
      </c>
      <c r="E39" s="610">
        <f>IF(ISNUMBER(D39),D39*'Etape 1-Données pays'!$B$6,"SKIP")</f>
        <v>0</v>
      </c>
      <c r="F39" s="614" t="str">
        <f>IF('Niveau 1-Sommaire des entréesHg'!E38="","",'Niveau 1-Sommaire des entréesHg'!E38)</f>
        <v>Présent ?</v>
      </c>
      <c r="G39" t="str">
        <f t="shared" si="1"/>
        <v/>
      </c>
    </row>
    <row r="40" spans="1:7">
      <c r="A40" s="449" t="str">
        <f>'Etape 4-Utilis. Industrielle Hg'!A13</f>
        <v>Piles au mercure</v>
      </c>
      <c r="B40">
        <v>1.0046862845014277E-4</v>
      </c>
      <c r="C40">
        <f t="shared" si="2"/>
        <v>10</v>
      </c>
      <c r="D40" s="606">
        <f t="shared" si="3"/>
        <v>1.0046862845014277E-3</v>
      </c>
      <c r="E40" s="610">
        <f>IF(ISNUMBER(D40),D40*'Etape 1-Données pays'!$B$6,"SKIP")</f>
        <v>0</v>
      </c>
      <c r="F40" s="614" t="str">
        <f>IF('Niveau 1-Sommaire des entréesHg'!E39="","",'Niveau 1-Sommaire des entréesHg'!E39)</f>
        <v>Présent ?</v>
      </c>
      <c r="G40" t="str">
        <f t="shared" si="1"/>
        <v/>
      </c>
    </row>
    <row r="41" spans="1:7" ht="14.5">
      <c r="A41" s="603" t="str">
        <f>'Etape 4-Utilis. Industrielle Hg'!A14</f>
        <v>Manomètres et jauges au mercure</v>
      </c>
      <c r="B41" s="612">
        <f>$B$40</f>
        <v>1.0046862845014277E-4</v>
      </c>
      <c r="C41">
        <f t="shared" si="2"/>
        <v>10</v>
      </c>
      <c r="D41" s="606">
        <f t="shared" si="3"/>
        <v>1.0046862845014277E-3</v>
      </c>
      <c r="E41" s="610">
        <f>IF(ISNUMBER(D41),D41*'Etape 1-Données pays'!$B$6,"SKIP")</f>
        <v>0</v>
      </c>
      <c r="F41" s="614" t="str">
        <f>IF('Niveau 1-Sommaire des entréesHg'!E40="","",'Niveau 1-Sommaire des entréesHg'!E40)</f>
        <v>Présent ?</v>
      </c>
      <c r="G41" t="str">
        <f t="shared" si="1"/>
        <v/>
      </c>
    </row>
    <row r="42" spans="1:7" ht="14.5">
      <c r="A42" s="603" t="str">
        <f>'Etape 4-Utilis. Industrielle Hg'!A15</f>
        <v>Biocides et pesticides au mercure</v>
      </c>
      <c r="B42" s="612">
        <f>$B$40</f>
        <v>1.0046862845014277E-4</v>
      </c>
      <c r="C42">
        <f t="shared" si="2"/>
        <v>10</v>
      </c>
      <c r="D42" s="606">
        <f t="shared" si="3"/>
        <v>1.0046862845014277E-3</v>
      </c>
      <c r="E42" s="610">
        <f>IF(ISNUMBER(D42),D42*'Etape 1-Données pays'!$B$6,"SKIP")</f>
        <v>0</v>
      </c>
      <c r="F42" s="614" t="str">
        <f>IF('Niveau 1-Sommaire des entréesHg'!E41="","",'Niveau 1-Sommaire des entréesHg'!E41)</f>
        <v>Présent ?</v>
      </c>
      <c r="G42" t="str">
        <f t="shared" si="1"/>
        <v/>
      </c>
    </row>
    <row r="43" spans="1:7">
      <c r="A43" s="449" t="str">
        <f>'Etape 4-Utilis. Industrielle Hg'!A16</f>
        <v>Peintures au mercure</v>
      </c>
      <c r="B43">
        <v>2.4752475247524754E-5</v>
      </c>
      <c r="C43">
        <f t="shared" si="2"/>
        <v>10</v>
      </c>
      <c r="D43" s="606">
        <f t="shared" si="3"/>
        <v>2.4752475247524753E-4</v>
      </c>
      <c r="E43" s="610">
        <f>IF(ISNUMBER(D43),D43*'Etape 1-Données pays'!$B$6,"SKIP")</f>
        <v>0</v>
      </c>
      <c r="F43" s="614" t="str">
        <f>IF('Niveau 1-Sommaire des entréesHg'!E42="","",'Niveau 1-Sommaire des entréesHg'!E42)</f>
        <v>Présent ?</v>
      </c>
      <c r="G43" t="str">
        <f t="shared" si="1"/>
        <v/>
      </c>
    </row>
    <row r="44" spans="1:7" ht="25">
      <c r="A44" s="449" t="str">
        <f>'Etape 4-Utilis. Industrielle Hg'!A17</f>
        <v>Crèmes et savons éclaircissants pour la peau contenant du mercure</v>
      </c>
      <c r="B44">
        <v>2.4752475247524754E-5</v>
      </c>
      <c r="C44">
        <v>10</v>
      </c>
      <c r="D44" s="606">
        <f t="shared" si="3"/>
        <v>2.4752475247524753E-4</v>
      </c>
      <c r="E44" s="610">
        <f>IF(ISNUMBER(D44),D44*'Etape 1-Données pays'!$B$6,"SKIP")</f>
        <v>0</v>
      </c>
      <c r="F44" s="614" t="str">
        <f>IF('Niveau 1-Sommaire des entréesHg'!E43="","",'Niveau 1-Sommaire des entréesHg'!E43)</f>
        <v>Présent ?</v>
      </c>
      <c r="G44" t="str">
        <f t="shared" si="1"/>
        <v/>
      </c>
    </row>
    <row r="45" spans="1:7" ht="26">
      <c r="A45" s="389" t="str">
        <f>'Etape6-Produits-substances Hg'!A6</f>
        <v>Utilisation et élimination de produits avec des teneurs en mercure</v>
      </c>
      <c r="B45">
        <v>0</v>
      </c>
      <c r="C45">
        <f t="shared" si="2"/>
        <v>10</v>
      </c>
      <c r="D45" s="606">
        <f t="shared" si="3"/>
        <v>0</v>
      </c>
      <c r="E45" s="610">
        <f>IF(ISNUMBER(D45),D45*'Etape 1-Données pays'!$B$6,"SKIP")</f>
        <v>0</v>
      </c>
      <c r="F45" s="614" t="str">
        <f>IF('Niveau 1-Sommaire des entréesHg'!E44="","",'Niveau 1-Sommaire des entréesHg'!E44)</f>
        <v/>
      </c>
      <c r="G45" t="str">
        <f t="shared" si="1"/>
        <v/>
      </c>
    </row>
    <row r="46" spans="1:7" ht="13">
      <c r="A46" s="604" t="str">
        <f>'Etape6-Produits-substances Hg'!A7</f>
        <v>Amalgames dentaires (obturation "argent")</v>
      </c>
      <c r="B46" s="605" t="s">
        <v>739</v>
      </c>
      <c r="C46">
        <f t="shared" si="2"/>
        <v>10</v>
      </c>
      <c r="D46" s="606" t="str">
        <f t="shared" si="3"/>
        <v>SKIP</v>
      </c>
      <c r="E46" s="610" t="str">
        <f>IF(ISNUMBER(D46),D46*'Etape 1-Données pays'!$B$6,"SKIP")</f>
        <v>SKIP</v>
      </c>
      <c r="F46" s="614" t="str">
        <f>IF('Niveau 1-Sommaire des entréesHg'!E45="","",'Niveau 1-Sommaire des entréesHg'!E45)</f>
        <v>Présent ?</v>
      </c>
      <c r="G46" t="str">
        <f t="shared" si="1"/>
        <v/>
      </c>
    </row>
    <row r="47" spans="1:7">
      <c r="A47" s="449" t="str">
        <f>'Etape6-Produits-substances Hg'!A15</f>
        <v>Thermomètres</v>
      </c>
      <c r="B47">
        <v>1.322254652117067E-4</v>
      </c>
      <c r="C47">
        <f t="shared" si="2"/>
        <v>10</v>
      </c>
      <c r="D47" s="606">
        <f t="shared" si="3"/>
        <v>1.3222546521170671E-3</v>
      </c>
      <c r="E47" s="610">
        <f>IF(ISNUMBER(D47),D47*'Etape 1-Données pays'!$B$6,"SKIP")</f>
        <v>0</v>
      </c>
      <c r="F47" s="614" t="str">
        <f>IF('Niveau 1-Sommaire des entréesHg'!E46="","",'Niveau 1-Sommaire des entréesHg'!E46)</f>
        <v>Présent ?</v>
      </c>
      <c r="G47" t="str">
        <f t="shared" si="1"/>
        <v/>
      </c>
    </row>
    <row r="48" spans="1:7" ht="13">
      <c r="A48" s="604" t="str">
        <f>'Etape6-Produits-substances Hg'!A20</f>
        <v>Commutateurs et relais électriques contenant du mercure</v>
      </c>
      <c r="B48" s="605" t="s">
        <v>739</v>
      </c>
      <c r="C48">
        <f t="shared" si="2"/>
        <v>10</v>
      </c>
      <c r="D48" s="606" t="str">
        <f t="shared" si="3"/>
        <v>SKIP</v>
      </c>
      <c r="E48" s="610" t="str">
        <f>IF(ISNUMBER(D48),D48*'Etape 1-Données pays'!$B$6,"SKIP")</f>
        <v>SKIP</v>
      </c>
      <c r="F48" s="614" t="str">
        <f>IF('Niveau 1-Sommaire des entréesHg'!E47="","",'Niveau 1-Sommaire des entréesHg'!E47)</f>
        <v>Présent ?</v>
      </c>
      <c r="G48" t="str">
        <f t="shared" si="1"/>
        <v/>
      </c>
    </row>
    <row r="49" spans="1:7">
      <c r="A49" s="449" t="str">
        <f>'Etape6-Produits-substances Hg'!A23</f>
        <v>Sources de lumière au mercure</v>
      </c>
      <c r="B49">
        <v>1.8975883969257531E-5</v>
      </c>
      <c r="C49">
        <f t="shared" si="2"/>
        <v>10</v>
      </c>
      <c r="D49" s="606">
        <f t="shared" si="3"/>
        <v>1.8975883969257531E-4</v>
      </c>
      <c r="E49" s="610">
        <f>IF(ISNUMBER(D49),D49*'Etape 1-Données pays'!$B$6,"SKIP")</f>
        <v>0</v>
      </c>
      <c r="F49" s="614" t="str">
        <f>IF('Niveau 1-Sommaire des entréesHg'!E48="","",'Niveau 1-Sommaire des entréesHg'!E48)</f>
        <v>Présent ?</v>
      </c>
      <c r="G49" t="str">
        <f t="shared" si="1"/>
        <v/>
      </c>
    </row>
    <row r="50" spans="1:7">
      <c r="A50" s="280" t="str">
        <f>'Etape6-Produits-substances Hg'!A28</f>
        <v>Piles contenant du mercure</v>
      </c>
      <c r="B50">
        <v>1.2791241581064613E-2</v>
      </c>
      <c r="C50">
        <f t="shared" si="2"/>
        <v>10</v>
      </c>
      <c r="D50" s="606">
        <f t="shared" si="3"/>
        <v>0.12791241581064614</v>
      </c>
      <c r="E50" s="610">
        <f>IF(ISNUMBER(D50),D50*'Etape 1-Données pays'!$B$6,"SKIP")</f>
        <v>0</v>
      </c>
      <c r="F50" s="614" t="str">
        <f>IF('Niveau 1-Sommaire des entréesHg'!E49="","",'Niveau 1-Sommaire des entréesHg'!E49)</f>
        <v>Présent ?</v>
      </c>
      <c r="G50" t="str">
        <f t="shared" si="1"/>
        <v/>
      </c>
    </row>
    <row r="51" spans="1:7" ht="25.5">
      <c r="A51" s="604" t="str">
        <f>'Etape6-Produits-substances Hg'!A33</f>
        <v>Polyuréthane produit (PU, PUR) avec un catalyseur au mercure</v>
      </c>
      <c r="B51" s="605" t="s">
        <v>739</v>
      </c>
      <c r="C51">
        <f t="shared" si="2"/>
        <v>10</v>
      </c>
      <c r="D51" s="606" t="str">
        <f t="shared" si="3"/>
        <v>SKIP</v>
      </c>
      <c r="E51" s="610" t="str">
        <f>IF(ISNUMBER(D51),D51*'Etape 1-Données pays'!$B$6,"SKIP")</f>
        <v>SKIP</v>
      </c>
      <c r="F51" s="614" t="str">
        <f>IF('Niveau 1-Sommaire des entréesHg'!E50="","",'Niveau 1-Sommaire des entréesHg'!E50)</f>
        <v>Présent ?</v>
      </c>
      <c r="G51" t="str">
        <f t="shared" si="1"/>
        <v/>
      </c>
    </row>
    <row r="52" spans="1:7" ht="14.5">
      <c r="A52" s="613" t="str">
        <f>'Etape6-Produits-substances Hg'!A36</f>
        <v>Peintures avec des conservateurs au mercure</v>
      </c>
      <c r="B52">
        <v>3.2178217821782178E-6</v>
      </c>
      <c r="C52" s="315">
        <v>30</v>
      </c>
      <c r="D52" s="606">
        <f t="shared" si="3"/>
        <v>9.6534653465346539E-5</v>
      </c>
      <c r="E52" s="610">
        <f>IF(ISNUMBER(D52),D52*'Etape 1-Données pays'!$B$6,"SKIP")</f>
        <v>0</v>
      </c>
      <c r="F52" s="614" t="str">
        <f>IF('Niveau 1-Sommaire des entréesHg'!E51="","",'Niveau 1-Sommaire des entréesHg'!E51)</f>
        <v>Présent ?</v>
      </c>
      <c r="G52" t="str">
        <f t="shared" si="1"/>
        <v/>
      </c>
    </row>
    <row r="53" spans="1:7" ht="29">
      <c r="A53" s="613" t="str">
        <f>'Etape6-Produits-substances Hg'!A38</f>
        <v>Crèmes et savons éclaircissants pour la peau contenant du mercure</v>
      </c>
      <c r="B53">
        <v>1.0332588101156864E-5</v>
      </c>
      <c r="C53">
        <v>10</v>
      </c>
      <c r="D53" s="606">
        <f t="shared" si="3"/>
        <v>1.0332588101156865E-4</v>
      </c>
      <c r="E53" s="610">
        <f>IF(ISNUMBER(D53),D53*'Etape 1-Données pays'!$B$6,"SKIP")</f>
        <v>0</v>
      </c>
      <c r="F53" s="614" t="str">
        <f>IF('Niveau 1-Sommaire des entréesHg'!E52="","",'Niveau 1-Sommaire des entréesHg'!E52)</f>
        <v>Présent ?</v>
      </c>
      <c r="G53" t="str">
        <f t="shared" si="1"/>
        <v/>
      </c>
    </row>
    <row r="54" spans="1:7" ht="29">
      <c r="A54" s="613" t="str">
        <f>'Etape6-Produits-substances Hg'!A40</f>
        <v>Appareil médical servant à mesurer la pression sanguine (tensiomètre au mercure)</v>
      </c>
      <c r="B54">
        <v>6.5182568191907641E-5</v>
      </c>
      <c r="C54">
        <f t="shared" si="2"/>
        <v>10</v>
      </c>
      <c r="D54" s="606">
        <f t="shared" si="3"/>
        <v>6.5182568191907641E-4</v>
      </c>
      <c r="E54" s="610">
        <f>IF(ISNUMBER(D54),D54*'Etape 1-Données pays'!$B$6,"SKIP")</f>
        <v>0</v>
      </c>
      <c r="F54" s="614" t="str">
        <f>IF('Niveau 1-Sommaire des entréesHg'!E53="","",'Niveau 1-Sommaire des entréesHg'!E53)</f>
        <v>Présent ?</v>
      </c>
      <c r="G54" t="str">
        <f t="shared" si="1"/>
        <v/>
      </c>
    </row>
    <row r="55" spans="1:7" ht="13">
      <c r="A55" s="604" t="str">
        <f>'Etape6-Produits-substances Hg'!A42</f>
        <v>Autres manomètres et jauges contenant du mercure</v>
      </c>
      <c r="B55" s="605" t="s">
        <v>739</v>
      </c>
      <c r="C55">
        <f t="shared" si="2"/>
        <v>10</v>
      </c>
      <c r="D55" s="606" t="str">
        <f t="shared" si="3"/>
        <v>SKIP</v>
      </c>
      <c r="E55" s="610" t="str">
        <f>IF(ISNUMBER(D55),D55*'Etape 1-Données pays'!$B$6,"SKIP")</f>
        <v>SKIP</v>
      </c>
      <c r="F55" s="614" t="str">
        <f>IF('Niveau 1-Sommaire des entréesHg'!E54="","",'Niveau 1-Sommaire des entréesHg'!E54)</f>
        <v>Présent ?</v>
      </c>
      <c r="G55" t="str">
        <f t="shared" si="1"/>
        <v/>
      </c>
    </row>
    <row r="56" spans="1:7" ht="13">
      <c r="A56" s="604" t="str">
        <f>'Etape6-Produits-substances Hg'!A45</f>
        <v>Produits chimiques de laboratoire</v>
      </c>
      <c r="B56" s="605" t="s">
        <v>739</v>
      </c>
      <c r="C56">
        <f t="shared" si="2"/>
        <v>10</v>
      </c>
      <c r="D56" s="606" t="str">
        <f t="shared" si="3"/>
        <v>SKIP</v>
      </c>
      <c r="E56" s="610" t="str">
        <f>IF(ISNUMBER(D56),D56*'Etape 1-Données pays'!$B$6,"SKIP")</f>
        <v>SKIP</v>
      </c>
      <c r="F56" s="614" t="str">
        <f>IF('Niveau 1-Sommaire des entréesHg'!E55="","",'Niveau 1-Sommaire des entréesHg'!E55)</f>
        <v>Présent ?</v>
      </c>
      <c r="G56" t="str">
        <f t="shared" si="1"/>
        <v/>
      </c>
    </row>
    <row r="57" spans="1:7" ht="25.5">
      <c r="A57" s="604" t="str">
        <f>'Etape6-Produits-substances Hg'!A48</f>
        <v>Autres équipements de laboratoire et médical contenant du mercure</v>
      </c>
      <c r="B57" s="605" t="s">
        <v>739</v>
      </c>
      <c r="C57">
        <f t="shared" si="2"/>
        <v>10</v>
      </c>
      <c r="D57" s="606" t="str">
        <f t="shared" si="3"/>
        <v>SKIP</v>
      </c>
      <c r="E57" s="610" t="str">
        <f>IF(ISNUMBER(D57),D57*'Etape 1-Données pays'!$B$6,"SKIP")</f>
        <v>SKIP</v>
      </c>
      <c r="F57" s="614" t="str">
        <f>IF('Niveau 1-Sommaire des entréesHg'!E56="","",'Niveau 1-Sommaire des entréesHg'!E56)</f>
        <v>Présent ?</v>
      </c>
      <c r="G57" t="str">
        <f t="shared" si="1"/>
        <v/>
      </c>
    </row>
    <row r="58" spans="1:7" ht="13">
      <c r="A58" s="389" t="str">
        <f>'Etape5-Trait.+recyclage déchets'!A8</f>
        <v>Production de métal recyclé</v>
      </c>
      <c r="B58">
        <v>0</v>
      </c>
      <c r="C58">
        <f t="shared" si="2"/>
        <v>10</v>
      </c>
      <c r="D58" s="606">
        <f t="shared" si="3"/>
        <v>0</v>
      </c>
      <c r="E58" s="610">
        <f>IF(ISNUMBER(D58),D58*'Etape 1-Données pays'!$B$6,"SKIP")</f>
        <v>0</v>
      </c>
      <c r="F58" s="614" t="str">
        <f>IF('Niveau 1-Sommaire des entréesHg'!E57="","",'Niveau 1-Sommaire des entréesHg'!E57)</f>
        <v/>
      </c>
      <c r="G58" t="str">
        <f t="shared" si="1"/>
        <v/>
      </c>
    </row>
    <row r="59" spans="1:7" ht="14.5">
      <c r="A59" s="613" t="str">
        <f>'Etape5-Trait.+recyclage déchets'!A9</f>
        <v>Production de mercure recyclé ("production secondaire”)</v>
      </c>
      <c r="B59" s="612">
        <v>0.01</v>
      </c>
      <c r="C59">
        <f t="shared" si="2"/>
        <v>10</v>
      </c>
      <c r="D59" s="606">
        <f t="shared" si="3"/>
        <v>0.1</v>
      </c>
      <c r="E59" s="610">
        <f>IF(ISNUMBER(D59),D59*'Etape 1-Données pays'!$B$6,"SKIP")</f>
        <v>0</v>
      </c>
      <c r="F59" s="614" t="str">
        <f>IF('Niveau 1-Sommaire des entréesHg'!E58="","",'Niveau 1-Sommaire des entréesHg'!E58)</f>
        <v>Présent ?</v>
      </c>
      <c r="G59" t="str">
        <f t="shared" si="1"/>
        <v/>
      </c>
    </row>
    <row r="60" spans="1:7">
      <c r="A60" s="449" t="str">
        <f>'Etape5-Trait.+recyclage déchets'!A10</f>
        <v>Production de métaux ferreux recyclés (fer et acier)</v>
      </c>
      <c r="B60">
        <v>8.9600574132633599E-6</v>
      </c>
      <c r="C60">
        <f t="shared" si="2"/>
        <v>10</v>
      </c>
      <c r="D60" s="606">
        <f t="shared" si="3"/>
        <v>8.9600574132633602E-5</v>
      </c>
      <c r="E60" s="610">
        <f>IF(ISNUMBER(D60),D60*'Etape 1-Données pays'!$B$6,"SKIP")</f>
        <v>0</v>
      </c>
      <c r="F60" s="614" t="str">
        <f>IF('Niveau 1-Sommaire des entréesHg'!E59="","",'Niveau 1-Sommaire des entréesHg'!E59)</f>
        <v>Présent ?</v>
      </c>
      <c r="G60" t="str">
        <f t="shared" si="1"/>
        <v/>
      </c>
    </row>
    <row r="61" spans="1:7" ht="13">
      <c r="A61" s="389" t="str">
        <f>'Etape5-Trait.+recyclage déchets'!A12</f>
        <v>Incinération des déchets</v>
      </c>
      <c r="B61">
        <v>0</v>
      </c>
      <c r="C61">
        <f t="shared" si="2"/>
        <v>10</v>
      </c>
      <c r="D61" s="606">
        <f t="shared" si="3"/>
        <v>0</v>
      </c>
      <c r="E61" s="610">
        <f>IF(ISNUMBER(D61),D61*'Etape 1-Données pays'!$B$6,"SKIP")</f>
        <v>0</v>
      </c>
      <c r="F61" s="614" t="str">
        <f>IF('Niveau 1-Sommaire des entréesHg'!E60="","",'Niveau 1-Sommaire des entréesHg'!E60)</f>
        <v/>
      </c>
      <c r="G61" t="str">
        <f t="shared" si="1"/>
        <v/>
      </c>
    </row>
    <row r="62" spans="1:7">
      <c r="A62" s="280" t="str">
        <f>'Etape5-Trait.+recyclage déchets'!A13</f>
        <v>Incinération des déchets municipaux/généraux</v>
      </c>
      <c r="B62">
        <v>5.9929523809523809E-4</v>
      </c>
      <c r="C62">
        <f t="shared" si="2"/>
        <v>10</v>
      </c>
      <c r="D62" s="606">
        <f t="shared" si="3"/>
        <v>5.9929523809523809E-3</v>
      </c>
      <c r="E62" s="610">
        <f>IF(ISNUMBER(D62),D62*'Etape 1-Données pays'!$B$6,"SKIP")</f>
        <v>0</v>
      </c>
      <c r="F62" s="614" t="str">
        <f>IF('Niveau 1-Sommaire des entréesHg'!E61="","",'Niveau 1-Sommaire des entréesHg'!E61)</f>
        <v>Présent ?</v>
      </c>
      <c r="G62" t="str">
        <f t="shared" si="1"/>
        <v/>
      </c>
    </row>
    <row r="63" spans="1:7">
      <c r="A63" s="280" t="str">
        <f>'Etape5-Trait.+recyclage déchets'!A16</f>
        <v>Incinération des déchets dangereux</v>
      </c>
      <c r="B63">
        <v>2.6063225443658077E-6</v>
      </c>
      <c r="C63">
        <f t="shared" si="2"/>
        <v>10</v>
      </c>
      <c r="D63" s="606">
        <f t="shared" si="3"/>
        <v>2.6063225443658077E-5</v>
      </c>
      <c r="E63" s="610">
        <f>IF(ISNUMBER(D63),D63*'Etape 1-Données pays'!$B$6,"SKIP")</f>
        <v>0</v>
      </c>
      <c r="F63" s="614" t="str">
        <f>IF('Niveau 1-Sommaire des entréesHg'!E62="","",'Niveau 1-Sommaire des entréesHg'!E62)</f>
        <v>Présent ?</v>
      </c>
      <c r="G63" t="str">
        <f t="shared" si="1"/>
        <v/>
      </c>
    </row>
    <row r="64" spans="1:7">
      <c r="A64" s="280" t="str">
        <f>'Etape5-Trait.+recyclage déchets'!A19</f>
        <v>Incinération et brûlage à l'air libre des déchets médicaux</v>
      </c>
      <c r="B64">
        <v>2.8364153670187712E-4</v>
      </c>
      <c r="C64">
        <f t="shared" si="2"/>
        <v>10</v>
      </c>
      <c r="D64" s="606">
        <f t="shared" si="3"/>
        <v>2.8364153670187714E-3</v>
      </c>
      <c r="E64" s="610">
        <f>IF(ISNUMBER(D64),D64*'Etape 1-Données pays'!$B$6,"SKIP")</f>
        <v>0</v>
      </c>
      <c r="F64" s="614" t="str">
        <f>IF('Niveau 1-Sommaire des entréesHg'!E63="","",'Niveau 1-Sommaire des entréesHg'!E63)</f>
        <v>Présent ?</v>
      </c>
      <c r="G64" t="str">
        <f t="shared" si="1"/>
        <v/>
      </c>
    </row>
    <row r="65" spans="1:7">
      <c r="A65" s="280" t="str">
        <f>'Etape5-Trait.+recyclage déchets'!A22</f>
        <v>Incinération des boues d'épuration</v>
      </c>
      <c r="B65">
        <v>9.3304259726002709E-7</v>
      </c>
      <c r="C65" s="315">
        <v>500</v>
      </c>
      <c r="D65" s="606">
        <f t="shared" si="3"/>
        <v>4.6652129863001353E-4</v>
      </c>
      <c r="E65" s="610">
        <f>IF(ISNUMBER(D65),D65*'Etape 1-Données pays'!$B$6,"SKIP")</f>
        <v>0</v>
      </c>
      <c r="F65" s="614" t="str">
        <f>IF('Niveau 1-Sommaire des entréesHg'!E64="","",'Niveau 1-Sommaire des entréesHg'!E64)</f>
        <v>Présent ?</v>
      </c>
      <c r="G65" t="str">
        <f t="shared" si="1"/>
        <v/>
      </c>
    </row>
    <row r="66" spans="1:7" ht="25">
      <c r="A66" s="280" t="str">
        <f>'Etape5-Trait.+recyclage déchets'!A23</f>
        <v>Brûlage des déchets à l'air libre (sur des sites de décharge ou de manière informelle)</v>
      </c>
      <c r="B66">
        <v>9.3446066668161803E-4</v>
      </c>
      <c r="C66">
        <f t="shared" si="2"/>
        <v>10</v>
      </c>
      <c r="D66" s="606">
        <f t="shared" si="3"/>
        <v>9.3446066668161805E-3</v>
      </c>
      <c r="E66" s="610">
        <f>IF(ISNUMBER(D66),D66*'Etape 1-Données pays'!$B$6,"SKIP")</f>
        <v>0</v>
      </c>
      <c r="F66" s="614" t="str">
        <f>IF('Niveau 1-Sommaire des entréesHg'!E65="","",'Niveau 1-Sommaire des entréesHg'!E65)</f>
        <v>Présent ?</v>
      </c>
      <c r="G66" t="str">
        <f t="shared" si="1"/>
        <v/>
      </c>
    </row>
    <row r="67" spans="1:7" ht="26">
      <c r="A67" s="389" t="str">
        <f>'Etape5-Trait.+recyclage déchets'!A25</f>
        <v>Dépôt/décharge de déchets et traitement des eaux usées</v>
      </c>
      <c r="B67">
        <v>0</v>
      </c>
      <c r="C67">
        <f t="shared" si="2"/>
        <v>10</v>
      </c>
      <c r="D67" s="606">
        <f t="shared" si="3"/>
        <v>0</v>
      </c>
      <c r="E67" s="610">
        <f>IF(ISNUMBER(D67),D67*'Etape 1-Données pays'!$B$6,"SKIP")</f>
        <v>0</v>
      </c>
      <c r="F67" s="614" t="str">
        <f>IF('Niveau 1-Sommaire des entréesHg'!E66="","",'Niveau 1-Sommaire des entréesHg'!E66)</f>
        <v/>
      </c>
      <c r="G67" t="str">
        <f t="shared" si="1"/>
        <v/>
      </c>
    </row>
    <row r="68" spans="1:7">
      <c r="A68" s="280" t="str">
        <f>'Etape5-Trait.+recyclage déchets'!A26</f>
        <v>Décharges/dépôts contôlés</v>
      </c>
      <c r="B68">
        <v>1.9986314970413459E-3</v>
      </c>
      <c r="C68">
        <f t="shared" si="2"/>
        <v>10</v>
      </c>
      <c r="D68" s="606">
        <f t="shared" si="3"/>
        <v>1.9986314970413459E-2</v>
      </c>
      <c r="E68" s="610">
        <f>IF(ISNUMBER(D68),D68*'Etape 1-Données pays'!$B$6,"SKIP")</f>
        <v>0</v>
      </c>
      <c r="F68" s="614" t="str">
        <f>IF('Niveau 1-Sommaire des entréesHg'!E67="","",'Niveau 1-Sommaire des entréesHg'!E67)</f>
        <v>Présent ?</v>
      </c>
      <c r="G68" t="str">
        <f t="shared" si="1"/>
        <v/>
      </c>
    </row>
    <row r="69" spans="1:7">
      <c r="A69" s="280" t="str">
        <f>'Etape5-Trait.+recyclage déchets'!A27</f>
        <v>Dépôt informel de déchets généraux*1</v>
      </c>
      <c r="B69">
        <v>9.9247027755450983E-4</v>
      </c>
      <c r="C69">
        <f t="shared" si="2"/>
        <v>10</v>
      </c>
      <c r="D69" s="606">
        <f t="shared" si="3"/>
        <v>9.9247027755450974E-3</v>
      </c>
      <c r="E69" s="610">
        <f>IF(ISNUMBER(D69),D69*'Etape 1-Données pays'!$B$6,"SKIP")</f>
        <v>0</v>
      </c>
      <c r="F69" s="614" t="str">
        <f>IF('Niveau 1-Sommaire des entréesHg'!E68="","",'Niveau 1-Sommaire des entréesHg'!E68)</f>
        <v>Présent ?</v>
      </c>
      <c r="G69" t="str">
        <f t="shared" si="1"/>
        <v/>
      </c>
    </row>
    <row r="70" spans="1:7">
      <c r="A70" s="280" t="str">
        <f>'Etape5-Trait.+recyclage déchets'!A29</f>
        <v>Circuit d'évacuation/traitement des eaux usées</v>
      </c>
      <c r="B70">
        <v>5.0556280289187523E-3</v>
      </c>
      <c r="C70">
        <f t="shared" si="2"/>
        <v>10</v>
      </c>
      <c r="D70" s="606">
        <f t="shared" si="3"/>
        <v>5.0556280289187523E-2</v>
      </c>
      <c r="E70" s="610">
        <f>IF(ISNUMBER(D70),D70*'Etape 1-Données pays'!$B$6,"SKIP")</f>
        <v>0</v>
      </c>
      <c r="F70" s="614" t="str">
        <f>IF('Niveau 1-Sommaire des entréesHg'!E69="","",'Niveau 1-Sommaire des entréesHg'!E69)</f>
        <v>Présent ?</v>
      </c>
      <c r="G70" t="str">
        <f t="shared" si="1"/>
        <v/>
      </c>
    </row>
    <row r="71" spans="1:7" ht="13">
      <c r="A71" s="389" t="str">
        <f>'Etape7-Crématoriums-cimetières'!A4</f>
        <v>Crématoriums and cimetières</v>
      </c>
      <c r="B71">
        <v>0</v>
      </c>
      <c r="C71">
        <f t="shared" si="2"/>
        <v>10</v>
      </c>
      <c r="D71" s="606">
        <f t="shared" si="3"/>
        <v>0</v>
      </c>
      <c r="E71" s="610">
        <f>IF(ISNUMBER(D71),D71*'Etape 1-Données pays'!$B$6,"SKIP")</f>
        <v>0</v>
      </c>
      <c r="F71" s="614" t="str">
        <f>IF('Niveau 1-Sommaire des entréesHg'!E70="","",'Niveau 1-Sommaire des entréesHg'!E70)</f>
        <v/>
      </c>
      <c r="G71" t="str">
        <f t="shared" si="1"/>
        <v/>
      </c>
    </row>
    <row r="72" spans="1:7">
      <c r="A72" s="449" t="str">
        <f>'Etape7-Crématoriums-cimetières'!A5</f>
        <v>Crématoriums</v>
      </c>
      <c r="B72">
        <v>8.347890611714873E-6</v>
      </c>
      <c r="C72" s="315">
        <v>100</v>
      </c>
      <c r="D72" s="606">
        <f t="shared" si="3"/>
        <v>8.3478906117148732E-4</v>
      </c>
      <c r="E72" s="610">
        <f>IF(ISNUMBER(D72),D72*'Etape 1-Données pays'!$B$6,"SKIP")</f>
        <v>0</v>
      </c>
      <c r="F72" s="614" t="str">
        <f>IF('Niveau 1-Sommaire des entréesHg'!E71="","",'Niveau 1-Sommaire des entréesHg'!E71)</f>
        <v>Présent ?</v>
      </c>
      <c r="G72" t="str">
        <f>IF(ISNUMBER(F72),IF(F72&lt;E72,"y","n"),"")</f>
        <v/>
      </c>
    </row>
    <row r="73" spans="1:7">
      <c r="A73" s="449" t="str">
        <f>'Etape7-Crématoriums-cimetières'!A6</f>
        <v>Cimetières</v>
      </c>
      <c r="B73">
        <v>2.3823640052987485E-4</v>
      </c>
      <c r="C73">
        <f>$C$3</f>
        <v>10</v>
      </c>
      <c r="D73" s="606">
        <f t="shared" si="3"/>
        <v>2.3823640052987485E-3</v>
      </c>
      <c r="E73" s="610">
        <f>IF(ISNUMBER(D73),D73*'Etape 1-Données pays'!$B$6,"SKIP")</f>
        <v>0</v>
      </c>
      <c r="F73" s="614" t="str">
        <f>IF('Niveau 1-Sommaire des entréesHg'!E72="","",'Niveau 1-Sommaire des entréesHg'!E72)</f>
        <v>Présent ?</v>
      </c>
      <c r="G73" t="str">
        <f>IF(ISNUMBER(F73),IF(F73&lt;E73,"y","n"),"")</f>
        <v/>
      </c>
    </row>
  </sheetData>
  <sheetProtection algorithmName="SHA-512" hashValue="z36qDnYf7CVi4tuTZwi6X58tT4We7XggL9JvlTnun/rv4xq1kmulJ3DbC3H4hu2nBg14BdmJJm4r4QfEl6UxIQ==" saltValue="QyDnQrR1qaUFvoukEBDrmg==" spinCount="100000" sheet="1" objects="1" scenarios="1"/>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Y131"/>
  <sheetViews>
    <sheetView topLeftCell="A7" workbookViewId="0">
      <selection activeCell="B16" sqref="B16"/>
    </sheetView>
  </sheetViews>
  <sheetFormatPr defaultColWidth="8.81640625" defaultRowHeight="12.5"/>
  <cols>
    <col min="1" max="1" width="39.6328125" customWidth="1"/>
    <col min="2" max="2" width="15.6328125" customWidth="1"/>
    <col min="3" max="3" width="28.6328125" customWidth="1"/>
    <col min="4" max="4" width="19.453125" customWidth="1"/>
    <col min="5" max="5" width="19" customWidth="1"/>
    <col min="6" max="6" width="12.1796875" customWidth="1"/>
    <col min="7" max="7" width="15" customWidth="1"/>
    <col min="8" max="8" width="61.6328125" customWidth="1"/>
    <col min="9" max="25" width="9.1796875" style="338"/>
  </cols>
  <sheetData>
    <row r="1" spans="1:8" s="338" customFormat="1" ht="13">
      <c r="A1" s="355" t="s">
        <v>1037</v>
      </c>
    </row>
    <row r="2" spans="1:8" s="338" customFormat="1">
      <c r="A2" s="559" t="s">
        <v>1038</v>
      </c>
    </row>
    <row r="3" spans="1:8" s="338" customFormat="1">
      <c r="A3" s="322" t="s">
        <v>1039</v>
      </c>
    </row>
    <row r="4" spans="1:8" s="338" customFormat="1">
      <c r="A4" s="322" t="s">
        <v>1040</v>
      </c>
    </row>
    <row r="5" spans="1:8" s="338" customFormat="1">
      <c r="A5" s="322" t="s">
        <v>1041</v>
      </c>
    </row>
    <row r="6" spans="1:8" s="338" customFormat="1"/>
    <row r="7" spans="1:8" ht="65.5" thickBot="1">
      <c r="A7" s="265" t="s">
        <v>1042</v>
      </c>
      <c r="B7" s="556" t="s">
        <v>1052</v>
      </c>
      <c r="C7" s="556" t="s">
        <v>1053</v>
      </c>
      <c r="D7" s="576" t="s">
        <v>1054</v>
      </c>
      <c r="E7" s="556" t="s">
        <v>1055</v>
      </c>
      <c r="F7" s="556" t="s">
        <v>1056</v>
      </c>
      <c r="G7" s="556" t="s">
        <v>1057</v>
      </c>
      <c r="H7" s="557" t="s">
        <v>1058</v>
      </c>
    </row>
    <row r="8" spans="1:8" ht="25">
      <c r="A8" s="263" t="s">
        <v>1045</v>
      </c>
      <c r="B8" s="579"/>
      <c r="C8" s="344" t="s">
        <v>1184</v>
      </c>
      <c r="D8" s="577">
        <f>B8*F8</f>
        <v>0</v>
      </c>
      <c r="E8" s="557" t="s">
        <v>1191</v>
      </c>
      <c r="F8" s="344">
        <v>25600</v>
      </c>
      <c r="G8" s="557" t="s">
        <v>705</v>
      </c>
      <c r="H8" s="557" t="s">
        <v>748</v>
      </c>
    </row>
    <row r="9" spans="1:8" ht="25">
      <c r="A9" s="263" t="s">
        <v>890</v>
      </c>
      <c r="B9" s="580"/>
      <c r="C9" s="344" t="s">
        <v>1184</v>
      </c>
      <c r="D9" s="577">
        <f>B9*F9</f>
        <v>0</v>
      </c>
      <c r="E9" s="557" t="s">
        <v>1191</v>
      </c>
      <c r="F9" s="344">
        <v>25600</v>
      </c>
      <c r="G9" s="557" t="s">
        <v>705</v>
      </c>
      <c r="H9" s="557"/>
    </row>
    <row r="10" spans="1:8">
      <c r="A10" s="263" t="s">
        <v>1043</v>
      </c>
      <c r="B10" s="580"/>
      <c r="C10" s="344" t="s">
        <v>1185</v>
      </c>
      <c r="D10" s="577">
        <f>B10*F10</f>
        <v>0</v>
      </c>
      <c r="E10" s="557" t="s">
        <v>1192</v>
      </c>
      <c r="F10" s="344">
        <v>25600</v>
      </c>
      <c r="G10" s="557" t="s">
        <v>705</v>
      </c>
      <c r="H10" s="557"/>
    </row>
    <row r="11" spans="1:8">
      <c r="A11" s="263"/>
      <c r="B11" s="580"/>
      <c r="C11" s="344"/>
      <c r="D11" s="577"/>
      <c r="E11" s="557"/>
      <c r="F11" s="344"/>
      <c r="G11" s="557"/>
      <c r="H11" s="557"/>
    </row>
    <row r="12" spans="1:8" ht="37.5">
      <c r="A12" s="263" t="s">
        <v>905</v>
      </c>
      <c r="B12" s="581"/>
      <c r="C12" s="344" t="s">
        <v>1186</v>
      </c>
      <c r="D12" s="577">
        <f>B12*F12</f>
        <v>0</v>
      </c>
      <c r="E12" s="557" t="s">
        <v>1193</v>
      </c>
      <c r="F12" s="568">
        <v>1.9</v>
      </c>
      <c r="G12" s="699" t="s">
        <v>1196</v>
      </c>
      <c r="H12" s="557" t="s">
        <v>726</v>
      </c>
    </row>
    <row r="13" spans="1:8" ht="37.5">
      <c r="A13" s="263" t="s">
        <v>906</v>
      </c>
      <c r="B13" s="581"/>
      <c r="C13" s="344" t="s">
        <v>1187</v>
      </c>
      <c r="D13" s="577">
        <f>B13*F13</f>
        <v>0</v>
      </c>
      <c r="E13" s="557" t="s">
        <v>1193</v>
      </c>
      <c r="F13" s="344">
        <v>3.58</v>
      </c>
      <c r="G13" s="699" t="s">
        <v>1197</v>
      </c>
      <c r="H13" s="557" t="s">
        <v>726</v>
      </c>
    </row>
    <row r="14" spans="1:8" ht="37.5">
      <c r="A14" s="263" t="s">
        <v>907</v>
      </c>
      <c r="B14" s="581"/>
      <c r="C14" s="344" t="s">
        <v>1188</v>
      </c>
      <c r="D14" s="577">
        <f>B14*F14</f>
        <v>0</v>
      </c>
      <c r="E14" s="557" t="s">
        <v>1193</v>
      </c>
      <c r="F14" s="344">
        <v>2.5</v>
      </c>
      <c r="G14" s="699" t="s">
        <v>1198</v>
      </c>
      <c r="H14" s="557" t="s">
        <v>726</v>
      </c>
    </row>
    <row r="15" spans="1:8" ht="37.5">
      <c r="A15" s="263" t="s">
        <v>1044</v>
      </c>
      <c r="B15" s="812"/>
      <c r="C15" s="344" t="s">
        <v>1189</v>
      </c>
      <c r="D15" s="577">
        <f>1000000*B15/F15</f>
        <v>0</v>
      </c>
      <c r="E15" s="557" t="s">
        <v>1194</v>
      </c>
      <c r="F15" s="810">
        <v>1.18</v>
      </c>
      <c r="G15" s="699" t="s">
        <v>1239</v>
      </c>
      <c r="H15" s="811" t="s">
        <v>1240</v>
      </c>
    </row>
    <row r="16" spans="1:8" ht="50">
      <c r="A16" s="367" t="s">
        <v>909</v>
      </c>
      <c r="B16" s="581"/>
      <c r="C16" s="557" t="s">
        <v>1190</v>
      </c>
      <c r="D16" s="577">
        <f>B16*F16</f>
        <v>0</v>
      </c>
      <c r="E16" s="557" t="s">
        <v>1195</v>
      </c>
      <c r="F16" s="344">
        <f>(3.8+4.7)/2</f>
        <v>4.25</v>
      </c>
      <c r="G16" s="699" t="s">
        <v>1199</v>
      </c>
      <c r="H16" s="557" t="s">
        <v>726</v>
      </c>
    </row>
    <row r="17" spans="1:8">
      <c r="A17" s="367"/>
      <c r="B17" s="581"/>
      <c r="C17" s="344"/>
      <c r="D17" s="577"/>
      <c r="E17" s="344"/>
      <c r="F17" s="344"/>
      <c r="G17" s="557"/>
      <c r="H17" s="557"/>
    </row>
    <row r="18" spans="1:8" ht="26.5">
      <c r="A18" s="621" t="s">
        <v>923</v>
      </c>
      <c r="B18" s="581"/>
      <c r="C18" s="698" t="s">
        <v>1048</v>
      </c>
      <c r="D18" s="577">
        <f>B18*F18</f>
        <v>0</v>
      </c>
      <c r="E18" s="698" t="s">
        <v>1047</v>
      </c>
      <c r="F18" s="344">
        <v>0.88600000000000001</v>
      </c>
      <c r="G18" s="699" t="s">
        <v>803</v>
      </c>
      <c r="H18" s="557" t="s">
        <v>804</v>
      </c>
    </row>
    <row r="19" spans="1:8">
      <c r="A19" s="367"/>
      <c r="B19" s="581"/>
      <c r="C19" s="354"/>
      <c r="D19" s="578"/>
      <c r="E19" s="354"/>
      <c r="F19" s="354"/>
      <c r="G19" s="558"/>
      <c r="H19" s="557"/>
    </row>
    <row r="20" spans="1:8" ht="25">
      <c r="A20" s="275" t="s">
        <v>1046</v>
      </c>
      <c r="B20" s="581"/>
      <c r="C20" s="344" t="s">
        <v>727</v>
      </c>
      <c r="D20" s="577">
        <f>B20/F20</f>
        <v>0</v>
      </c>
      <c r="E20" s="767" t="s">
        <v>993</v>
      </c>
      <c r="F20" s="354">
        <v>1.4999999999999999E-2</v>
      </c>
      <c r="G20" s="699" t="s">
        <v>1200</v>
      </c>
      <c r="H20" s="557" t="s">
        <v>1049</v>
      </c>
    </row>
    <row r="21" spans="1:8" ht="25">
      <c r="A21" s="275" t="s">
        <v>980</v>
      </c>
      <c r="B21" s="581"/>
      <c r="C21" s="344" t="s">
        <v>727</v>
      </c>
      <c r="D21" s="577">
        <f>B21/F21</f>
        <v>0</v>
      </c>
      <c r="E21" s="767" t="s">
        <v>993</v>
      </c>
      <c r="F21" s="354">
        <v>0.2</v>
      </c>
      <c r="G21" s="699" t="s">
        <v>1200</v>
      </c>
      <c r="H21" s="557" t="s">
        <v>1050</v>
      </c>
    </row>
    <row r="22" spans="1:8" ht="25.5" thickBot="1">
      <c r="A22" s="275" t="s">
        <v>981</v>
      </c>
      <c r="B22" s="582"/>
      <c r="C22" s="344" t="s">
        <v>727</v>
      </c>
      <c r="D22" s="577">
        <f>B22/F22</f>
        <v>0</v>
      </c>
      <c r="E22" s="767" t="s">
        <v>993</v>
      </c>
      <c r="F22" s="354">
        <v>0.05</v>
      </c>
      <c r="G22" s="699" t="s">
        <v>1200</v>
      </c>
      <c r="H22" s="557" t="s">
        <v>1051</v>
      </c>
    </row>
    <row r="23" spans="1:8" s="369" customFormat="1">
      <c r="A23" s="583"/>
      <c r="B23" s="584"/>
      <c r="E23" s="370"/>
      <c r="G23" s="585"/>
      <c r="H23" s="583"/>
    </row>
    <row r="24" spans="1:8" s="369" customFormat="1">
      <c r="A24" s="583"/>
      <c r="B24" s="584"/>
      <c r="E24" s="370"/>
      <c r="G24" s="585"/>
      <c r="H24" s="583"/>
    </row>
    <row r="25" spans="1:8" s="369" customFormat="1">
      <c r="A25" s="583"/>
      <c r="B25" s="584"/>
      <c r="E25" s="370"/>
      <c r="G25" s="585"/>
      <c r="H25" s="583"/>
    </row>
    <row r="26" spans="1:8" s="369" customFormat="1">
      <c r="A26" s="583"/>
      <c r="B26" s="584"/>
      <c r="E26" s="370"/>
      <c r="G26" s="585"/>
      <c r="H26" s="583"/>
    </row>
    <row r="27" spans="1:8" s="369" customFormat="1">
      <c r="A27" s="583"/>
      <c r="B27" s="584"/>
      <c r="E27" s="370"/>
      <c r="G27" s="585"/>
      <c r="H27" s="583"/>
    </row>
    <row r="28" spans="1:8" s="369" customFormat="1">
      <c r="B28" s="584"/>
      <c r="E28" s="370"/>
      <c r="G28" s="585"/>
      <c r="H28" s="583"/>
    </row>
    <row r="29" spans="1:8" s="369" customFormat="1">
      <c r="B29" s="584"/>
      <c r="E29" s="370"/>
      <c r="G29" s="585"/>
      <c r="H29" s="583"/>
    </row>
    <row r="30" spans="1:8" s="369" customFormat="1">
      <c r="B30" s="584"/>
      <c r="E30" s="370"/>
      <c r="G30" s="585"/>
      <c r="H30" s="583"/>
    </row>
    <row r="31" spans="1:8" s="369" customFormat="1">
      <c r="A31" s="583"/>
      <c r="B31" s="584"/>
      <c r="E31" s="370"/>
      <c r="G31" s="585"/>
      <c r="H31" s="583"/>
    </row>
    <row r="32" spans="1:8" s="369" customFormat="1">
      <c r="A32" s="583"/>
      <c r="B32" s="584"/>
      <c r="E32" s="370"/>
      <c r="G32" s="585"/>
      <c r="H32" s="583"/>
    </row>
    <row r="33" spans="1:8" s="369" customFormat="1">
      <c r="A33" s="583"/>
      <c r="B33" s="586"/>
      <c r="C33" s="587"/>
      <c r="D33" s="588"/>
      <c r="E33" s="589"/>
      <c r="F33" s="590"/>
      <c r="G33" s="591"/>
      <c r="H33" s="590"/>
    </row>
    <row r="34" spans="1:8" s="369" customFormat="1">
      <c r="A34" s="583"/>
      <c r="B34" s="586"/>
      <c r="C34" s="587"/>
      <c r="D34" s="588"/>
      <c r="E34" s="589"/>
      <c r="F34" s="592"/>
      <c r="G34" s="593"/>
      <c r="H34" s="590"/>
    </row>
    <row r="35" spans="1:8" s="369" customFormat="1">
      <c r="A35" s="583"/>
      <c r="E35" s="594"/>
      <c r="F35" s="592"/>
      <c r="G35" s="591"/>
      <c r="H35" s="591"/>
    </row>
    <row r="36" spans="1:8" s="369" customFormat="1">
      <c r="A36" s="583"/>
      <c r="B36" s="586"/>
      <c r="C36" s="587"/>
      <c r="D36" s="588"/>
      <c r="E36" s="589"/>
      <c r="F36" s="592"/>
      <c r="G36" s="593"/>
      <c r="H36" s="590"/>
    </row>
    <row r="37" spans="1:8" s="369" customFormat="1">
      <c r="A37" s="583"/>
      <c r="B37" s="586"/>
      <c r="C37" s="587"/>
      <c r="D37" s="588"/>
      <c r="E37" s="589"/>
      <c r="F37" s="592"/>
      <c r="G37" s="592"/>
      <c r="H37" s="590"/>
    </row>
    <row r="38" spans="1:8" s="369" customFormat="1">
      <c r="A38" s="583"/>
      <c r="B38" s="586"/>
      <c r="C38" s="586"/>
      <c r="D38" s="588"/>
      <c r="E38" s="589"/>
      <c r="F38" s="592"/>
      <c r="G38" s="592"/>
      <c r="H38" s="590"/>
    </row>
    <row r="39" spans="1:8" s="369" customFormat="1">
      <c r="A39" s="583"/>
      <c r="B39" s="586"/>
      <c r="C39" s="587"/>
      <c r="D39" s="588"/>
      <c r="E39" s="595"/>
      <c r="F39" s="592"/>
      <c r="G39" s="592"/>
      <c r="H39" s="590"/>
    </row>
    <row r="40" spans="1:8" s="369" customFormat="1">
      <c r="A40" s="583"/>
      <c r="B40" s="586"/>
      <c r="C40" s="587"/>
      <c r="D40" s="588"/>
      <c r="E40" s="589"/>
      <c r="F40" s="592"/>
      <c r="G40" s="592"/>
      <c r="H40" s="590"/>
    </row>
    <row r="41" spans="1:8" s="369" customFormat="1">
      <c r="A41" s="583"/>
      <c r="B41" s="586"/>
      <c r="C41" s="587"/>
      <c r="D41" s="588"/>
      <c r="E41" s="589"/>
      <c r="F41" s="592"/>
      <c r="G41" s="590"/>
      <c r="H41" s="591"/>
    </row>
    <row r="42" spans="1:8" s="369" customFormat="1">
      <c r="A42" s="583"/>
      <c r="B42" s="586"/>
      <c r="C42" s="587"/>
      <c r="D42" s="588"/>
      <c r="E42" s="589"/>
      <c r="F42" s="592"/>
      <c r="G42" s="592"/>
      <c r="H42" s="591"/>
    </row>
    <row r="43" spans="1:8" s="369" customFormat="1">
      <c r="A43" s="583"/>
      <c r="B43" s="586"/>
      <c r="C43" s="587"/>
      <c r="D43" s="588"/>
      <c r="E43" s="589"/>
      <c r="F43" s="592"/>
      <c r="G43" s="592"/>
      <c r="H43" s="591"/>
    </row>
    <row r="44" spans="1:8" s="369" customFormat="1">
      <c r="A44" s="583"/>
      <c r="B44" s="586"/>
      <c r="C44" s="587"/>
      <c r="D44" s="588"/>
      <c r="E44" s="589"/>
      <c r="F44" s="592"/>
      <c r="G44" s="592"/>
      <c r="H44" s="591"/>
    </row>
    <row r="45" spans="1:8" s="369" customFormat="1">
      <c r="A45" s="583"/>
      <c r="B45" s="586"/>
      <c r="C45" s="586"/>
      <c r="D45" s="588"/>
      <c r="E45" s="586"/>
      <c r="F45" s="592"/>
      <c r="G45" s="592"/>
      <c r="H45" s="591"/>
    </row>
    <row r="46" spans="1:8" s="369" customFormat="1">
      <c r="A46" s="583"/>
      <c r="B46" s="586"/>
      <c r="C46" s="587"/>
      <c r="D46" s="588"/>
      <c r="E46" s="586"/>
      <c r="F46" s="592"/>
      <c r="G46" s="592"/>
      <c r="H46" s="591"/>
    </row>
    <row r="47" spans="1:8" s="369" customFormat="1">
      <c r="A47" s="596"/>
      <c r="F47" s="590"/>
      <c r="G47" s="590"/>
      <c r="H47" s="590"/>
    </row>
    <row r="48" spans="1:8" s="369" customFormat="1">
      <c r="A48" s="583"/>
      <c r="B48" s="586"/>
      <c r="C48" s="586"/>
      <c r="D48" s="597"/>
      <c r="E48" s="586"/>
      <c r="F48" s="592"/>
      <c r="G48" s="592"/>
      <c r="H48" s="590"/>
    </row>
    <row r="49" spans="1:8" s="369" customFormat="1">
      <c r="A49" s="583"/>
      <c r="B49" s="586"/>
      <c r="C49" s="586"/>
      <c r="D49" s="597"/>
      <c r="E49" s="586"/>
      <c r="F49" s="592"/>
      <c r="G49" s="592"/>
      <c r="H49" s="590"/>
    </row>
    <row r="50" spans="1:8" s="369" customFormat="1">
      <c r="A50" s="583"/>
      <c r="B50" s="586"/>
      <c r="C50" s="586"/>
      <c r="D50" s="597"/>
      <c r="E50" s="586"/>
      <c r="F50" s="592"/>
      <c r="G50" s="592"/>
      <c r="H50" s="592"/>
    </row>
    <row r="51" spans="1:8" s="369" customFormat="1">
      <c r="A51" s="583"/>
      <c r="B51" s="586"/>
      <c r="C51" s="586"/>
      <c r="D51" s="597"/>
      <c r="E51" s="586"/>
      <c r="F51" s="592"/>
      <c r="G51" s="592"/>
      <c r="H51" s="590"/>
    </row>
    <row r="52" spans="1:8" s="369" customFormat="1">
      <c r="A52" s="583"/>
      <c r="B52" s="586"/>
      <c r="C52" s="586"/>
      <c r="D52" s="597"/>
      <c r="E52" s="586"/>
      <c r="F52" s="592"/>
      <c r="G52" s="592"/>
      <c r="H52" s="590"/>
    </row>
    <row r="53" spans="1:8" s="369" customFormat="1">
      <c r="A53" s="583"/>
      <c r="B53" s="586"/>
      <c r="C53" s="586"/>
      <c r="D53" s="597"/>
      <c r="E53" s="586"/>
      <c r="F53" s="592"/>
      <c r="G53" s="592"/>
      <c r="H53" s="590"/>
    </row>
    <row r="54" spans="1:8" s="369" customFormat="1">
      <c r="A54" s="583"/>
      <c r="B54" s="586"/>
      <c r="C54" s="586"/>
      <c r="D54" s="597"/>
      <c r="E54" s="586"/>
      <c r="F54" s="592"/>
      <c r="G54" s="592"/>
      <c r="H54" s="590"/>
    </row>
    <row r="55" spans="1:8" s="369" customFormat="1">
      <c r="A55" s="583"/>
      <c r="B55" s="586"/>
      <c r="C55" s="586"/>
      <c r="D55" s="597"/>
      <c r="E55" s="586"/>
      <c r="F55" s="592"/>
      <c r="G55" s="592"/>
      <c r="H55" s="590"/>
    </row>
    <row r="56" spans="1:8" s="369" customFormat="1">
      <c r="A56" s="583"/>
      <c r="B56" s="586"/>
      <c r="C56" s="587"/>
      <c r="D56" s="588"/>
      <c r="E56" s="586"/>
      <c r="F56" s="592"/>
      <c r="G56" s="598"/>
      <c r="H56" s="591"/>
    </row>
    <row r="57" spans="1:8" s="369" customFormat="1">
      <c r="A57" s="583"/>
      <c r="B57" s="586"/>
      <c r="C57" s="586"/>
      <c r="D57" s="597"/>
      <c r="E57" s="586"/>
      <c r="F57" s="592"/>
      <c r="G57" s="592"/>
      <c r="H57" s="590"/>
    </row>
    <row r="58" spans="1:8" s="369" customFormat="1">
      <c r="A58" s="596"/>
      <c r="F58" s="590"/>
      <c r="G58" s="590"/>
      <c r="H58" s="590"/>
    </row>
    <row r="59" spans="1:8" s="369" customFormat="1">
      <c r="A59" s="583"/>
      <c r="B59" s="586"/>
      <c r="C59" s="586"/>
      <c r="D59" s="597"/>
      <c r="E59" s="586"/>
      <c r="F59" s="592"/>
      <c r="G59" s="592"/>
      <c r="H59" s="590"/>
    </row>
    <row r="60" spans="1:8" s="369" customFormat="1">
      <c r="A60" s="583"/>
      <c r="B60" s="586"/>
      <c r="C60" s="586"/>
      <c r="D60" s="597"/>
      <c r="E60" s="586"/>
      <c r="F60" s="592"/>
      <c r="G60" s="592"/>
      <c r="H60" s="590"/>
    </row>
    <row r="61" spans="1:8" s="369" customFormat="1">
      <c r="A61" s="583"/>
      <c r="B61" s="586"/>
      <c r="C61" s="586"/>
      <c r="D61" s="597"/>
      <c r="E61" s="586"/>
      <c r="F61" s="592"/>
      <c r="G61" s="592"/>
      <c r="H61" s="590"/>
    </row>
    <row r="62" spans="1:8" s="369" customFormat="1">
      <c r="A62" s="583"/>
      <c r="B62" s="586"/>
      <c r="C62" s="586"/>
      <c r="D62" s="597"/>
      <c r="E62" s="586"/>
      <c r="F62" s="592"/>
      <c r="G62" s="592"/>
      <c r="H62" s="590"/>
    </row>
    <row r="63" spans="1:8" s="369" customFormat="1">
      <c r="A63" s="583"/>
      <c r="F63" s="590"/>
      <c r="G63" s="590"/>
      <c r="H63" s="590"/>
    </row>
    <row r="64" spans="1:8" s="369" customFormat="1">
      <c r="A64" s="583"/>
      <c r="B64" s="586"/>
      <c r="C64" s="586"/>
      <c r="D64" s="597"/>
      <c r="E64" s="586"/>
      <c r="F64" s="592"/>
      <c r="G64" s="592"/>
      <c r="H64" s="590"/>
    </row>
    <row r="65" spans="1:8" s="369" customFormat="1">
      <c r="A65" s="583"/>
      <c r="B65" s="586"/>
      <c r="C65" s="586"/>
      <c r="D65" s="597"/>
      <c r="E65" s="586"/>
      <c r="F65" s="592"/>
      <c r="G65" s="592"/>
      <c r="H65" s="590"/>
    </row>
    <row r="66" spans="1:8" s="369" customFormat="1">
      <c r="A66" s="583"/>
      <c r="B66" s="586"/>
      <c r="C66" s="586"/>
      <c r="D66" s="597"/>
      <c r="E66" s="586"/>
      <c r="F66" s="592"/>
      <c r="G66" s="592"/>
      <c r="H66" s="590"/>
    </row>
    <row r="67" spans="1:8" s="369" customFormat="1">
      <c r="A67" s="583"/>
      <c r="B67" s="586"/>
      <c r="C67" s="587"/>
      <c r="D67" s="588"/>
      <c r="E67" s="586"/>
      <c r="F67" s="592"/>
      <c r="G67" s="598"/>
      <c r="H67" s="591"/>
    </row>
    <row r="68" spans="1:8" s="369" customFormat="1">
      <c r="A68" s="583"/>
      <c r="F68" s="590"/>
      <c r="G68" s="590"/>
      <c r="H68" s="590"/>
    </row>
    <row r="69" spans="1:8" s="369" customFormat="1">
      <c r="A69" s="583"/>
      <c r="F69" s="590"/>
      <c r="G69" s="590"/>
      <c r="H69" s="590"/>
    </row>
    <row r="70" spans="1:8" s="369" customFormat="1">
      <c r="A70" s="599"/>
      <c r="F70" s="590"/>
      <c r="G70" s="590"/>
      <c r="H70" s="590"/>
    </row>
    <row r="71" spans="1:8" s="369" customFormat="1">
      <c r="A71" s="599"/>
      <c r="F71" s="590"/>
      <c r="G71" s="590"/>
      <c r="H71" s="590"/>
    </row>
    <row r="72" spans="1:8" s="369" customFormat="1">
      <c r="A72" s="583"/>
      <c r="B72" s="370"/>
      <c r="C72" s="586"/>
      <c r="D72" s="597"/>
      <c r="E72" s="586"/>
      <c r="F72" s="592"/>
      <c r="G72" s="592"/>
      <c r="H72" s="590"/>
    </row>
    <row r="73" spans="1:8" s="369" customFormat="1">
      <c r="A73" s="583"/>
      <c r="B73" s="586"/>
      <c r="C73" s="586"/>
      <c r="D73" s="597"/>
      <c r="E73" s="586"/>
      <c r="F73" s="592"/>
      <c r="G73" s="592"/>
      <c r="H73" s="590"/>
    </row>
    <row r="74" spans="1:8" s="369" customFormat="1">
      <c r="A74" s="583"/>
      <c r="B74" s="370"/>
      <c r="F74" s="592"/>
      <c r="G74" s="592"/>
      <c r="H74" s="590"/>
    </row>
    <row r="75" spans="1:8" s="369" customFormat="1">
      <c r="A75" s="583"/>
      <c r="B75" s="370"/>
      <c r="F75" s="592"/>
      <c r="G75" s="592"/>
      <c r="H75" s="590"/>
    </row>
    <row r="76" spans="1:8" s="369" customFormat="1">
      <c r="A76" s="583"/>
      <c r="B76" s="586"/>
      <c r="C76" s="587"/>
      <c r="D76" s="588"/>
      <c r="E76" s="586"/>
      <c r="F76" s="593"/>
      <c r="G76" s="600"/>
      <c r="H76" s="590"/>
    </row>
    <row r="77" spans="1:8" s="369" customFormat="1">
      <c r="A77" s="583"/>
      <c r="B77" s="586"/>
      <c r="C77" s="587"/>
      <c r="D77" s="588"/>
      <c r="E77" s="586"/>
      <c r="F77" s="592"/>
      <c r="G77" s="592"/>
      <c r="H77" s="590"/>
    </row>
    <row r="78" spans="1:8" s="369" customFormat="1">
      <c r="A78" s="583"/>
      <c r="B78" s="586"/>
      <c r="C78" s="586"/>
      <c r="D78" s="597"/>
      <c r="E78" s="586"/>
      <c r="F78" s="592"/>
      <c r="G78" s="593"/>
      <c r="H78" s="590"/>
    </row>
    <row r="79" spans="1:8" s="369" customFormat="1">
      <c r="A79" s="583"/>
      <c r="B79" s="586"/>
      <c r="C79" s="586"/>
      <c r="D79" s="597"/>
      <c r="E79" s="586"/>
      <c r="F79" s="592"/>
      <c r="G79" s="593"/>
      <c r="H79" s="590"/>
    </row>
    <row r="80" spans="1:8" s="369" customFormat="1">
      <c r="A80" s="583"/>
      <c r="B80" s="586"/>
      <c r="C80" s="586"/>
      <c r="D80" s="597"/>
      <c r="E80" s="586"/>
      <c r="F80" s="592"/>
      <c r="G80" s="593"/>
      <c r="H80" s="590"/>
    </row>
    <row r="81" spans="1:8" s="369" customFormat="1">
      <c r="A81" s="583"/>
      <c r="B81" s="586"/>
      <c r="C81" s="587"/>
      <c r="D81" s="588"/>
      <c r="E81" s="586"/>
      <c r="F81" s="592"/>
      <c r="G81" s="591"/>
      <c r="H81" s="591"/>
    </row>
    <row r="82" spans="1:8" s="369" customFormat="1">
      <c r="A82" s="599"/>
      <c r="F82" s="592"/>
      <c r="G82" s="592"/>
      <c r="H82" s="590"/>
    </row>
    <row r="83" spans="1:8" s="369" customFormat="1">
      <c r="A83" s="599"/>
      <c r="F83" s="592"/>
      <c r="G83" s="592"/>
      <c r="H83" s="590"/>
    </row>
    <row r="84" spans="1:8" s="369" customFormat="1">
      <c r="A84" s="583"/>
      <c r="B84" s="370"/>
      <c r="C84" s="586"/>
      <c r="D84" s="597"/>
      <c r="E84" s="586"/>
      <c r="F84" s="592"/>
      <c r="G84" s="592"/>
      <c r="H84" s="590"/>
    </row>
    <row r="85" spans="1:8" s="369" customFormat="1">
      <c r="A85" s="583"/>
      <c r="B85" s="370"/>
      <c r="F85" s="592"/>
      <c r="G85" s="592"/>
      <c r="H85" s="590"/>
    </row>
    <row r="86" spans="1:8" s="369" customFormat="1">
      <c r="A86" s="583"/>
      <c r="B86" s="370"/>
      <c r="F86" s="592"/>
      <c r="G86" s="592"/>
      <c r="H86" s="590"/>
    </row>
    <row r="87" spans="1:8" s="369" customFormat="1">
      <c r="A87" s="583"/>
      <c r="B87" s="370"/>
      <c r="F87" s="592"/>
      <c r="G87" s="592"/>
      <c r="H87" s="590"/>
    </row>
    <row r="88" spans="1:8" s="369" customFormat="1">
      <c r="A88" s="583"/>
      <c r="B88" s="370"/>
      <c r="F88" s="592"/>
      <c r="G88" s="592"/>
      <c r="H88" s="590"/>
    </row>
    <row r="89" spans="1:8" s="369" customFormat="1">
      <c r="A89" s="583"/>
      <c r="B89" s="586"/>
      <c r="C89" s="586"/>
      <c r="D89" s="597"/>
      <c r="E89" s="586"/>
      <c r="F89" s="592"/>
      <c r="G89" s="592"/>
      <c r="H89" s="590"/>
    </row>
    <row r="90" spans="1:8" s="369" customFormat="1">
      <c r="A90" s="583"/>
      <c r="B90" s="586"/>
      <c r="C90" s="587"/>
      <c r="D90" s="588"/>
      <c r="E90" s="586"/>
      <c r="F90" s="592"/>
      <c r="G90" s="592"/>
      <c r="H90" s="590"/>
    </row>
    <row r="91" spans="1:8" s="369" customFormat="1">
      <c r="A91" s="583"/>
      <c r="B91" s="586"/>
      <c r="C91" s="586"/>
      <c r="D91" s="597"/>
      <c r="E91" s="586"/>
      <c r="F91" s="592"/>
      <c r="G91" s="592"/>
      <c r="H91" s="590"/>
    </row>
    <row r="92" spans="1:8" s="369" customFormat="1">
      <c r="A92" s="583"/>
      <c r="B92" s="586"/>
      <c r="C92" s="587"/>
      <c r="D92" s="588"/>
      <c r="E92" s="586"/>
      <c r="F92" s="592"/>
      <c r="G92" s="591"/>
      <c r="H92" s="601"/>
    </row>
    <row r="93" spans="1:8" s="369" customFormat="1">
      <c r="A93" s="583"/>
      <c r="B93" s="370"/>
      <c r="F93" s="592"/>
      <c r="G93" s="592"/>
      <c r="H93" s="590"/>
    </row>
    <row r="94" spans="1:8" s="369" customFormat="1">
      <c r="B94" s="370"/>
      <c r="F94" s="592"/>
      <c r="G94" s="592"/>
      <c r="H94" s="590"/>
    </row>
    <row r="95" spans="1:8" s="369" customFormat="1">
      <c r="A95" s="599"/>
      <c r="B95" s="370"/>
      <c r="F95" s="592"/>
      <c r="G95" s="592"/>
      <c r="H95" s="590"/>
    </row>
    <row r="96" spans="1:8" s="369" customFormat="1">
      <c r="A96" s="599"/>
      <c r="F96" s="592"/>
      <c r="G96" s="592"/>
      <c r="H96" s="590"/>
    </row>
    <row r="97" spans="1:8" s="28" customFormat="1">
      <c r="A97" s="569"/>
      <c r="B97" s="278"/>
      <c r="C97" s="572"/>
      <c r="D97" s="575"/>
      <c r="E97" s="572"/>
      <c r="F97" s="571"/>
      <c r="G97" s="571"/>
      <c r="H97" s="570"/>
    </row>
    <row r="98" spans="1:8" s="28" customFormat="1">
      <c r="A98" s="569"/>
      <c r="B98" s="572"/>
      <c r="C98" s="572"/>
      <c r="D98" s="575"/>
      <c r="E98" s="572"/>
      <c r="F98" s="571"/>
      <c r="G98" s="571"/>
      <c r="H98" s="570"/>
    </row>
    <row r="99" spans="1:8" s="28" customFormat="1">
      <c r="A99" s="569"/>
      <c r="B99" s="278"/>
      <c r="F99" s="571"/>
      <c r="G99" s="571"/>
      <c r="H99" s="570"/>
    </row>
    <row r="100" spans="1:8" s="28" customFormat="1">
      <c r="A100" s="569"/>
      <c r="B100" s="572"/>
      <c r="C100" s="572"/>
      <c r="D100" s="575"/>
      <c r="E100" s="572"/>
      <c r="F100" s="571"/>
      <c r="G100" s="571"/>
      <c r="H100" s="570"/>
    </row>
    <row r="101" spans="1:8" s="28" customFormat="1">
      <c r="F101" s="571"/>
      <c r="G101" s="571"/>
      <c r="H101" s="570"/>
    </row>
    <row r="102" spans="1:8" s="28" customFormat="1">
      <c r="A102" s="569"/>
      <c r="B102" s="572"/>
      <c r="C102" s="572"/>
      <c r="D102" s="575"/>
      <c r="E102" s="572"/>
      <c r="F102" s="571"/>
      <c r="G102" s="571"/>
      <c r="H102" s="570"/>
    </row>
    <row r="103" spans="1:8" s="28" customFormat="1">
      <c r="A103" s="569"/>
      <c r="B103" s="572"/>
      <c r="C103" s="572"/>
      <c r="D103" s="575"/>
      <c r="E103" s="572"/>
      <c r="F103" s="571"/>
      <c r="G103" s="571"/>
      <c r="H103" s="570"/>
    </row>
    <row r="104" spans="1:8" s="28" customFormat="1">
      <c r="A104" s="569"/>
      <c r="B104" s="572"/>
      <c r="C104" s="572"/>
      <c r="D104" s="575"/>
      <c r="E104" s="572"/>
      <c r="F104" s="571"/>
      <c r="G104" s="571"/>
      <c r="H104" s="570"/>
    </row>
    <row r="105" spans="1:8" s="28" customFormat="1">
      <c r="A105" s="569"/>
      <c r="B105" s="572"/>
      <c r="C105" s="573"/>
      <c r="D105" s="574"/>
      <c r="E105" s="572"/>
      <c r="F105" s="571"/>
      <c r="G105" s="570"/>
      <c r="H105" s="442"/>
    </row>
    <row r="106" spans="1:8" s="28" customFormat="1"/>
    <row r="107" spans="1:8" s="28" customFormat="1"/>
    <row r="108" spans="1:8" s="3" customFormat="1"/>
    <row r="109" spans="1:8" s="3" customFormat="1"/>
    <row r="110" spans="1:8" s="3" customFormat="1"/>
    <row r="111" spans="1:8" s="3" customFormat="1"/>
    <row r="112" spans="1:8" s="3" customFormat="1"/>
    <row r="113" s="3" customFormat="1"/>
    <row r="114" s="3" customFormat="1"/>
    <row r="115" s="3" customFormat="1"/>
    <row r="116" s="3" customFormat="1"/>
    <row r="117" s="3" customFormat="1"/>
    <row r="118" s="3" customFormat="1"/>
    <row r="119" s="3" customFormat="1"/>
    <row r="120" s="3" customFormat="1"/>
    <row r="121" s="338" customFormat="1"/>
    <row r="122" s="338" customFormat="1"/>
    <row r="123" s="338" customFormat="1"/>
    <row r="124" s="338" customFormat="1"/>
    <row r="125" s="338" customFormat="1"/>
    <row r="126" s="338" customFormat="1"/>
    <row r="127" s="338" customFormat="1"/>
    <row r="128" s="338" customFormat="1"/>
    <row r="129" s="338" customFormat="1"/>
    <row r="130" s="338" customFormat="1"/>
    <row r="131" s="338" customFormat="1"/>
  </sheetData>
  <sheetProtection algorithmName="SHA-512" hashValue="7/obrIIqbhtw3v0ZeSjZW7VKTsX85fy6bxzvvNaALTJwWloEfyJ2bFQ75giZhL0kPsr/nrs4lcjUGE0N8sVFkw==" saltValue="43eE+PFonBTxSjumZyGPiQ==" spinCount="100000" sheet="1" objects="1" scenarios="1"/>
  <pageMargins left="0.7" right="0.7" top="0.75" bottom="0.75" header="0.3" footer="0.3"/>
  <pageSetup paperSize="9" orientation="portrait" r:id="rId1"/>
  <ignoredErrors>
    <ignoredError sqref="D1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N34"/>
  <sheetViews>
    <sheetView topLeftCell="A2" workbookViewId="0">
      <selection activeCell="I4" sqref="I4"/>
    </sheetView>
  </sheetViews>
  <sheetFormatPr defaultColWidth="9.1796875" defaultRowHeight="12.5"/>
  <cols>
    <col min="1" max="1" width="48.36328125" style="338" customWidth="1"/>
    <col min="2" max="2" width="10.36328125" style="338" customWidth="1"/>
    <col min="3" max="3" width="10.6328125" style="338" customWidth="1"/>
    <col min="4" max="4" width="9.6328125" style="338" customWidth="1"/>
    <col min="5" max="5" width="9.81640625" style="338" customWidth="1"/>
    <col min="6" max="6" width="11.36328125" style="338" customWidth="1"/>
    <col min="7" max="7" width="10" style="338" customWidth="1"/>
    <col min="8" max="8" width="14.36328125" style="338" customWidth="1"/>
    <col min="9" max="9" width="9.81640625" style="338" customWidth="1"/>
    <col min="10" max="16384" width="9.1796875" style="338"/>
  </cols>
  <sheetData>
    <row r="1" spans="1:14" ht="13">
      <c r="A1" s="355" t="s">
        <v>1059</v>
      </c>
      <c r="B1" s="355"/>
    </row>
    <row r="2" spans="1:14" s="360" customFormat="1" ht="12.75" customHeight="1">
      <c r="A2" s="692" t="s">
        <v>867</v>
      </c>
      <c r="B2" s="833" t="s">
        <v>874</v>
      </c>
      <c r="C2" s="835" t="s">
        <v>875</v>
      </c>
      <c r="D2" s="836"/>
      <c r="E2" s="836"/>
      <c r="F2" s="836"/>
      <c r="G2" s="836"/>
      <c r="H2" s="836"/>
      <c r="I2" s="837"/>
      <c r="J2" s="833" t="s">
        <v>1061</v>
      </c>
    </row>
    <row r="3" spans="1:14" ht="50">
      <c r="A3" s="413"/>
      <c r="B3" s="834"/>
      <c r="C3" s="269" t="s">
        <v>38</v>
      </c>
      <c r="D3" s="269" t="s">
        <v>877</v>
      </c>
      <c r="E3" s="269" t="s">
        <v>878</v>
      </c>
      <c r="F3" s="733" t="s">
        <v>879</v>
      </c>
      <c r="G3" s="733" t="s">
        <v>880</v>
      </c>
      <c r="H3" s="733" t="s">
        <v>881</v>
      </c>
      <c r="I3" s="733" t="s">
        <v>1060</v>
      </c>
      <c r="J3" s="834"/>
    </row>
    <row r="4" spans="1:14">
      <c r="A4" s="373" t="s">
        <v>420</v>
      </c>
      <c r="B4" s="422" t="str">
        <f>IF(OR('Niveau 1- Sommaire général'!E5=pres,'Niveau 1- Sommaire général'!E6=pres,'Niveau 1- Sommaire général'!E7=pres),pres,SUM('Niveau 1- Sommaire général'!E5:E7))</f>
        <v>Présent ?</v>
      </c>
      <c r="C4" s="422" t="str">
        <f>IF(OR('Niveau 1- Sommaire général'!F5=pres,'Niveau 1- Sommaire général'!F6=pres,'Niveau 1- Sommaire général'!F7=pres),pres,SUM('Niveau 1- Sommaire général'!F5:F7))</f>
        <v>Présent ?</v>
      </c>
      <c r="D4" s="422" t="str">
        <f>IF(OR('Niveau 1- Sommaire général'!G5=pres,'Niveau 1- Sommaire général'!G6=pres,'Niveau 1- Sommaire général'!G7=pres),pres,SUM('Niveau 1- Sommaire général'!G5:G7))</f>
        <v>Présent ?</v>
      </c>
      <c r="E4" s="422" t="str">
        <f>IF(OR('Niveau 1- Sommaire général'!H5=pres,'Niveau 1- Sommaire général'!H6=pres,'Niveau 1- Sommaire général'!H7=pres),pres,SUM('Niveau 1- Sommaire général'!H5:H7))</f>
        <v>Présent ?</v>
      </c>
      <c r="F4" s="422" t="str">
        <f>IF(OR('Niveau 1- Sommaire général'!I5=pres,'Niveau 1- Sommaire général'!I6=pres,'Niveau 1- Sommaire général'!I7=pres),pres,SUM('Niveau 1- Sommaire général'!I5:I7))</f>
        <v>Présent ?</v>
      </c>
      <c r="G4" s="422" t="str">
        <f>IF(OR('Niveau 1- Sommaire général'!J5=pres,'Niveau 1- Sommaire général'!J6=pres,'Niveau 1- Sommaire général'!J7=pres),pres,SUM('Niveau 1- Sommaire général'!J5:J7))</f>
        <v>Présent ?</v>
      </c>
      <c r="H4" s="422" t="str">
        <f>IF(OR('Niveau 1- Sommaire général'!K5=pres,'Niveau 1- Sommaire général'!K6=pres,'Niveau 1- Sommaire général'!K7=pres),pres,SUM('Niveau 1- Sommaire général'!K5:K7))</f>
        <v>Présent ?</v>
      </c>
      <c r="I4" s="435">
        <f>SUM(C4:H4)</f>
        <v>0</v>
      </c>
      <c r="J4" s="467" t="e">
        <f>I4/$I$21</f>
        <v>#DIV/0!</v>
      </c>
      <c r="N4" s="451"/>
    </row>
    <row r="5" spans="1:14">
      <c r="A5" s="371" t="s">
        <v>421</v>
      </c>
      <c r="B5" s="422" t="str">
        <f>IF(OR('Niveau 1- Sommaire général'!E8=pres,'Niveau 1- Sommaire général'!E9=pres,'Niveau 1- Sommaire général'!E10=pres,'Niveau 1- Sommaire général'!E11=pres,'Niveau 1- Sommaire général'!E12=pres,'Niveau 1- Sommaire général'!E13=pres),pres,SUM('Niveau 1- Sommaire général'!E8:E13))</f>
        <v>Présent ?</v>
      </c>
      <c r="C5" s="422" t="str">
        <f>IF(OR('Niveau 1- Sommaire général'!F8=pres,'Niveau 1- Sommaire général'!F9=pres,'Niveau 1- Sommaire général'!F10=pres,'Niveau 1- Sommaire général'!F11=pres,'Niveau 1- Sommaire général'!F12=pres,'Niveau 1- Sommaire général'!F13=pres),pres,SUM('Niveau 1- Sommaire général'!F8:F13))</f>
        <v>Présent ?</v>
      </c>
      <c r="D5" s="422" t="str">
        <f>IF(OR('Niveau 1- Sommaire général'!G8=pres,'Niveau 1- Sommaire général'!G9=pres,'Niveau 1- Sommaire général'!G10=pres,'Niveau 1- Sommaire général'!G11=pres,'Niveau 1- Sommaire général'!G12=pres,'Niveau 1- Sommaire général'!G13=pres),pres,SUM('Niveau 1- Sommaire général'!G8:G13))</f>
        <v>Présent ?</v>
      </c>
      <c r="E5" s="422" t="str">
        <f>IF(OR('Niveau 1- Sommaire général'!H8=pres,'Niveau 1- Sommaire général'!H9=pres,'Niveau 1- Sommaire général'!H10=pres,'Niveau 1- Sommaire général'!H11=pres,'Niveau 1- Sommaire général'!H12=pres,'Niveau 1- Sommaire général'!H13=pres),pres,SUM('Niveau 1- Sommaire général'!H8:H13))</f>
        <v>Présent ?</v>
      </c>
      <c r="F5" s="422" t="str">
        <f>IF(OR('Niveau 1- Sommaire général'!I8=pres,'Niveau 1- Sommaire général'!I9=pres,'Niveau 1- Sommaire général'!I10=pres,'Niveau 1- Sommaire général'!I11=pres,'Niveau 1- Sommaire général'!I12=pres,'Niveau 1- Sommaire général'!I13=pres),pres,SUM('Niveau 1- Sommaire général'!I8:I13))</f>
        <v>Présent ?</v>
      </c>
      <c r="G5" s="422" t="str">
        <f>IF(OR('Niveau 1- Sommaire général'!J8=pres,'Niveau 1- Sommaire général'!J9=pres,'Niveau 1- Sommaire général'!J10=pres,'Niveau 1- Sommaire général'!J11=pres,'Niveau 1- Sommaire général'!J12=pres,'Niveau 1- Sommaire général'!J13=pres),pres,SUM('Niveau 1- Sommaire général'!J8:J13))</f>
        <v>Présent ?</v>
      </c>
      <c r="H5" s="422" t="str">
        <f>IF(OR('Niveau 1- Sommaire général'!K8=pres,'Niveau 1- Sommaire général'!K9=pres,'Niveau 1- Sommaire général'!K10=pres,'Niveau 1- Sommaire général'!K11=pres,'Niveau 1- Sommaire général'!K12=pres,'Niveau 1- Sommaire général'!K13=pres),pres,SUM('Niveau 1- Sommaire général'!K8:K13))</f>
        <v>Présent ?</v>
      </c>
      <c r="I5" s="435">
        <f t="shared" ref="I5:I20" si="0">SUM(C5:H5)</f>
        <v>0</v>
      </c>
      <c r="J5" s="467" t="e">
        <f t="shared" ref="J5:J20" si="1">I5/$I$21</f>
        <v>#DIV/0!</v>
      </c>
    </row>
    <row r="6" spans="1:14">
      <c r="A6" s="373" t="s">
        <v>426</v>
      </c>
      <c r="B6" s="422" t="str">
        <f>IF(OR('Niveau 1- Sommaire général'!E15=pres,'Niveau 1- Sommaire général'!E16=pres,'Niveau 1- Sommaire général'!E17=pres),pres,SUM('Niveau 1- Sommaire général'!E15:E17))</f>
        <v>Présent ?</v>
      </c>
      <c r="C6" s="422" t="str">
        <f>IF(OR('Niveau 1- Sommaire général'!F15=pres,'Niveau 1- Sommaire général'!F16=pres,'Niveau 1- Sommaire général'!F17=pres),pres,SUM('Niveau 1- Sommaire général'!F15:F17))</f>
        <v>Présent ?</v>
      </c>
      <c r="D6" s="422" t="str">
        <f>IF(OR('Niveau 1- Sommaire général'!G15=pres,'Niveau 1- Sommaire général'!G16=pres,'Niveau 1- Sommaire général'!G17=pres),pres,SUM('Niveau 1- Sommaire général'!G15:G17))</f>
        <v>Présent ?</v>
      </c>
      <c r="E6" s="422" t="str">
        <f>IF(OR('Niveau 1- Sommaire général'!H15=pres,'Niveau 1- Sommaire général'!H16=pres,'Niveau 1- Sommaire général'!H17=pres),pres,SUM('Niveau 1- Sommaire général'!H15:H17))</f>
        <v>Présent ?</v>
      </c>
      <c r="F6" s="422" t="str">
        <f>IF(OR('Niveau 1- Sommaire général'!I15=pres,'Niveau 1- Sommaire général'!I16=pres,'Niveau 1- Sommaire général'!I17=pres),pres,SUM('Niveau 1- Sommaire général'!I15:I17))</f>
        <v>Présent ?</v>
      </c>
      <c r="G6" s="422" t="str">
        <f>IF(OR('Niveau 1- Sommaire général'!J15=pres,'Niveau 1- Sommaire général'!J16=pres,'Niveau 1- Sommaire général'!J17=pres),pres,SUM('Niveau 1- Sommaire général'!J15:J17))</f>
        <v>Présent ?</v>
      </c>
      <c r="H6" s="422" t="str">
        <f>IF(OR('Niveau 1- Sommaire général'!K15=pres,'Niveau 1- Sommaire général'!K16=pres,'Niveau 1- Sommaire général'!K17=pres),pres,SUM('Niveau 1- Sommaire général'!K15:K17))</f>
        <v>Présent ?</v>
      </c>
      <c r="I6" s="466">
        <f t="shared" si="0"/>
        <v>0</v>
      </c>
      <c r="J6" s="467" t="e">
        <f t="shared" si="1"/>
        <v>#DIV/0!</v>
      </c>
      <c r="L6" s="469"/>
    </row>
    <row r="7" spans="1:14" ht="25">
      <c r="A7" s="373" t="s">
        <v>427</v>
      </c>
      <c r="B7" s="422" t="str">
        <f>IF(OR('Niveau 1- Sommaire général'!E19=pres,'Niveau 1- Sommaire général'!E20=pres,'Niveau 1- Sommaire général'!E21=pres,'Niveau 1- Sommaire général'!E22=pres,'Niveau 1- Sommaire général'!E23=pres,'Niveau 1- Sommaire général'!E24=pres,'Niveau 1- Sommaire général'!E25=pres),pres,SUM('Niveau 1- Sommaire général'!E19:E25))</f>
        <v>Présent ?</v>
      </c>
      <c r="C7" s="422" t="str">
        <f>IF(OR('Niveau 1- Sommaire général'!F19=pres,'Niveau 1- Sommaire général'!F20=pres,'Niveau 1- Sommaire général'!F21=pres,'Niveau 1- Sommaire général'!F22=pres,'Niveau 1- Sommaire général'!F23=pres,'Niveau 1- Sommaire général'!F24=pres,'Niveau 1- Sommaire général'!F25=pres),pres,SUM('Niveau 1- Sommaire général'!F19:F25))</f>
        <v>Présent ?</v>
      </c>
      <c r="D7" s="422" t="str">
        <f>IF(OR('Niveau 1- Sommaire général'!G19=pres,'Niveau 1- Sommaire général'!G20=pres,'Niveau 1- Sommaire général'!G21=pres,'Niveau 1- Sommaire général'!G22=pres,'Niveau 1- Sommaire général'!G23=pres,'Niveau 1- Sommaire général'!G24=pres,'Niveau 1- Sommaire général'!G25=pres),pres,SUM('Niveau 1- Sommaire général'!G19:G25))</f>
        <v>Présent ?</v>
      </c>
      <c r="E7" s="422" t="str">
        <f>IF(OR('Niveau 1- Sommaire général'!H19=pres,'Niveau 1- Sommaire général'!H20=pres,'Niveau 1- Sommaire général'!H21=pres,'Niveau 1- Sommaire général'!H22=pres,'Niveau 1- Sommaire général'!H23=pres,'Niveau 1- Sommaire général'!H24=pres,'Niveau 1- Sommaire général'!H25=pres),pres,SUM('Niveau 1- Sommaire général'!H19:H25))</f>
        <v>Présent ?</v>
      </c>
      <c r="F7" s="422" t="str">
        <f>IF(OR('Niveau 1- Sommaire général'!I19=pres,'Niveau 1- Sommaire général'!I20=pres,'Niveau 1- Sommaire général'!I21=pres,'Niveau 1- Sommaire général'!I22=pres,'Niveau 1- Sommaire général'!I23=pres,'Niveau 1- Sommaire général'!I24=pres,'Niveau 1- Sommaire général'!I25=pres),pres,SUM('Niveau 1- Sommaire général'!I19:I25))</f>
        <v>Présent ?</v>
      </c>
      <c r="G7" s="422" t="str">
        <f>IF(OR('Niveau 1- Sommaire général'!J19=pres,'Niveau 1- Sommaire général'!J20=pres,'Niveau 1- Sommaire général'!J21=pres,'Niveau 1- Sommaire général'!J22=pres,'Niveau 1- Sommaire général'!J23=pres,'Niveau 1- Sommaire général'!J24=pres,'Niveau 1- Sommaire général'!J25=pres),pres,SUM('Niveau 1- Sommaire général'!J19:J25))</f>
        <v>Présent ?</v>
      </c>
      <c r="H7" s="422" t="str">
        <f>IF(OR('Niveau 1- Sommaire général'!K19=pres,'Niveau 1- Sommaire général'!K20=pres,'Niveau 1- Sommaire général'!K21=pres,'Niveau 1- Sommaire général'!K22=pres,'Niveau 1- Sommaire général'!K23=pres,'Niveau 1- Sommaire général'!K24=pres,'Niveau 1- Sommaire général'!K25=pres),pres,SUM('Niveau 1- Sommaire général'!K19:K25))</f>
        <v>Présent ?</v>
      </c>
      <c r="I7" s="466">
        <f t="shared" si="0"/>
        <v>0</v>
      </c>
      <c r="J7" s="467" t="e">
        <f t="shared" si="1"/>
        <v>#DIV/0!</v>
      </c>
      <c r="L7" s="469"/>
      <c r="N7" s="451"/>
    </row>
    <row r="8" spans="1:14">
      <c r="A8" s="373" t="s">
        <v>422</v>
      </c>
      <c r="B8" s="422" t="str">
        <f>IF(OR('Niveau 1- Sommaire général'!E26=pres,'Niveau 1- Sommaire général'!E27=pres),pres,SUM('Niveau 1- Sommaire général'!E26:E27))</f>
        <v>Présent ?</v>
      </c>
      <c r="C8" s="422" t="str">
        <f>IF(OR('Niveau 1- Sommaire général'!F26=pres,'Niveau 1- Sommaire général'!F27=pres),pres,SUM('Niveau 1- Sommaire général'!F26:F27))</f>
        <v>Présent ?</v>
      </c>
      <c r="D8" s="422" t="str">
        <f>IF(OR('Niveau 1- Sommaire général'!G26=pres,'Niveau 1- Sommaire général'!G27=pres),pres,SUM('Niveau 1- Sommaire général'!G26:G27))</f>
        <v>Présent ?</v>
      </c>
      <c r="E8" s="422" t="str">
        <f>IF(OR('Niveau 1- Sommaire général'!H26=pres,'Niveau 1- Sommaire général'!H27=pres),pres,SUM('Niveau 1- Sommaire général'!H26:H27))</f>
        <v>Présent ?</v>
      </c>
      <c r="F8" s="422" t="str">
        <f>IF(OR('Niveau 1- Sommaire général'!I26=pres,'Niveau 1- Sommaire général'!I27=pres),pres,SUM('Niveau 1- Sommaire général'!I26:I27))</f>
        <v>Présent ?</v>
      </c>
      <c r="G8" s="422" t="str">
        <f>IF(OR('Niveau 1- Sommaire général'!J26=pres,'Niveau 1- Sommaire général'!J27=pres),pres,SUM('Niveau 1- Sommaire général'!J26:J27))</f>
        <v>Présent ?</v>
      </c>
      <c r="H8" s="422" t="str">
        <f>IF(OR('Niveau 1- Sommaire général'!K26=pres,'Niveau 1- Sommaire général'!K27=pres),pres,SUM('Niveau 1- Sommaire général'!K26:K27))</f>
        <v>Présent ?</v>
      </c>
      <c r="I8" s="466">
        <f t="shared" si="0"/>
        <v>0</v>
      </c>
      <c r="J8" s="467" t="e">
        <f t="shared" si="1"/>
        <v>#DIV/0!</v>
      </c>
      <c r="L8" s="469"/>
    </row>
    <row r="9" spans="1:14">
      <c r="A9" s="717" t="s">
        <v>827</v>
      </c>
      <c r="B9" s="422" t="str">
        <f>IF(OR('Niveau 1- Sommaire général'!E29=pres,'Niveau 1- Sommaire général'!E30=pres),pres,SUM('Niveau 1- Sommaire général'!E29:E30))</f>
        <v>Présent ?</v>
      </c>
      <c r="C9" s="422" t="str">
        <f>IF(OR('Niveau 1- Sommaire général'!F29=pres,'Niveau 1- Sommaire général'!F30=pres),pres,SUM('Niveau 1- Sommaire général'!F29:F30))</f>
        <v>Présent ?</v>
      </c>
      <c r="D9" s="422" t="str">
        <f>IF(OR('Niveau 1- Sommaire général'!G29=pres,'Niveau 1- Sommaire général'!G30=pres),pres,SUM('Niveau 1- Sommaire général'!G29:G30))</f>
        <v>Présent ?</v>
      </c>
      <c r="E9" s="422" t="str">
        <f>IF(OR('Niveau 1- Sommaire général'!H29=pres,'Niveau 1- Sommaire général'!H30=pres),pres,SUM('Niveau 1- Sommaire général'!H29:H30))</f>
        <v>Présent ?</v>
      </c>
      <c r="F9" s="422" t="str">
        <f>IF(OR('Niveau 1- Sommaire général'!I29=pres,'Niveau 1- Sommaire général'!I30=pres),pres,SUM('Niveau 1- Sommaire général'!I29:I30))</f>
        <v>Présent ?</v>
      </c>
      <c r="G9" s="422" t="str">
        <f>IF(OR('Niveau 1- Sommaire général'!J29=pres,'Niveau 1- Sommaire général'!J30=pres),pres,SUM('Niveau 1- Sommaire général'!J29:J30))</f>
        <v>Présent ?</v>
      </c>
      <c r="H9" s="422" t="str">
        <f>IF(OR('Niveau 1- Sommaire général'!K29=pres,'Niveau 1- Sommaire général'!K30=pres),pres,SUM('Niveau 1- Sommaire général'!K29:K30))</f>
        <v>Présent ?</v>
      </c>
      <c r="I9" s="466">
        <f t="shared" si="0"/>
        <v>0</v>
      </c>
      <c r="J9" s="467" t="e">
        <f t="shared" si="1"/>
        <v>#DIV/0!</v>
      </c>
      <c r="L9" s="469"/>
      <c r="N9" s="469"/>
    </row>
    <row r="10" spans="1:14">
      <c r="A10" s="373" t="s">
        <v>369</v>
      </c>
      <c r="B10" s="422" t="str">
        <f>'Niveau 1- Sommaire général'!E32</f>
        <v>Présent ?</v>
      </c>
      <c r="C10" s="422" t="str">
        <f>'Niveau 1- Sommaire général'!F32</f>
        <v>Présent ?</v>
      </c>
      <c r="D10" s="422" t="str">
        <f>'Niveau 1- Sommaire général'!G32</f>
        <v>Présent ?</v>
      </c>
      <c r="E10" s="422" t="str">
        <f>'Niveau 1- Sommaire général'!H32</f>
        <v>Présent ?</v>
      </c>
      <c r="F10" s="422" t="str">
        <f>'Niveau 1- Sommaire général'!I32</f>
        <v>Présent ?</v>
      </c>
      <c r="G10" s="422" t="str">
        <f>'Niveau 1- Sommaire général'!J32</f>
        <v>Présent ?</v>
      </c>
      <c r="H10" s="422" t="str">
        <f>'Niveau 1- Sommaire général'!K32</f>
        <v>Présent ?</v>
      </c>
      <c r="I10" s="466">
        <f t="shared" si="0"/>
        <v>0</v>
      </c>
      <c r="J10" s="467" t="e">
        <f t="shared" si="1"/>
        <v>#DIV/0!</v>
      </c>
      <c r="L10" s="469"/>
    </row>
    <row r="11" spans="1:14">
      <c r="A11" s="373" t="s">
        <v>423</v>
      </c>
      <c r="B11" s="422" t="str">
        <f>IF(OR('Niveau 1- Sommaire général'!E33=pres,'Niveau 1- Sommaire général'!E34=pres),pres,SUM('Niveau 1- Sommaire général'!E33:E34))</f>
        <v>Présent ?</v>
      </c>
      <c r="C11" s="422" t="str">
        <f>IF(OR('Niveau 1- Sommaire général'!F33=pres,'Niveau 1- Sommaire général'!F34=pres),pres,SUM('Niveau 1- Sommaire général'!F33:F34))</f>
        <v>Présent ?</v>
      </c>
      <c r="D11" s="422" t="str">
        <f>IF(OR('Niveau 1- Sommaire général'!G33=pres,'Niveau 1- Sommaire général'!G34=pres),pres,SUM('Niveau 1- Sommaire général'!G33:G34))</f>
        <v>Présent ?</v>
      </c>
      <c r="E11" s="422" t="str">
        <f>IF(OR('Niveau 1- Sommaire général'!H33=pres,'Niveau 1- Sommaire général'!H34=pres),pres,SUM('Niveau 1- Sommaire général'!H33:H34))</f>
        <v>Présent ?</v>
      </c>
      <c r="F11" s="422" t="str">
        <f>IF(OR('Niveau 1- Sommaire général'!I33=pres,'Niveau 1- Sommaire général'!I34=pres),pres,SUM('Niveau 1- Sommaire général'!I33:I34))</f>
        <v>Présent ?</v>
      </c>
      <c r="G11" s="422" t="str">
        <f>IF(OR('Niveau 1- Sommaire général'!J33=pres,'Niveau 1- Sommaire général'!J34=pres),pres,SUM('Niveau 1- Sommaire général'!J33:J34))</f>
        <v>Présent ?</v>
      </c>
      <c r="H11" s="422" t="str">
        <f>IF(OR('Niveau 1- Sommaire général'!K33=pres,'Niveau 1- Sommaire général'!K34=pres),pres,SUM('Niveau 1- Sommaire général'!K33:K34))</f>
        <v>Présent ?</v>
      </c>
      <c r="I11" s="466">
        <f t="shared" si="0"/>
        <v>0</v>
      </c>
      <c r="J11" s="467" t="e">
        <f t="shared" si="1"/>
        <v>#DIV/0!</v>
      </c>
      <c r="L11" s="469"/>
      <c r="N11" s="469"/>
    </row>
    <row r="12" spans="1:14">
      <c r="A12" s="373" t="s">
        <v>710</v>
      </c>
      <c r="B12" s="422" t="str">
        <f>IF(OR('Niveau 1- Sommaire général'!E36=pres,'Niveau 1- Sommaire général'!E37=pres,'Niveau 1- Sommaire général'!E38=pres,'Niveau 1- Sommaire général'!E39=pres,'Niveau 1- Sommaire général'!E40=pres,'Niveau 1- Sommaire général'!E41=pres,'Niveau 1- Sommaire général'!E42=pres,'Niveau 1- Sommaire général'!E43=pres),pres,SUM('Niveau 1- Sommaire général'!E36:E43))</f>
        <v>Présent ?</v>
      </c>
      <c r="C12" s="422" t="str">
        <f>IF(OR('Niveau 1- Sommaire général'!F36=pres,'Niveau 1- Sommaire général'!F37=pres,'Niveau 1- Sommaire général'!F38=pres,'Niveau 1- Sommaire général'!F39=pres,'Niveau 1- Sommaire général'!F40=pres,'Niveau 1- Sommaire général'!F41=pres,'Niveau 1- Sommaire général'!F42=pres,'Niveau 1- Sommaire général'!F43=pres),pres,SUM('Niveau 1- Sommaire général'!F36:F43))</f>
        <v>Présent ?</v>
      </c>
      <c r="D12" s="422" t="str">
        <f>IF(OR('Niveau 1- Sommaire général'!G36=pres,'Niveau 1- Sommaire général'!G37=pres,'Niveau 1- Sommaire général'!G38=pres,'Niveau 1- Sommaire général'!G39=pres,'Niveau 1- Sommaire général'!G40=pres,'Niveau 1- Sommaire général'!G41=pres,'Niveau 1- Sommaire général'!G42=pres,'Niveau 1- Sommaire général'!G43=pres),pres,SUM('Niveau 1- Sommaire général'!G36:G43))</f>
        <v>Présent ?</v>
      </c>
      <c r="E12" s="422" t="str">
        <f>IF(OR('Niveau 1- Sommaire général'!H36=pres,'Niveau 1- Sommaire général'!H37=pres,'Niveau 1- Sommaire général'!H38=pres,'Niveau 1- Sommaire général'!H39=pres,'Niveau 1- Sommaire général'!H40=pres,'Niveau 1- Sommaire général'!H41=pres,'Niveau 1- Sommaire général'!H42=pres,'Niveau 1- Sommaire général'!H43=pres),pres,SUM('Niveau 1- Sommaire général'!H36:H43))</f>
        <v>Présent ?</v>
      </c>
      <c r="F12" s="422" t="str">
        <f>IF(OR('Niveau 1- Sommaire général'!I36=pres,'Niveau 1- Sommaire général'!I37=pres,'Niveau 1- Sommaire général'!I38=pres,'Niveau 1- Sommaire général'!I39=pres,'Niveau 1- Sommaire général'!I40=pres,'Niveau 1- Sommaire général'!I41=pres,'Niveau 1- Sommaire général'!I42=pres,'Niveau 1- Sommaire général'!I43=pres),pres,SUM('Niveau 1- Sommaire général'!I36:I43))</f>
        <v>Présent ?</v>
      </c>
      <c r="G12" s="422" t="str">
        <f>IF(OR('Niveau 1- Sommaire général'!J36=pres,'Niveau 1- Sommaire général'!J37=pres,'Niveau 1- Sommaire général'!J38=pres,'Niveau 1- Sommaire général'!J39=pres,'Niveau 1- Sommaire général'!J40=pres,'Niveau 1- Sommaire général'!J41=pres,'Niveau 1- Sommaire général'!J42=pres,'Niveau 1- Sommaire général'!J43=pres),pres,SUM('Niveau 1- Sommaire général'!J36:J43))</f>
        <v>Présent ?</v>
      </c>
      <c r="H12" s="422" t="str">
        <f>IF(OR('Niveau 1- Sommaire général'!K36=pres,'Niveau 1- Sommaire général'!K37=pres,'Niveau 1- Sommaire général'!K38=pres,'Niveau 1- Sommaire général'!K39=pres,'Niveau 1- Sommaire général'!K40=pres,'Niveau 1- Sommaire général'!K41=pres,'Niveau 1- Sommaire général'!K42=pres,'Niveau 1- Sommaire général'!K43=pres),pres,SUM('Niveau 1- Sommaire général'!K36:K43))</f>
        <v>Présent ?</v>
      </c>
      <c r="I12" s="466">
        <f t="shared" si="0"/>
        <v>0</v>
      </c>
      <c r="J12" s="467" t="e">
        <f t="shared" si="1"/>
        <v>#DIV/0!</v>
      </c>
      <c r="L12" s="469"/>
    </row>
    <row r="13" spans="1:14">
      <c r="A13" s="373" t="s">
        <v>708</v>
      </c>
      <c r="B13" s="432" t="str">
        <f>'Niveau 1- Sommaire général'!E45</f>
        <v>Présent ?</v>
      </c>
      <c r="C13" s="432" t="str">
        <f>'Niveau 1- Sommaire général'!F45</f>
        <v>Présent ?</v>
      </c>
      <c r="D13" s="432" t="str">
        <f>'Niveau 1- Sommaire général'!G45</f>
        <v>Présent ?</v>
      </c>
      <c r="E13" s="432" t="str">
        <f>'Niveau 1- Sommaire général'!H45</f>
        <v>Présent ?</v>
      </c>
      <c r="F13" s="432" t="str">
        <f>'Niveau 1- Sommaire général'!I45</f>
        <v>Présent ?</v>
      </c>
      <c r="G13" s="432" t="str">
        <f>'Niveau 1- Sommaire général'!J45</f>
        <v>Présent ?</v>
      </c>
      <c r="H13" s="432" t="str">
        <f>'Niveau 1- Sommaire général'!K45</f>
        <v>Présent ?</v>
      </c>
      <c r="I13" s="466">
        <f t="shared" si="0"/>
        <v>0</v>
      </c>
      <c r="J13" s="467" t="e">
        <f t="shared" si="1"/>
        <v>#DIV/0!</v>
      </c>
      <c r="L13" s="469"/>
    </row>
    <row r="14" spans="1:14">
      <c r="A14" s="373" t="s">
        <v>424</v>
      </c>
      <c r="B14" s="422" t="str">
        <f>IF(OR('Niveau 1- Sommaire général'!E46=pres,'Niveau 1- Sommaire général'!E47=pres,'Niveau 1- Sommaire général'!E48=pres,'Niveau 1- Sommaire général'!E49=pres,'Niveau 1- Sommaire général'!E50=pres,'Niveau 1- Sommaire général'!E51=pres,'Niveau 1- Sommaire général'!E52=pres,'Niveau 1- Sommaire général'!E53=pres,'Niveau 1- Sommaire général'!E54=pres,'Niveau 1- Sommaire général'!E55=pres,'Niveau 1- Sommaire général'!E56=pres),pres,SUM('Niveau 1- Sommaire général'!E46:E56))</f>
        <v>Présent ?</v>
      </c>
      <c r="C14" s="422" t="str">
        <f>IF(OR('Niveau 1- Sommaire général'!F46=pres,'Niveau 1- Sommaire général'!F47=pres,'Niveau 1- Sommaire général'!F48=pres,'Niveau 1- Sommaire général'!F49=pres,'Niveau 1- Sommaire général'!F50=pres,'Niveau 1- Sommaire général'!F51=pres,'Niveau 1- Sommaire général'!F52=pres,'Niveau 1- Sommaire général'!F53=pres,'Niveau 1- Sommaire général'!F54=pres,'Niveau 1- Sommaire général'!F55=pres,'Niveau 1- Sommaire général'!F56=pres),pres,SUM('Niveau 1- Sommaire général'!F46:F56))</f>
        <v>Présent ?</v>
      </c>
      <c r="D14" s="422" t="str">
        <f>IF(OR('Niveau 1- Sommaire général'!G46=pres,'Niveau 1- Sommaire général'!G47=pres,'Niveau 1- Sommaire général'!G48=pres,'Niveau 1- Sommaire général'!G49=pres,'Niveau 1- Sommaire général'!G50=pres,'Niveau 1- Sommaire général'!G51=pres,'Niveau 1- Sommaire général'!G52=pres,'Niveau 1- Sommaire général'!G53=pres,'Niveau 1- Sommaire général'!G54=pres,'Niveau 1- Sommaire général'!G55=pres,'Niveau 1- Sommaire général'!G56=pres),pres,SUM('Niveau 1- Sommaire général'!G46:G56))</f>
        <v>Présent ?</v>
      </c>
      <c r="E14" s="422" t="str">
        <f>IF(OR('Niveau 1- Sommaire général'!H46=pres,'Niveau 1- Sommaire général'!H47=pres,'Niveau 1- Sommaire général'!H48=pres,'Niveau 1- Sommaire général'!H49=pres,'Niveau 1- Sommaire général'!H50=pres,'Niveau 1- Sommaire général'!H51=pres,'Niveau 1- Sommaire général'!H52=pres,'Niveau 1- Sommaire général'!H53=pres,'Niveau 1- Sommaire général'!H54=pres,'Niveau 1- Sommaire général'!H55=pres,'Niveau 1- Sommaire général'!H56=pres),pres,SUM('Niveau 1- Sommaire général'!H46:H56))</f>
        <v>Présent ?</v>
      </c>
      <c r="F14" s="422" t="str">
        <f>IF(OR('Niveau 1- Sommaire général'!I46=pres,'Niveau 1- Sommaire général'!I47=pres,'Niveau 1- Sommaire général'!I48=pres,'Niveau 1- Sommaire général'!I49=pres,'Niveau 1- Sommaire général'!I50=pres,'Niveau 1- Sommaire général'!I51=pres,'Niveau 1- Sommaire général'!I52=pres,'Niveau 1- Sommaire général'!I53=pres,'Niveau 1- Sommaire général'!I54=pres,'Niveau 1- Sommaire général'!I55=pres,'Niveau 1- Sommaire général'!I56=pres),pres,SUM('Niveau 1- Sommaire général'!I46:I56))</f>
        <v>Présent ?</v>
      </c>
      <c r="G14" s="422" t="str">
        <f>IF(OR('Niveau 1- Sommaire général'!J46=pres,'Niveau 1- Sommaire général'!J47=pres,'Niveau 1- Sommaire général'!J48=pres,'Niveau 1- Sommaire général'!J49=pres,'Niveau 1- Sommaire général'!J50=pres,'Niveau 1- Sommaire général'!J51=pres,'Niveau 1- Sommaire général'!J52=pres,'Niveau 1- Sommaire général'!J53=pres,'Niveau 1- Sommaire général'!J54=pres,'Niveau 1- Sommaire général'!J55=pres,'Niveau 1- Sommaire général'!J56=pres),pres,SUM('Niveau 1- Sommaire général'!J46:J56))</f>
        <v>Présent ?</v>
      </c>
      <c r="H14" s="422" t="str">
        <f>IF(OR('Niveau 1- Sommaire général'!K46=pres,'Niveau 1- Sommaire général'!K47=pres,'Niveau 1- Sommaire général'!K48=pres,'Niveau 1- Sommaire général'!K49=pres,'Niveau 1- Sommaire général'!K50=pres,'Niveau 1- Sommaire général'!K51=pres,'Niveau 1- Sommaire général'!K52=pres,'Niveau 1- Sommaire général'!K53=pres,'Niveau 1- Sommaire général'!K54=pres,'Niveau 1- Sommaire général'!K55=pres,'Niveau 1- Sommaire général'!K56=pres),pres,SUM('Niveau 1- Sommaire général'!K46:K56))</f>
        <v>Présent ?</v>
      </c>
      <c r="I14" s="466">
        <f t="shared" si="0"/>
        <v>0</v>
      </c>
      <c r="J14" s="467" t="e">
        <f t="shared" si="1"/>
        <v>#DIV/0!</v>
      </c>
      <c r="L14" s="469"/>
    </row>
    <row r="15" spans="1:14">
      <c r="A15" s="373" t="s">
        <v>425</v>
      </c>
      <c r="B15" s="422" t="str">
        <f>IF(OR('Niveau 1- Sommaire général'!E58=pres,'Niveau 1- Sommaire général'!E59=pres),pres,SUM('Niveau 1- Sommaire général'!E58:E59))</f>
        <v>Présent ?</v>
      </c>
      <c r="C15" s="422" t="str">
        <f>IF(OR('Niveau 1- Sommaire général'!F58=pres,'Niveau 1- Sommaire général'!F59=pres),pres,SUM('Niveau 1- Sommaire général'!F58:F59))</f>
        <v>Présent ?</v>
      </c>
      <c r="D15" s="422" t="str">
        <f>IF(OR('Niveau 1- Sommaire général'!G58=pres,'Niveau 1- Sommaire général'!G59=pres),pres,SUM('Niveau 1- Sommaire général'!G58:G59))</f>
        <v>Présent ?</v>
      </c>
      <c r="E15" s="422" t="str">
        <f>IF(OR('Niveau 1- Sommaire général'!H58=pres,'Niveau 1- Sommaire général'!H59=pres),pres,SUM('Niveau 1- Sommaire général'!H58:H59))</f>
        <v>Présent ?</v>
      </c>
      <c r="F15" s="422" t="str">
        <f>IF(OR('Niveau 1- Sommaire général'!I58=pres,'Niveau 1- Sommaire général'!I59=pres),pres,SUM('Niveau 1- Sommaire général'!I58:I59))</f>
        <v>Présent ?</v>
      </c>
      <c r="G15" s="422" t="str">
        <f>IF(OR('Niveau 1- Sommaire général'!J58=pres,'Niveau 1- Sommaire général'!J59=pres),pres,SUM('Niveau 1- Sommaire général'!J58:J59))</f>
        <v>Présent ?</v>
      </c>
      <c r="H15" s="422" t="str">
        <f>IF(OR('Niveau 1- Sommaire général'!K58=pres,'Niveau 1- Sommaire général'!K59=pres),pres,SUM('Niveau 1- Sommaire général'!K58:K59))</f>
        <v>Présent ?</v>
      </c>
      <c r="I15" s="466">
        <f t="shared" si="0"/>
        <v>0</v>
      </c>
      <c r="J15" s="467" t="e">
        <f t="shared" si="1"/>
        <v>#DIV/0!</v>
      </c>
      <c r="L15" s="469"/>
    </row>
    <row r="16" spans="1:14">
      <c r="A16" s="373" t="s">
        <v>711</v>
      </c>
      <c r="B16" s="422" t="str">
        <f>IF(OR('Niveau 1- Sommaire général'!E61=pres,'Niveau 1- Sommaire général'!E62=pres,'Niveau 1- Sommaire général'!E63=pres,'Niveau 1- Sommaire général'!E64=pres,'Niveau 1- Sommaire général'!E65=pres),pres,SUM('Niveau 1- Sommaire général'!E61:E65))</f>
        <v>Présent ?</v>
      </c>
      <c r="C16" s="422" t="str">
        <f>IF(OR('Niveau 1- Sommaire général'!F61=pres,'Niveau 1- Sommaire général'!F62=pres,'Niveau 1- Sommaire général'!F63=pres,'Niveau 1- Sommaire général'!F64=pres,'Niveau 1- Sommaire général'!F65=pres),pres,SUM('Niveau 1- Sommaire général'!F61:F65))</f>
        <v>Présent ?</v>
      </c>
      <c r="D16" s="422" t="str">
        <f>IF(OR('Niveau 1- Sommaire général'!G61=pres,'Niveau 1- Sommaire général'!G62=pres,'Niveau 1- Sommaire général'!G63=pres,'Niveau 1- Sommaire général'!G64=pres,'Niveau 1- Sommaire général'!G65=pres),pres,SUM('Niveau 1- Sommaire général'!G61:G65))</f>
        <v>Présent ?</v>
      </c>
      <c r="E16" s="422" t="str">
        <f>IF(OR('Niveau 1- Sommaire général'!H61=pres,'Niveau 1- Sommaire général'!H62=pres,'Niveau 1- Sommaire général'!H63=pres,'Niveau 1- Sommaire général'!H64=pres,'Niveau 1- Sommaire général'!H65=pres),pres,SUM('Niveau 1- Sommaire général'!H61:H65))</f>
        <v>Présent ?</v>
      </c>
      <c r="F16" s="422" t="str">
        <f>IF(OR('Niveau 1- Sommaire général'!I61=pres,'Niveau 1- Sommaire général'!I62=pres,'Niveau 1- Sommaire général'!I63=pres,'Niveau 1- Sommaire général'!I64=pres,'Niveau 1- Sommaire général'!I65=pres),pres,SUM('Niveau 1- Sommaire général'!I61:I65))</f>
        <v>Présent ?</v>
      </c>
      <c r="G16" s="422" t="str">
        <f>IF(OR('Niveau 1- Sommaire général'!J61=pres,'Niveau 1- Sommaire général'!J62=pres,'Niveau 1- Sommaire général'!J63=pres,'Niveau 1- Sommaire général'!J64=pres,'Niveau 1- Sommaire général'!J65=pres),pres,SUM('Niveau 1- Sommaire général'!J61:J65))</f>
        <v>Présent ?</v>
      </c>
      <c r="H16" s="422" t="str">
        <f>IF(OR('Niveau 1- Sommaire général'!K61=pres,'Niveau 1- Sommaire général'!K62=pres,'Niveau 1- Sommaire général'!K63=pres,'Niveau 1- Sommaire général'!K64=pres,'Niveau 1- Sommaire général'!K65=pres),pres,SUM('Niveau 1- Sommaire général'!K61:K65))</f>
        <v>Présent ?</v>
      </c>
      <c r="I16" s="466">
        <f t="shared" si="0"/>
        <v>0</v>
      </c>
      <c r="J16" s="467" t="e">
        <f t="shared" si="1"/>
        <v>#DIV/0!</v>
      </c>
    </row>
    <row r="17" spans="1:12">
      <c r="A17" s="373" t="s">
        <v>714</v>
      </c>
      <c r="B17" s="447" t="str">
        <f>'Niveau 1- Sommaire général'!E67</f>
        <v>Présent ?</v>
      </c>
      <c r="C17" s="447" t="str">
        <f>'Niveau 1- Sommaire général'!F67</f>
        <v>Présent ?</v>
      </c>
      <c r="D17" s="447" t="str">
        <f>'Niveau 1- Sommaire général'!G67</f>
        <v>Présent ?</v>
      </c>
      <c r="E17" s="447" t="str">
        <f>'Niveau 1- Sommaire général'!H67</f>
        <v>Présent ?</v>
      </c>
      <c r="F17" s="447" t="str">
        <f>'Niveau 1- Sommaire général'!I67</f>
        <v>Présent ?</v>
      </c>
      <c r="G17" s="447" t="str">
        <f>'Niveau 1- Sommaire général'!J67</f>
        <v>Présent ?</v>
      </c>
      <c r="H17" s="447" t="str">
        <f>'Niveau 1- Sommaire général'!K67</f>
        <v>Présent ?</v>
      </c>
      <c r="I17" s="466">
        <f t="shared" si="0"/>
        <v>0</v>
      </c>
      <c r="J17" s="467" t="e">
        <f t="shared" si="1"/>
        <v>#DIV/0!</v>
      </c>
      <c r="L17" s="469"/>
    </row>
    <row r="18" spans="1:12">
      <c r="A18" s="373" t="s">
        <v>712</v>
      </c>
      <c r="B18" s="561" t="str">
        <f>'Niveau 1- Sommaire général'!E68</f>
        <v>Présent ?</v>
      </c>
      <c r="C18" s="561" t="str">
        <f>'Niveau 1- Sommaire général'!F68</f>
        <v>Présent ?</v>
      </c>
      <c r="D18" s="561" t="str">
        <f>'Niveau 1- Sommaire général'!G68</f>
        <v>Présent ?</v>
      </c>
      <c r="E18" s="561" t="str">
        <f>'Niveau 1- Sommaire général'!H68</f>
        <v>Présent ?</v>
      </c>
      <c r="F18" s="561" t="str">
        <f>'Niveau 1- Sommaire général'!I68</f>
        <v>Présent ?</v>
      </c>
      <c r="G18" s="561" t="str">
        <f>'Niveau 1- Sommaire général'!J68</f>
        <v>Présent ?</v>
      </c>
      <c r="H18" s="561" t="str">
        <f>'Niveau 1- Sommaire général'!K68</f>
        <v>Présent ?</v>
      </c>
      <c r="I18" s="435">
        <f>SUM(C18:H18)-IF(OR(E18="-", E18=que, E18=pres),0,E18)</f>
        <v>0</v>
      </c>
      <c r="J18" s="467" t="e">
        <f t="shared" si="1"/>
        <v>#DIV/0!</v>
      </c>
      <c r="L18" s="470"/>
    </row>
    <row r="19" spans="1:12">
      <c r="A19" s="373" t="s">
        <v>713</v>
      </c>
      <c r="B19" s="561" t="str">
        <f>'Niveau 1- Sommaire général'!E69</f>
        <v>Présent ?</v>
      </c>
      <c r="C19" s="561" t="str">
        <f>'Niveau 1- Sommaire général'!F69</f>
        <v>Présent ?</v>
      </c>
      <c r="D19" s="561" t="str">
        <f>'Niveau 1- Sommaire général'!G69</f>
        <v>Présent ?</v>
      </c>
      <c r="E19" s="561" t="str">
        <f>'Niveau 1- Sommaire général'!H69</f>
        <v>Présent ?</v>
      </c>
      <c r="F19" s="561" t="str">
        <f>'Niveau 1- Sommaire général'!I69</f>
        <v>Présent ?</v>
      </c>
      <c r="G19" s="561" t="str">
        <f>'Niveau 1- Sommaire général'!J69</f>
        <v>Présent ?</v>
      </c>
      <c r="H19" s="561" t="str">
        <f>'Niveau 1- Sommaire général'!K69</f>
        <v>Présent ?</v>
      </c>
      <c r="I19" s="435">
        <f>SUM(C19:H19)-IF(OR(D19="-",D19=que, D19=pres),0,D19)</f>
        <v>0</v>
      </c>
      <c r="J19" s="467" t="e">
        <f t="shared" si="1"/>
        <v>#DIV/0!</v>
      </c>
    </row>
    <row r="20" spans="1:12">
      <c r="A20" s="373" t="s">
        <v>384</v>
      </c>
      <c r="B20" s="422" t="str">
        <f>IF(OR('Niveau 1- Sommaire général'!E71=pres,'Niveau 1- Sommaire général'!E72=pres),pres,SUM('Niveau 1- Sommaire général'!E71:E72))</f>
        <v>Présent ?</v>
      </c>
      <c r="C20" s="422" t="str">
        <f>IF(OR('Niveau 1- Sommaire général'!F71=pres,'Niveau 1- Sommaire général'!F72=pres),pres,SUM('Niveau 1- Sommaire général'!F71:F72))</f>
        <v>Présent ?</v>
      </c>
      <c r="D20" s="422" t="str">
        <f>IF(OR('Niveau 1- Sommaire général'!G71=pres,'Niveau 1- Sommaire général'!G72=pres),pres,SUM('Niveau 1- Sommaire général'!G71:G72))</f>
        <v>Présent ?</v>
      </c>
      <c r="E20" s="422" t="str">
        <f>IF(OR('Niveau 1- Sommaire général'!H71=pres,'Niveau 1- Sommaire général'!H72=pres),pres,SUM('Niveau 1- Sommaire général'!H71:H72))</f>
        <v>Présent ?</v>
      </c>
      <c r="F20" s="422" t="str">
        <f>IF(OR('Niveau 1- Sommaire général'!I71=pres,'Niveau 1- Sommaire général'!I72=pres),pres,SUM('Niveau 1- Sommaire général'!I71:I72))</f>
        <v>Présent ?</v>
      </c>
      <c r="G20" s="422" t="str">
        <f>IF(OR('Niveau 1- Sommaire général'!J71=pres,'Niveau 1- Sommaire général'!J72=pres),pres,SUM('Niveau 1- Sommaire général'!J71:J72))</f>
        <v>Présent ?</v>
      </c>
      <c r="H20" s="422" t="str">
        <f>IF(OR('Niveau 1- Sommaire général'!K71=pres,'Niveau 1- Sommaire général'!K72=pres),pres,SUM('Niveau 1- Sommaire général'!K71:K72))</f>
        <v>Présent ?</v>
      </c>
      <c r="I20" s="435">
        <f t="shared" si="0"/>
        <v>0</v>
      </c>
      <c r="J20" s="467" t="e">
        <f t="shared" si="1"/>
        <v>#DIV/0!</v>
      </c>
    </row>
    <row r="21" spans="1:12" s="355" customFormat="1" ht="13">
      <c r="A21" s="265" t="s">
        <v>1201</v>
      </c>
      <c r="B21" s="427">
        <f>ROUND(SUM(B4:B20)-(0.9*IF(OR(B16="-",B16=que, B16=pres),0,B16))-(0.9*IF(OR(B17="-",B17=que, B17=pres),0,B17))-(0.9*IF(OR(B18="-",B18=que, B18=pres),0,B18))-IF(OR(B19="-", B19=que, B19=pres),0,B19)+(-IF(OR(B12="-",B12=que, B12=pres),0,B12)+SUM(C12:H12))+(-IF(OR(B6="-",B6=que, B6=pres),0,B6)+SUM(C6:H6)),-1)</f>
        <v>0</v>
      </c>
      <c r="C21" s="427">
        <f>ROUND(SUM(C4:C20),-1)</f>
        <v>0</v>
      </c>
      <c r="D21" s="427">
        <f>ROUND(SUM(D4:D20)-IF(OR(D19="-",D19=que, D19=pres),0,D19),-1)</f>
        <v>0</v>
      </c>
      <c r="E21" s="427">
        <f>ROUND(SUM(E4:E20)-IF(OR(E18="-", E18=que, E18=pres),0,E18),-1)</f>
        <v>0</v>
      </c>
      <c r="F21" s="427">
        <f>ROUND(SUM(F4:F20),-1)</f>
        <v>0</v>
      </c>
      <c r="G21" s="427">
        <f>ROUND(SUM(G4:G20),-1)</f>
        <v>0</v>
      </c>
      <c r="H21" s="427">
        <f>ROUND(SUM(H4:H20),-1)</f>
        <v>0</v>
      </c>
      <c r="I21" s="427">
        <f>ROUND(SUM(I4:I20),-1)</f>
        <v>0</v>
      </c>
      <c r="J21" s="468" t="e">
        <f>SUM(J4:J20)</f>
        <v>#DIV/0!</v>
      </c>
      <c r="L21" s="469"/>
    </row>
    <row r="22" spans="1:12">
      <c r="A22" s="620" t="s">
        <v>1227</v>
      </c>
      <c r="C22" s="560"/>
      <c r="D22" s="560"/>
      <c r="E22" s="560"/>
      <c r="F22" s="560"/>
      <c r="G22" s="560"/>
      <c r="H22" s="560"/>
      <c r="I22" s="560"/>
    </row>
    <row r="23" spans="1:12">
      <c r="A23" s="322" t="s">
        <v>1062</v>
      </c>
      <c r="B23" s="322"/>
      <c r="C23" s="560"/>
      <c r="D23" s="560"/>
      <c r="E23" s="560"/>
      <c r="F23" s="560"/>
      <c r="G23" s="560"/>
      <c r="H23" s="560"/>
      <c r="I23" s="560"/>
    </row>
    <row r="24" spans="1:12">
      <c r="A24" s="322" t="s">
        <v>1063</v>
      </c>
      <c r="B24" s="322"/>
      <c r="C24" s="560"/>
      <c r="D24" s="560"/>
      <c r="E24" s="560"/>
      <c r="F24" s="560"/>
      <c r="G24" s="560"/>
      <c r="H24" s="560"/>
      <c r="I24" s="560"/>
    </row>
    <row r="25" spans="1:12">
      <c r="A25" s="322" t="s">
        <v>1064</v>
      </c>
    </row>
    <row r="26" spans="1:12">
      <c r="A26" s="322" t="s">
        <v>1065</v>
      </c>
    </row>
    <row r="27" spans="1:12">
      <c r="A27" s="338" t="s">
        <v>1066</v>
      </c>
    </row>
    <row r="28" spans="1:12">
      <c r="A28" s="322" t="s">
        <v>1067</v>
      </c>
    </row>
    <row r="29" spans="1:12">
      <c r="A29" s="322" t="s">
        <v>1068</v>
      </c>
    </row>
    <row r="30" spans="1:12">
      <c r="A30" s="322" t="s">
        <v>1069</v>
      </c>
    </row>
    <row r="31" spans="1:12">
      <c r="A31" s="322" t="s">
        <v>1072</v>
      </c>
    </row>
    <row r="32" spans="1:12">
      <c r="A32" s="322" t="s">
        <v>1070</v>
      </c>
    </row>
    <row r="33" spans="1:1">
      <c r="A33" s="338" t="s">
        <v>1071</v>
      </c>
    </row>
    <row r="34" spans="1:1">
      <c r="A34" s="620" t="s">
        <v>1225</v>
      </c>
    </row>
  </sheetData>
  <sheetProtection algorithmName="SHA-512" hashValue="55NyhM7TkZawGo8oCS8r8vDc0z8dPwCDIywQ2UwSBcm6oaAovsAbn7aKuHMPIdRS+d1osOu5jl16m3wlCL3kAQ==" saltValue="eC9HJxidLQfzSWAJX1PSOg==" spinCount="100000" sheet="1" objects="1" scenarios="1"/>
  <mergeCells count="3">
    <mergeCell ref="B2:B3"/>
    <mergeCell ref="C2:I2"/>
    <mergeCell ref="J2:J3"/>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R45"/>
  <sheetViews>
    <sheetView topLeftCell="A7" workbookViewId="0">
      <selection activeCell="A41" sqref="A41"/>
    </sheetView>
  </sheetViews>
  <sheetFormatPr defaultColWidth="9.1796875" defaultRowHeight="12.5"/>
  <cols>
    <col min="1" max="1" width="46.81640625" style="338" customWidth="1"/>
    <col min="2" max="2" width="19.453125" style="338" customWidth="1"/>
    <col min="3" max="3" width="12.81640625" style="338" customWidth="1"/>
    <col min="4" max="4" width="13.36328125" style="338" customWidth="1"/>
    <col min="5" max="5" width="11.6328125" style="338" customWidth="1"/>
    <col min="6" max="6" width="13.81640625" style="338" customWidth="1"/>
    <col min="7" max="7" width="14.453125" style="338" customWidth="1"/>
    <col min="8" max="8" width="14.36328125" style="338" customWidth="1"/>
    <col min="9" max="11" width="9.1796875" style="338"/>
    <col min="12" max="12" width="12.453125" style="338" customWidth="1"/>
    <col min="13" max="16384" width="9.1796875" style="338"/>
  </cols>
  <sheetData>
    <row r="1" spans="1:8" ht="13">
      <c r="A1" s="355" t="s">
        <v>1073</v>
      </c>
      <c r="B1" s="322"/>
    </row>
    <row r="2" spans="1:8">
      <c r="A2" s="322"/>
    </row>
    <row r="3" spans="1:8" ht="13">
      <c r="A3" s="322" t="s">
        <v>1074</v>
      </c>
      <c r="B3" s="355"/>
    </row>
    <row r="4" spans="1:8" ht="13">
      <c r="A4" s="540" t="s">
        <v>1075</v>
      </c>
      <c r="B4" s="355"/>
    </row>
    <row r="5" spans="1:8" ht="13">
      <c r="A5" s="355"/>
      <c r="B5" s="355"/>
    </row>
    <row r="6" spans="1:8" s="360" customFormat="1" ht="18.75" customHeight="1">
      <c r="A6" s="263" t="s">
        <v>867</v>
      </c>
      <c r="B6" s="833" t="s">
        <v>874</v>
      </c>
      <c r="C6" s="838" t="s">
        <v>875</v>
      </c>
      <c r="D6" s="839"/>
      <c r="E6" s="839"/>
      <c r="F6" s="839"/>
      <c r="G6" s="839"/>
      <c r="H6" s="840"/>
    </row>
    <row r="7" spans="1:8" ht="50.5">
      <c r="A7" s="774" t="s">
        <v>1076</v>
      </c>
      <c r="B7" s="834"/>
      <c r="C7" s="269" t="s">
        <v>38</v>
      </c>
      <c r="D7" s="269" t="s">
        <v>877</v>
      </c>
      <c r="E7" s="269" t="s">
        <v>878</v>
      </c>
      <c r="F7" s="733" t="s">
        <v>879</v>
      </c>
      <c r="G7" s="733" t="s">
        <v>880</v>
      </c>
      <c r="H7" s="733" t="s">
        <v>881</v>
      </c>
    </row>
    <row r="8" spans="1:8">
      <c r="A8" s="373" t="s">
        <v>1077</v>
      </c>
      <c r="B8" s="435" t="str">
        <f>'Niveau 1-SommExec'!B4</f>
        <v>Présent ?</v>
      </c>
      <c r="C8" s="435" t="str">
        <f>'Niveau 1-SommExec'!C4</f>
        <v>Présent ?</v>
      </c>
      <c r="D8" s="435" t="str">
        <f>'Niveau 1-SommExec'!D4</f>
        <v>Présent ?</v>
      </c>
      <c r="E8" s="435" t="str">
        <f>'Niveau 1-SommExec'!E4</f>
        <v>Présent ?</v>
      </c>
      <c r="F8" s="435" t="str">
        <f>'Niveau 1-SommExec'!F4</f>
        <v>Présent ?</v>
      </c>
      <c r="G8" s="435" t="str">
        <f>'Niveau 1-SommExec'!G4</f>
        <v>Présent ?</v>
      </c>
      <c r="H8" s="435" t="str">
        <f>'Niveau 1-SommExec'!H4</f>
        <v>Présent ?</v>
      </c>
    </row>
    <row r="9" spans="1:8" ht="25">
      <c r="A9" s="371" t="s">
        <v>1078</v>
      </c>
      <c r="B9" s="435" t="str">
        <f>'Niveau 1-SommExec'!B5</f>
        <v>Présent ?</v>
      </c>
      <c r="C9" s="435" t="str">
        <f>'Niveau 1-SommExec'!C5</f>
        <v>Présent ?</v>
      </c>
      <c r="D9" s="435" t="str">
        <f>'Niveau 1-SommExec'!D5</f>
        <v>Présent ?</v>
      </c>
      <c r="E9" s="435" t="str">
        <f>'Niveau 1-SommExec'!E5</f>
        <v>Présent ?</v>
      </c>
      <c r="F9" s="435" t="str">
        <f>'Niveau 1-SommExec'!F5</f>
        <v>Présent ?</v>
      </c>
      <c r="G9" s="435" t="str">
        <f>'Niveau 1-SommExec'!G5</f>
        <v>Présent ?</v>
      </c>
      <c r="H9" s="435" t="str">
        <f>'Niveau 1-SommExec'!H5</f>
        <v>Présent ?</v>
      </c>
    </row>
    <row r="10" spans="1:8">
      <c r="A10" s="373" t="s">
        <v>1079</v>
      </c>
      <c r="B10" s="435" t="str">
        <f>'Niveau 1-SommExec'!B6</f>
        <v>Présent ?</v>
      </c>
      <c r="C10" s="435" t="str">
        <f>'Niveau 1-SommExec'!C6</f>
        <v>Présent ?</v>
      </c>
      <c r="D10" s="435" t="str">
        <f>'Niveau 1-SommExec'!D6</f>
        <v>Présent ?</v>
      </c>
      <c r="E10" s="435" t="str">
        <f>'Niveau 1-SommExec'!E6</f>
        <v>Présent ?</v>
      </c>
      <c r="F10" s="435" t="str">
        <f>'Niveau 1-SommExec'!F6</f>
        <v>Présent ?</v>
      </c>
      <c r="G10" s="435" t="str">
        <f>'Niveau 1-SommExec'!G6</f>
        <v>Présent ?</v>
      </c>
      <c r="H10" s="435" t="str">
        <f>'Niveau 1-SommExec'!H6</f>
        <v>Présent ?</v>
      </c>
    </row>
    <row r="11" spans="1:8" ht="25">
      <c r="A11" s="373" t="s">
        <v>1080</v>
      </c>
      <c r="B11" s="435" t="str">
        <f>'Niveau 1-SommExec'!B7</f>
        <v>Présent ?</v>
      </c>
      <c r="C11" s="435" t="str">
        <f>'Niveau 1-SommExec'!C7</f>
        <v>Présent ?</v>
      </c>
      <c r="D11" s="435" t="str">
        <f>'Niveau 1-SommExec'!D7</f>
        <v>Présent ?</v>
      </c>
      <c r="E11" s="435" t="str">
        <f>'Niveau 1-SommExec'!E7</f>
        <v>Présent ?</v>
      </c>
      <c r="F11" s="435" t="str">
        <f>'Niveau 1-SommExec'!F7</f>
        <v>Présent ?</v>
      </c>
      <c r="G11" s="435" t="str">
        <f>'Niveau 1-SommExec'!G7</f>
        <v>Présent ?</v>
      </c>
      <c r="H11" s="435" t="str">
        <f>'Niveau 1-SommExec'!H7</f>
        <v>Présent ?</v>
      </c>
    </row>
    <row r="12" spans="1:8">
      <c r="A12" s="373" t="s">
        <v>1081</v>
      </c>
      <c r="B12" s="435" t="str">
        <f>'Niveau 1-SommExec'!B8</f>
        <v>Présent ?</v>
      </c>
      <c r="C12" s="435" t="str">
        <f>'Niveau 1-SommExec'!C8</f>
        <v>Présent ?</v>
      </c>
      <c r="D12" s="435" t="str">
        <f>'Niveau 1-SommExec'!D8</f>
        <v>Présent ?</v>
      </c>
      <c r="E12" s="435" t="str">
        <f>'Niveau 1-SommExec'!E8</f>
        <v>Présent ?</v>
      </c>
      <c r="F12" s="435" t="str">
        <f>'Niveau 1-SommExec'!F8</f>
        <v>Présent ?</v>
      </c>
      <c r="G12" s="435" t="str">
        <f>'Niveau 1-SommExec'!G8</f>
        <v>Présent ?</v>
      </c>
      <c r="H12" s="435" t="str">
        <f>'Niveau 1-SommExec'!H8</f>
        <v>Présent ?</v>
      </c>
    </row>
    <row r="13" spans="1:8">
      <c r="A13" s="717" t="s">
        <v>1082</v>
      </c>
      <c r="B13" s="435" t="str">
        <f>'Niveau 1-SommExec'!B9</f>
        <v>Présent ?</v>
      </c>
      <c r="C13" s="435" t="str">
        <f>'Niveau 1-SommExec'!C9</f>
        <v>Présent ?</v>
      </c>
      <c r="D13" s="435" t="str">
        <f>'Niveau 1-SommExec'!D9</f>
        <v>Présent ?</v>
      </c>
      <c r="E13" s="435" t="str">
        <f>'Niveau 1-SommExec'!E9</f>
        <v>Présent ?</v>
      </c>
      <c r="F13" s="435" t="str">
        <f>'Niveau 1-SommExec'!F9</f>
        <v>Présent ?</v>
      </c>
      <c r="G13" s="435" t="str">
        <f>'Niveau 1-SommExec'!G9</f>
        <v>Présent ?</v>
      </c>
      <c r="H13" s="435" t="str">
        <f>'Niveau 1-SommExec'!H9</f>
        <v>Présent ?</v>
      </c>
    </row>
    <row r="14" spans="1:8" ht="25">
      <c r="A14" s="373" t="s">
        <v>923</v>
      </c>
      <c r="B14" s="435" t="str">
        <f>'Niveau 1-SommExec'!B10</f>
        <v>Présent ?</v>
      </c>
      <c r="C14" s="435" t="str">
        <f>'Niveau 1-SommExec'!C10</f>
        <v>Présent ?</v>
      </c>
      <c r="D14" s="435" t="str">
        <f>'Niveau 1-SommExec'!D10</f>
        <v>Présent ?</v>
      </c>
      <c r="E14" s="435" t="str">
        <f>'Niveau 1-SommExec'!E10</f>
        <v>Présent ?</v>
      </c>
      <c r="F14" s="435" t="str">
        <f>'Niveau 1-SommExec'!F10</f>
        <v>Présent ?</v>
      </c>
      <c r="G14" s="435" t="str">
        <f>'Niveau 1-SommExec'!G10</f>
        <v>Présent ?</v>
      </c>
      <c r="H14" s="435" t="str">
        <f>'Niveau 1-SommExec'!H10</f>
        <v>Présent ?</v>
      </c>
    </row>
    <row r="15" spans="1:8">
      <c r="A15" s="373" t="s">
        <v>1083</v>
      </c>
      <c r="B15" s="435" t="str">
        <f>'Niveau 1-SommExec'!B11</f>
        <v>Présent ?</v>
      </c>
      <c r="C15" s="435" t="str">
        <f>'Niveau 1-SommExec'!C11</f>
        <v>Présent ?</v>
      </c>
      <c r="D15" s="435" t="str">
        <f>'Niveau 1-SommExec'!D11</f>
        <v>Présent ?</v>
      </c>
      <c r="E15" s="435" t="str">
        <f>'Niveau 1-SommExec'!E11</f>
        <v>Présent ?</v>
      </c>
      <c r="F15" s="435" t="str">
        <f>'Niveau 1-SommExec'!F11</f>
        <v>Présent ?</v>
      </c>
      <c r="G15" s="435" t="str">
        <f>'Niveau 1-SommExec'!G11</f>
        <v>Présent ?</v>
      </c>
      <c r="H15" s="435" t="str">
        <f>'Niveau 1-SommExec'!H11</f>
        <v>Présent ?</v>
      </c>
    </row>
    <row r="16" spans="1:8">
      <c r="A16" s="373" t="s">
        <v>926</v>
      </c>
      <c r="B16" s="435" t="str">
        <f>'Niveau 1-SommExec'!B12</f>
        <v>Présent ?</v>
      </c>
      <c r="C16" s="435" t="str">
        <f>'Niveau 1-SommExec'!C12</f>
        <v>Présent ?</v>
      </c>
      <c r="D16" s="435" t="str">
        <f>'Niveau 1-SommExec'!D12</f>
        <v>Présent ?</v>
      </c>
      <c r="E16" s="435" t="str">
        <f>'Niveau 1-SommExec'!E12</f>
        <v>Présent ?</v>
      </c>
      <c r="F16" s="435" t="str">
        <f>'Niveau 1-SommExec'!F12</f>
        <v>Présent ?</v>
      </c>
      <c r="G16" s="435" t="str">
        <f>'Niveau 1-SommExec'!G12</f>
        <v>Présent ?</v>
      </c>
      <c r="H16" s="435" t="str">
        <f>'Niveau 1-SommExec'!H12</f>
        <v>Présent ?</v>
      </c>
    </row>
    <row r="17" spans="1:18">
      <c r="A17" s="373" t="s">
        <v>1084</v>
      </c>
      <c r="B17" s="435" t="str">
        <f>'Niveau 1-SommExec'!B13</f>
        <v>Présent ?</v>
      </c>
      <c r="C17" s="435" t="str">
        <f>'Niveau 1-SommExec'!C13</f>
        <v>Présent ?</v>
      </c>
      <c r="D17" s="435" t="str">
        <f>'Niveau 1-SommExec'!D13</f>
        <v>Présent ?</v>
      </c>
      <c r="E17" s="435" t="str">
        <f>'Niveau 1-SommExec'!E13</f>
        <v>Présent ?</v>
      </c>
      <c r="F17" s="435" t="str">
        <f>'Niveau 1-SommExec'!F13</f>
        <v>Présent ?</v>
      </c>
      <c r="G17" s="435" t="str">
        <f>'Niveau 1-SommExec'!G13</f>
        <v>Présent ?</v>
      </c>
      <c r="H17" s="435" t="str">
        <f>'Niveau 1-SommExec'!H13</f>
        <v>Présent ?</v>
      </c>
    </row>
    <row r="18" spans="1:18">
      <c r="A18" s="373" t="s">
        <v>1085</v>
      </c>
      <c r="B18" s="435" t="str">
        <f>'Niveau 1-SommExec'!B14</f>
        <v>Présent ?</v>
      </c>
      <c r="C18" s="435" t="str">
        <f>'Niveau 1-SommExec'!C14</f>
        <v>Présent ?</v>
      </c>
      <c r="D18" s="435" t="str">
        <f>'Niveau 1-SommExec'!D14</f>
        <v>Présent ?</v>
      </c>
      <c r="E18" s="435" t="str">
        <f>'Niveau 1-SommExec'!E14</f>
        <v>Présent ?</v>
      </c>
      <c r="F18" s="435" t="str">
        <f>'Niveau 1-SommExec'!F14</f>
        <v>Présent ?</v>
      </c>
      <c r="G18" s="435" t="str">
        <f>'Niveau 1-SommExec'!G14</f>
        <v>Présent ?</v>
      </c>
      <c r="H18" s="435" t="str">
        <f>'Niveau 1-SommExec'!H14</f>
        <v>Présent ?</v>
      </c>
    </row>
    <row r="19" spans="1:18">
      <c r="A19" s="373" t="s">
        <v>1086</v>
      </c>
      <c r="B19" s="435" t="str">
        <f>'Niveau 1-SommExec'!B15</f>
        <v>Présent ?</v>
      </c>
      <c r="C19" s="435" t="str">
        <f>'Niveau 1-SommExec'!C15</f>
        <v>Présent ?</v>
      </c>
      <c r="D19" s="435" t="str">
        <f>'Niveau 1-SommExec'!D15</f>
        <v>Présent ?</v>
      </c>
      <c r="E19" s="435" t="str">
        <f>'Niveau 1-SommExec'!E15</f>
        <v>Présent ?</v>
      </c>
      <c r="F19" s="435" t="str">
        <f>'Niveau 1-SommExec'!F15</f>
        <v>Présent ?</v>
      </c>
      <c r="G19" s="435" t="str">
        <f>'Niveau 1-SommExec'!G15</f>
        <v>Présent ?</v>
      </c>
      <c r="H19" s="435" t="str">
        <f>'Niveau 1-SommExec'!H15</f>
        <v>Présent ?</v>
      </c>
    </row>
    <row r="20" spans="1:18">
      <c r="A20" s="373" t="s">
        <v>1087</v>
      </c>
      <c r="B20" s="435" t="str">
        <f>IF(OR('Niveau 1- Sommaire général'!E61=pres,'Niveau 1- Sommaire général'!E62=pres,'Niveau 1- Sommaire général'!E63=pres,'Niveau 1- Sommaire général'!E64=pres,'Niveau 1- Sommaire général'!E65=pres),pres,0.1*SUM('Niveau 1- Sommaire général'!E61:E65))</f>
        <v>Présent ?</v>
      </c>
      <c r="C20" s="435" t="str">
        <f>'Niveau 1-SommExec'!C16</f>
        <v>Présent ?</v>
      </c>
      <c r="D20" s="435" t="str">
        <f>'Niveau 1-SommExec'!D16</f>
        <v>Présent ?</v>
      </c>
      <c r="E20" s="435" t="str">
        <f>'Niveau 1-SommExec'!E16</f>
        <v>Présent ?</v>
      </c>
      <c r="F20" s="435" t="str">
        <f>'Niveau 1-SommExec'!F16</f>
        <v>Présent ?</v>
      </c>
      <c r="G20" s="435" t="str">
        <f>'Niveau 1-SommExec'!G16</f>
        <v>Présent ?</v>
      </c>
      <c r="H20" s="435" t="str">
        <f>'Niveau 1-SommExec'!H16</f>
        <v>Présent ?</v>
      </c>
    </row>
    <row r="21" spans="1:18">
      <c r="A21" s="373" t="s">
        <v>1088</v>
      </c>
      <c r="B21" s="435">
        <f>0.1*IF(OR('Niveau 1- Sommaire général'!E67="-",'Niveau 1- Sommaire général'!E67=que, 'Niveau 1- Sommaire général'!E67=pres),0,'Niveau 1- Sommaire général'!E67)</f>
        <v>0</v>
      </c>
      <c r="C21" s="435" t="str">
        <f>'Niveau 1-SommExec'!C17</f>
        <v>Présent ?</v>
      </c>
      <c r="D21" s="435" t="str">
        <f>'Niveau 1-SommExec'!D17</f>
        <v>Présent ?</v>
      </c>
      <c r="E21" s="435" t="str">
        <f>'Niveau 1-SommExec'!E17</f>
        <v>Présent ?</v>
      </c>
      <c r="F21" s="435" t="str">
        <f>IF('Niveau 1- Sommaire général'!I67="-",0,'Niveau 1- Sommaire général'!I67)</f>
        <v>Présent ?</v>
      </c>
      <c r="G21" s="435" t="str">
        <f>IF('Niveau 1- Sommaire général'!J67="-",0,'Niveau 1- Sommaire général'!J67)</f>
        <v>Présent ?</v>
      </c>
      <c r="H21" s="435" t="str">
        <f>IF('Niveau 1- Sommaire général'!K67="-",0,'Niveau 1- Sommaire général'!K67)</f>
        <v>Présent ?</v>
      </c>
    </row>
    <row r="22" spans="1:18">
      <c r="A22" s="373" t="s">
        <v>1089</v>
      </c>
      <c r="B22" s="616">
        <f>0.1*IF(OR('Etape5-Trait.+recyclage déchets'!F27="-",'Etape5-Trait.+recyclage déchets'!F27=que, 'Etape5-Trait.+recyclage déchets'!F27=pres),0,'Etape5-Trait.+recyclage déchets'!F27)</f>
        <v>0</v>
      </c>
      <c r="C22" s="435" t="str">
        <f>'Niveau 1-SommExec'!C18</f>
        <v>Présent ?</v>
      </c>
      <c r="D22" s="435" t="str">
        <f>'Niveau 1-SommExec'!D18</f>
        <v>Présent ?</v>
      </c>
      <c r="E22" s="435" t="str">
        <f>'Niveau 1-SommExec'!E18</f>
        <v>Présent ?</v>
      </c>
      <c r="F22" s="616" t="str">
        <f>IF('Etape5-Trait.+recyclage déchets'!J27="-",0,'Etape5-Trait.+recyclage déchets'!J27)</f>
        <v>Présent ?</v>
      </c>
      <c r="G22" s="616" t="str">
        <f>IF('Etape5-Trait.+recyclage déchets'!K27="-",0,'Etape5-Trait.+recyclage déchets'!K27)</f>
        <v>Présent ?</v>
      </c>
      <c r="H22" s="616" t="str">
        <f>IF('Etape5-Trait.+recyclage déchets'!L27="-",0,'Etape5-Trait.+recyclage déchets'!L27)</f>
        <v>Présent ?</v>
      </c>
    </row>
    <row r="23" spans="1:18">
      <c r="A23" s="373" t="s">
        <v>1090</v>
      </c>
      <c r="B23" s="616">
        <f>0*IF(OR('Etape5-Trait.+recyclage déchets'!F29="-",'Etape5-Trait.+recyclage déchets'!F29=que, 'Etape5-Trait.+recyclage déchets'!F29=pres),0,'Etape5-Trait.+recyclage déchets'!F29)</f>
        <v>0</v>
      </c>
      <c r="C23" s="435" t="str">
        <f>'Niveau 1-SommExec'!C19</f>
        <v>Présent ?</v>
      </c>
      <c r="D23" s="435" t="str">
        <f>'Niveau 1-SommExec'!D19</f>
        <v>Présent ?</v>
      </c>
      <c r="E23" s="435" t="str">
        <f>'Niveau 1-SommExec'!E19</f>
        <v>Présent ?</v>
      </c>
      <c r="F23" s="435" t="str">
        <f>'Niveau 1-SommExec'!F19</f>
        <v>Présent ?</v>
      </c>
      <c r="G23" s="435" t="str">
        <f>'Niveau 1-SommExec'!G19</f>
        <v>Présent ?</v>
      </c>
      <c r="H23" s="435" t="str">
        <f>'Niveau 1-SommExec'!H19</f>
        <v>Présent ?</v>
      </c>
    </row>
    <row r="24" spans="1:18">
      <c r="A24" s="373" t="s">
        <v>1091</v>
      </c>
      <c r="B24" s="435" t="str">
        <f>IF(OR('Niveau 1- Sommaire général'!E71=pres,'Niveau 1- Sommaire général'!E72=pres),pres,SUM('Niveau 1- Sommaire général'!E71:E72))</f>
        <v>Présent ?</v>
      </c>
      <c r="C24" s="435" t="str">
        <f>'Niveau 1-SommExec'!C20</f>
        <v>Présent ?</v>
      </c>
      <c r="D24" s="435" t="str">
        <f>'Niveau 1-SommExec'!D20</f>
        <v>Présent ?</v>
      </c>
      <c r="E24" s="435" t="str">
        <f>'Niveau 1-SommExec'!E20</f>
        <v>Présent ?</v>
      </c>
      <c r="F24" s="435" t="str">
        <f>'Niveau 1-SommExec'!F20</f>
        <v>Présent ?</v>
      </c>
      <c r="G24" s="435" t="str">
        <f>'Niveau 1-SommExec'!G20</f>
        <v>Présent ?</v>
      </c>
      <c r="H24" s="435" t="str">
        <f>'Niveau 1-SommExec'!H20</f>
        <v>Présent ?</v>
      </c>
    </row>
    <row r="25" spans="1:18" s="355" customFormat="1" ht="13">
      <c r="A25" s="265" t="s">
        <v>1092</v>
      </c>
      <c r="B25" s="427">
        <f>ROUND(SUM(B8:B24),-1)</f>
        <v>0</v>
      </c>
      <c r="C25" s="427">
        <f>ROUND(SUM(C8:C24),-1)</f>
        <v>0</v>
      </c>
      <c r="D25" s="427">
        <f>ROUND(SUM(D8:D24)-IF(OR(D23="-",D23=que,D23=pres),0,D23),-1)</f>
        <v>0</v>
      </c>
      <c r="E25" s="427">
        <f>ROUND(SUM(E8:E24)-IF(OR(E22="-", E22=que, E22=pres),0,E22),-1)</f>
        <v>0</v>
      </c>
      <c r="F25" s="427">
        <f>ROUND(SUM(F8:F24),-1)</f>
        <v>0</v>
      </c>
      <c r="G25" s="427">
        <f>ROUND(SUM(G8:G24),-1)</f>
        <v>0</v>
      </c>
      <c r="H25" s="427">
        <f>ROUND(SUM(H8:H24),-1)</f>
        <v>0</v>
      </c>
      <c r="J25" s="338"/>
      <c r="K25" s="338"/>
      <c r="L25" s="338"/>
      <c r="M25" s="338"/>
      <c r="N25" s="338"/>
      <c r="O25" s="338"/>
      <c r="P25" s="338"/>
      <c r="Q25" s="338"/>
      <c r="R25" s="338"/>
    </row>
    <row r="26" spans="1:18" s="355" customFormat="1" ht="13">
      <c r="A26" s="464"/>
      <c r="B26" s="465"/>
      <c r="C26" s="465"/>
      <c r="D26" s="465"/>
      <c r="E26" s="465"/>
      <c r="F26" s="465"/>
      <c r="G26" s="465"/>
      <c r="H26" s="465"/>
    </row>
    <row r="27" spans="1:18" ht="13">
      <c r="A27" s="540" t="s">
        <v>1202</v>
      </c>
      <c r="B27" s="322"/>
    </row>
    <row r="28" spans="1:18">
      <c r="A28" s="790" t="s">
        <v>1203</v>
      </c>
    </row>
    <row r="29" spans="1:18">
      <c r="A29" s="620" t="s">
        <v>1204</v>
      </c>
    </row>
    <row r="30" spans="1:18">
      <c r="A30" s="620" t="s">
        <v>1205</v>
      </c>
    </row>
    <row r="31" spans="1:18">
      <c r="A31" s="790" t="s">
        <v>1206</v>
      </c>
    </row>
    <row r="32" spans="1:18">
      <c r="A32" s="790" t="s">
        <v>1207</v>
      </c>
    </row>
    <row r="33" spans="1:6">
      <c r="A33" s="790" t="s">
        <v>1208</v>
      </c>
    </row>
    <row r="34" spans="1:6">
      <c r="A34" s="790" t="s">
        <v>1209</v>
      </c>
    </row>
    <row r="35" spans="1:6">
      <c r="A35" s="790" t="s">
        <v>1210</v>
      </c>
    </row>
    <row r="36" spans="1:6">
      <c r="A36" s="790" t="s">
        <v>1211</v>
      </c>
    </row>
    <row r="37" spans="1:6">
      <c r="A37" s="790" t="s">
        <v>1212</v>
      </c>
    </row>
    <row r="38" spans="1:6">
      <c r="A38" s="790" t="s">
        <v>1213</v>
      </c>
      <c r="F38" s="322"/>
    </row>
    <row r="39" spans="1:6">
      <c r="A39" s="790" t="s">
        <v>1214</v>
      </c>
    </row>
    <row r="40" spans="1:6">
      <c r="A40" s="620" t="s">
        <v>1215</v>
      </c>
    </row>
    <row r="41" spans="1:6">
      <c r="A41" s="620" t="s">
        <v>1226</v>
      </c>
    </row>
    <row r="42" spans="1:6" ht="13">
      <c r="A42" s="540" t="s">
        <v>1216</v>
      </c>
    </row>
    <row r="43" spans="1:6" ht="13">
      <c r="A43" s="540" t="s">
        <v>1217</v>
      </c>
    </row>
    <row r="45" spans="1:6">
      <c r="A45" s="322" t="s">
        <v>745</v>
      </c>
    </row>
  </sheetData>
  <sheetProtection algorithmName="SHA-512" hashValue="xguxF6nXCILiX0HDzxP/SjF0BSgW46tUHe/uPX1/iCBJgO+NKI1jM9LsDk/PhwukSWp2ZXhzfE6vdySAo/m4cw==" saltValue="nG4GNHa9QwTogjA00oiWZQ==" spinCount="100000" sheet="1" scenarios="1"/>
  <mergeCells count="2">
    <mergeCell ref="B6:B7"/>
    <mergeCell ref="C6:H6"/>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F79"/>
  <sheetViews>
    <sheetView workbookViewId="0">
      <selection activeCell="H27" sqref="H27"/>
    </sheetView>
  </sheetViews>
  <sheetFormatPr defaultColWidth="9.1796875" defaultRowHeight="12.5"/>
  <cols>
    <col min="1" max="1" width="48.453125" style="338" customWidth="1"/>
    <col min="2" max="2" width="16.6328125" style="359" customWidth="1"/>
    <col min="3" max="16384" width="9.1796875" style="338"/>
  </cols>
  <sheetData>
    <row r="1" spans="1:2" ht="13.5" thickBot="1">
      <c r="A1" s="355" t="s">
        <v>1093</v>
      </c>
      <c r="B1" s="356"/>
    </row>
    <row r="2" spans="1:2" s="360" customFormat="1" ht="13" thickBot="1">
      <c r="A2" s="770" t="s">
        <v>867</v>
      </c>
      <c r="B2" s="771" t="s">
        <v>868</v>
      </c>
    </row>
    <row r="3" spans="1:2" ht="13">
      <c r="A3" s="413"/>
      <c r="B3" s="343" t="str">
        <f>quest</f>
        <v>O/N/?</v>
      </c>
    </row>
    <row r="4" spans="1:2" ht="13">
      <c r="A4" s="389" t="str">
        <f>'Etape 2-Energie'!A4</f>
        <v>Consommation énergétique</v>
      </c>
      <c r="B4" s="372"/>
    </row>
    <row r="5" spans="1:2">
      <c r="A5" s="263" t="str">
        <f>'Etape 2-Energie'!A5</f>
        <v>Combustion de charbon issue de centrales électriques</v>
      </c>
      <c r="B5" s="268" t="str">
        <f>IF(OR('Etape 2-Energie'!B5=yes,'Etape 2-Energie'!B5=no,'Etape 2-Energie'!B5=que),'Etape 2-Energie'!B5,  pres)</f>
        <v>Présent ?</v>
      </c>
    </row>
    <row r="6" spans="1:2">
      <c r="A6" s="263" t="str">
        <f>'Etape 2-Energie'!A8</f>
        <v>Chaudières industrielles alimentées au charbon</v>
      </c>
      <c r="B6" s="268" t="str">
        <f>IF(OR('Etape 2-Energie'!B8=yes,'Etape 2-Energie'!B8=no,'Etape 2-Energie'!B8=que),'Etape 2-Energie'!B8,  pres)</f>
        <v>Présent ?</v>
      </c>
    </row>
    <row r="7" spans="1:2">
      <c r="A7" s="263" t="str">
        <f>'Etape 2-Energie'!A11</f>
        <v>Autres utilisations de charbon</v>
      </c>
      <c r="B7" s="268" t="str">
        <f>IF(OR('Etape 2-Energie'!B11=yes,'Etape 2-Energie'!B11=no,'Etape 2-Energie'!B11=que),'Etape 2-Energie'!B11,  pres)</f>
        <v>Présent ?</v>
      </c>
    </row>
    <row r="8" spans="1:2" ht="25">
      <c r="A8" s="263" t="str">
        <f>'Etape 2-Energie'!A12</f>
        <v>Combustion/utilisation du coke de pétrole et de pétrole brut lourd</v>
      </c>
      <c r="B8" s="268" t="str">
        <f>IF(OR('Etape 2-Energie'!B12=yes,'Etape 2-Energie'!B12=no,'Etape 2-Energie'!B12=que),'Etape 2-Energie'!B12,  pres)</f>
        <v>Présent ?</v>
      </c>
    </row>
    <row r="9" spans="1:2" ht="25">
      <c r="A9" s="263" t="str">
        <f>'Etape 2-Energie'!A15</f>
        <v>Combustion/utilisation de diesel, gasoil, pétrole, kérosène, GPL et d'autres distillats légers à moyens</v>
      </c>
      <c r="B9" s="268" t="str">
        <f>IF(OR('Etape 2-Energie'!B15=yes,'Etape 2-Energie'!B15=no,'Etape 2-Energie'!B15=que),'Etape 2-Energie'!B15,  pres)</f>
        <v>Présent ?</v>
      </c>
    </row>
    <row r="10" spans="1:2">
      <c r="A10" s="263" t="str">
        <f>'Etape 2-Energie'!A18</f>
        <v>Utilisation de gaz naturel brut ou purifié au préalable</v>
      </c>
      <c r="B10" s="268" t="str">
        <f>IF(OR('Etape 2-Energie'!B18=yes,'Etape 2-Energie'!B18=no,'Etape 2-Energie'!B18=que),'Etape 2-Energie'!B18,  pres)</f>
        <v>Présent ?</v>
      </c>
    </row>
    <row r="11" spans="1:2">
      <c r="A11" s="263" t="str">
        <f>'Etape 2-Energie'!A19</f>
        <v>Utilisation de gaz riche (qualité pour les consommateurs)</v>
      </c>
      <c r="B11" s="268" t="str">
        <f>IF(OR('Etape 2-Energie'!B19=yes,'Etape 2-Energie'!B19=no,'Etape 2-Energie'!B19=que),'Etape 2-Energie'!B19,  pres)</f>
        <v>Présent ?</v>
      </c>
    </row>
    <row r="12" spans="1:2" ht="25">
      <c r="A12" s="263" t="str">
        <f>'Etape 2-Energie'!A20</f>
        <v>Production électrique et thermique par combustion de biomasse</v>
      </c>
      <c r="B12" s="268" t="str">
        <f>IF(OR('Etape 2-Energie'!B20=yes,'Etape 2-Energie'!B20=no,'Etape 2-Energie'!B20=que),'Etape 2-Energie'!B20,  pres)</f>
        <v>Présent ?</v>
      </c>
    </row>
    <row r="13" spans="1:2">
      <c r="A13" s="263" t="str">
        <f>'Etape 2-Energie'!A21</f>
        <v>Combustion de charbon de bois</v>
      </c>
      <c r="B13" s="268" t="str">
        <f>IF(OR('Etape 2-Energie'!B21=yes,'Etape 2-Energie'!B21=no,'Etape 2-Energie'!B21=que),'Etape 2-Energie'!B21,  pres)</f>
        <v>Présent ?</v>
      </c>
    </row>
    <row r="14" spans="1:2" ht="13">
      <c r="A14" s="389" t="str">
        <f>'Etape 2-Energie'!A23</f>
        <v>Production de carburant</v>
      </c>
      <c r="B14" s="303"/>
    </row>
    <row r="15" spans="1:2">
      <c r="A15" s="263" t="str">
        <f>'Etape 2-Energie'!A24</f>
        <v>Extraction de pétrole</v>
      </c>
      <c r="B15" s="268" t="str">
        <f>IF(OR('Etape 2-Energie'!B24=yes,'Etape 2-Energie'!B24=no,'Etape 2-Energie'!B24=que),'Etape 2-Energie'!B24,  pres)</f>
        <v>Présent ?</v>
      </c>
    </row>
    <row r="16" spans="1:2">
      <c r="A16" s="263" t="str">
        <f>'Etape 2-Energie'!A25</f>
        <v>Raffinage du pétrole</v>
      </c>
      <c r="B16" s="268" t="str">
        <f>IF(OR('Etape 2-Energie'!B25=yes,'Etape 2-Energie'!B25=no,'Etape 2-Energie'!B25=que),'Etape 2-Energie'!B25,  pres)</f>
        <v>Présent ?</v>
      </c>
    </row>
    <row r="17" spans="1:2">
      <c r="A17" s="263" t="str">
        <f>'Etape 2-Energie'!A26</f>
        <v>Extraction et traitement du gaz naturel</v>
      </c>
      <c r="B17" s="268" t="str">
        <f>IF(OR('Etape 2-Energie'!B26=yes,'Etape 2-Energie'!B26=no,'Etape 2-Energie'!B26=que),'Etape 2-Energie'!B26,  pres)</f>
        <v>Présent ?</v>
      </c>
    </row>
    <row r="18" spans="1:2" ht="13">
      <c r="A18" s="389" t="str">
        <f>'Etape 3-Métaux-MatPre'!A5</f>
        <v>Production de métaux primaires</v>
      </c>
      <c r="B18" s="303"/>
    </row>
    <row r="19" spans="1:2">
      <c r="A19" s="263" t="str">
        <f>'Etape 3-Métaux-MatPre'!A6</f>
        <v>Extraction et transformation initiale du mercure (primaire)</v>
      </c>
      <c r="B19" s="268" t="str">
        <f>IF(OR('Etape 3-Métaux-MatPre'!B6=yes,'Etape 3-Métaux-MatPre'!B6=no,'Etape 3-Métaux-MatPre'!B6=que),'Etape 3-Métaux-MatPre'!B6,  pres)</f>
        <v>Présent ?</v>
      </c>
    </row>
    <row r="20" spans="1:2">
      <c r="A20" s="263" t="str">
        <f>'Etape 3-Métaux-MatPre'!A7</f>
        <v>Production de zinc à partir de concentrés</v>
      </c>
      <c r="B20" s="268" t="str">
        <f>IF(OR('Etape 3-Métaux-MatPre'!B7=yes,'Etape 3-Métaux-MatPre'!B7=no,'Etape 3-Métaux-MatPre'!B7=que),'Etape 3-Métaux-MatPre'!B7,  pres)</f>
        <v>Présent ?</v>
      </c>
    </row>
    <row r="21" spans="1:2">
      <c r="A21" s="263" t="str">
        <f>'Etape 3-Métaux-MatPre'!A10</f>
        <v>Production de cuivre à partir de concentrés</v>
      </c>
      <c r="B21" s="268" t="str">
        <f>IF(OR('Etape 3-Métaux-MatPre'!B10=yes,'Etape 3-Métaux-MatPre'!B10=no,'Etape 3-Métaux-MatPre'!B10=que),'Etape 3-Métaux-MatPre'!B10,  pres)</f>
        <v>Présent ?</v>
      </c>
    </row>
    <row r="22" spans="1:2">
      <c r="A22" s="263" t="str">
        <f>'Etape 3-Métaux-MatPre'!A13</f>
        <v>Production de plomb à partir de concentrés</v>
      </c>
      <c r="B22" s="268" t="str">
        <f>IF(OR('Etape 3-Métaux-MatPre'!B13=yes,'Etape 3-Métaux-MatPre'!B13=no,'Etape 3-Métaux-MatPre'!B13=que),'Etape 3-Métaux-MatPre'!B13,  pres)</f>
        <v>Présent ?</v>
      </c>
    </row>
    <row r="23" spans="1:2" ht="25">
      <c r="A23" s="263" t="str">
        <f>'Etape 3-Métaux-MatPre'!A16</f>
        <v>Extraction de l'or par des méthodes autres que l'amalgamation au mercure</v>
      </c>
      <c r="B23" s="268" t="str">
        <f>IF(OR('Etape 3-Métaux-MatPre'!B16=yes,'Etape 3-Métaux-MatPre'!B16=no,'Etape 3-Métaux-MatPre'!B16=que),'Etape 3-Métaux-MatPre'!B16,  pres)</f>
        <v>Présent ?</v>
      </c>
    </row>
    <row r="24" spans="1:2" ht="25">
      <c r="A24" s="263" t="str">
        <f>'Etape 3-Métaux-MatPre'!A17</f>
        <v>Production d'alumine à partir de la bauxite (production d'aluminium)</v>
      </c>
      <c r="B24" s="268" t="str">
        <f>IF(OR('Etape 3-Métaux-MatPre'!B17=yes,'Etape 3-Métaux-MatPre'!B17=no,'Etape 3-Métaux-MatPre'!B17=que),'Etape 3-Métaux-MatPre'!B17,  pres)</f>
        <v>Présent ?</v>
      </c>
    </row>
    <row r="25" spans="1:2" ht="25">
      <c r="A25" s="263" t="str">
        <f>'Etape 3-Métaux-MatPre'!A18</f>
        <v>Production de métal ferreux de première fusion (production de fonte)</v>
      </c>
      <c r="B25" s="268" t="str">
        <f>IF(OR('Etape 3-Métaux-MatPre'!B18=yes,'Etape 3-Métaux-MatPre'!B18=no,'Etape 3-Métaux-MatPre'!B18=que),'Etape 3-Métaux-MatPre'!B18,  pres)</f>
        <v>Présent ?</v>
      </c>
    </row>
    <row r="26" spans="1:2" ht="25">
      <c r="A26" s="263" t="str">
        <f>'Etape 3-Métaux-MatPre'!A19</f>
        <v>Extraction de l'or par amalgamation au mercure- à partir du minerai brut/entier</v>
      </c>
      <c r="B26" s="268" t="str">
        <f>IF(OR('Etape 3-Métaux-MatPre'!B19=yes,'Etape 3-Métaux-MatPre'!B19=no,'Etape 3-Métaux-MatPre'!B19=que),'Etape 3-Métaux-MatPre'!B19,  pres)</f>
        <v>Présent ?</v>
      </c>
    </row>
    <row r="27" spans="1:2" ht="25">
      <c r="A27" s="263" t="str">
        <f>'Etape 3-Métaux-MatPre'!A22</f>
        <v>Extraction de l'or par amalgamation au mercure- à partir de concentrés</v>
      </c>
      <c r="B27" s="268" t="str">
        <f>IF(OR('Etape 3-Métaux-MatPre'!B22=yes,'Etape 3-Métaux-MatPre'!B22=no,'Etape 3-Métaux-MatPre'!B22=que),'Etape 3-Métaux-MatPre'!B22,  pres)</f>
        <v>Présent ?</v>
      </c>
    </row>
    <row r="28" spans="1:2" ht="13">
      <c r="A28" s="389" t="str">
        <f>'Etape 3-Métaux-MatPre'!A25</f>
        <v>Autres productions de matériaux</v>
      </c>
      <c r="B28" s="303"/>
    </row>
    <row r="29" spans="1:2">
      <c r="A29" s="263" t="str">
        <f>'Etape 3-Métaux-MatPre'!A26</f>
        <v>Production de ciment</v>
      </c>
      <c r="B29" s="268" t="str">
        <f>IF(OR('Etape 3-Métaux-MatPre'!B26=yes,'Etape 3-Métaux-MatPre'!B26=no,'Etape 3-Métaux-MatPre'!B26=que),'Etape 3-Métaux-MatPre'!B26,  pres)</f>
        <v>Présent ?</v>
      </c>
    </row>
    <row r="30" spans="1:2">
      <c r="A30" s="263" t="str">
        <f>'Etape 3-Métaux-MatPre'!A31</f>
        <v>Production de pulpe et de papier</v>
      </c>
      <c r="B30" s="268" t="str">
        <f>IF(OR('Etape 3-Métaux-MatPre'!B31=yes,'Etape 3-Métaux-MatPre'!B31=no,'Etape 3-Métaux-MatPre'!B31=que),'Etape 3-Métaux-MatPre'!B31,  pres)</f>
        <v>Présent ?</v>
      </c>
    </row>
    <row r="31" spans="1:2" ht="13">
      <c r="A31" s="389" t="str">
        <f>'Etape 4-Utilis. Industrielle Hg'!A4</f>
        <v>Production de produits chimiques</v>
      </c>
      <c r="B31" s="303"/>
    </row>
    <row r="32" spans="1:2" ht="25">
      <c r="A32" s="263" t="str">
        <f>'Etape 4-Utilis. Industrielle Hg'!A5</f>
        <v>Production de chlore et de soude caustique avec cellules à mercure</v>
      </c>
      <c r="B32" s="268" t="str">
        <f>IF(OR('Etape 4-Utilis. Industrielle Hg'!B5=yes,'Etape 4-Utilis. Industrielle Hg'!B5=no,'Etape 4-Utilis. Industrielle Hg'!B5=que),'Etape 4-Utilis. Industrielle Hg'!B5,  pres)</f>
        <v>Présent ?</v>
      </c>
    </row>
    <row r="33" spans="1:2">
      <c r="A33" s="263" t="str">
        <f>'Etape 4-Utilis. Industrielle Hg'!A6</f>
        <v>Production de CVM avec catalyseur au mercure</v>
      </c>
      <c r="B33" s="268" t="str">
        <f>IF(OR('Etape 4-Utilis. Industrielle Hg'!B6=yes,'Etape 4-Utilis. Industrielle Hg'!B6=no,'Etape 4-Utilis. Industrielle Hg'!B6=que),'Etape 4-Utilis. Industrielle Hg'!B6,  pres)</f>
        <v>Présent ?</v>
      </c>
    </row>
    <row r="34" spans="1:2">
      <c r="A34" s="263" t="str">
        <f>'Etape 4-Utilis. Industrielle Hg'!A7</f>
        <v>Production d'acétaldéhyde avec catalyseur au mercure</v>
      </c>
      <c r="B34" s="268" t="str">
        <f>IF(OR('Etape 4-Utilis. Industrielle Hg'!B7=yes,'Etape 4-Utilis. Industrielle Hg'!B7=no,'Etape 4-Utilis. Industrielle Hg'!B7=que),'Etape 4-Utilis. Industrielle Hg'!B7,  pres)</f>
        <v>Présent ?</v>
      </c>
    </row>
    <row r="35" spans="1:2" ht="13">
      <c r="A35" s="389" t="str">
        <f>'Etape 4-Utilis. Industrielle Hg'!A9</f>
        <v>Production de produits avec des teneurs en mercure</v>
      </c>
      <c r="B35" s="303"/>
    </row>
    <row r="36" spans="1:2" ht="25">
      <c r="A36" s="263" t="str">
        <f>'Etape 4-Utilis. Industrielle Hg'!A10</f>
        <v>Thermomètres au mercure (médical, air, laboratoire, industriel etc.)</v>
      </c>
      <c r="B36" s="268" t="str">
        <f>IF(OR('Etape 4-Utilis. Industrielle Hg'!B10=yes,'Etape 4-Utilis. Industrielle Hg'!B10=no,'Etape 4-Utilis. Industrielle Hg'!B10=que),'Etape 4-Utilis. Industrielle Hg'!B10,  pres)</f>
        <v>Présent ?</v>
      </c>
    </row>
    <row r="37" spans="1:2">
      <c r="A37" s="263" t="str">
        <f>'Etape 4-Utilis. Industrielle Hg'!A11</f>
        <v>Commutateurs et relais électriques avec du mercure</v>
      </c>
      <c r="B37" s="268" t="str">
        <f>IF(OR('Etape 4-Utilis. Industrielle Hg'!B11=yes,'Etape 4-Utilis. Industrielle Hg'!B11=no,'Etape 4-Utilis. Industrielle Hg'!B11=que),'Etape 4-Utilis. Industrielle Hg'!B11,  pres)</f>
        <v>Présent ?</v>
      </c>
    </row>
    <row r="38" spans="1:2" ht="25">
      <c r="A38" s="263" t="str">
        <f>'Etape 4-Utilis. Industrielle Hg'!A12</f>
        <v>Sources de lumière au mercure (fluorescent, compact, autres : voir guide)</v>
      </c>
      <c r="B38" s="268" t="str">
        <f>IF(OR('Etape 4-Utilis. Industrielle Hg'!B12=yes,'Etape 4-Utilis. Industrielle Hg'!B12=no,'Etape 4-Utilis. Industrielle Hg'!B12=que),'Etape 4-Utilis. Industrielle Hg'!B12,  pres)</f>
        <v>Présent ?</v>
      </c>
    </row>
    <row r="39" spans="1:2">
      <c r="A39" s="263" t="str">
        <f>'Etape 4-Utilis. Industrielle Hg'!A13</f>
        <v>Piles au mercure</v>
      </c>
      <c r="B39" s="268" t="str">
        <f>IF(OR('Etape 4-Utilis. Industrielle Hg'!B13=yes,'Etape 4-Utilis. Industrielle Hg'!B13=no,'Etape 4-Utilis. Industrielle Hg'!B13=que),'Etape 4-Utilis. Industrielle Hg'!B13,  pres)</f>
        <v>Présent ?</v>
      </c>
    </row>
    <row r="40" spans="1:2">
      <c r="A40" s="263" t="str">
        <f>'Etape 4-Utilis. Industrielle Hg'!A14</f>
        <v>Manomètres et jauges au mercure</v>
      </c>
      <c r="B40" s="268" t="str">
        <f>IF(OR('Etape 4-Utilis. Industrielle Hg'!B14=yes,'Etape 4-Utilis. Industrielle Hg'!B14=no,'Etape 4-Utilis. Industrielle Hg'!B14=que),'Etape 4-Utilis. Industrielle Hg'!B14,  pres)</f>
        <v>Présent ?</v>
      </c>
    </row>
    <row r="41" spans="1:2">
      <c r="A41" s="263" t="str">
        <f>'Etape 4-Utilis. Industrielle Hg'!A15</f>
        <v>Biocides et pesticides au mercure</v>
      </c>
      <c r="B41" s="268" t="str">
        <f>IF(OR('Etape 4-Utilis. Industrielle Hg'!B15=yes,'Etape 4-Utilis. Industrielle Hg'!B15=no,'Etape 4-Utilis. Industrielle Hg'!B15=que),'Etape 4-Utilis. Industrielle Hg'!B15,  pres)</f>
        <v>Présent ?</v>
      </c>
    </row>
    <row r="42" spans="1:2">
      <c r="A42" s="263" t="str">
        <f>'Etape 4-Utilis. Industrielle Hg'!A16</f>
        <v>Peintures au mercure</v>
      </c>
      <c r="B42" s="268" t="str">
        <f>IF(OR('Etape 4-Utilis. Industrielle Hg'!B16=yes,'Etape 4-Utilis. Industrielle Hg'!B16=no,'Etape 4-Utilis. Industrielle Hg'!B16=que),'Etape 4-Utilis. Industrielle Hg'!B16,  pres)</f>
        <v>Présent ?</v>
      </c>
    </row>
    <row r="43" spans="1:2" ht="25">
      <c r="A43" s="263" t="str">
        <f>'Etape 4-Utilis. Industrielle Hg'!A17</f>
        <v>Crèmes et savons éclaircissants pour la peau contenant du mercure</v>
      </c>
      <c r="B43" s="268" t="str">
        <f>IF(OR('Etape 4-Utilis. Industrielle Hg'!B17=yes,'Etape 4-Utilis. Industrielle Hg'!B17=no,'Etape 4-Utilis. Industrielle Hg'!B17=que),'Etape 4-Utilis. Industrielle Hg'!B17,  pres)</f>
        <v>Présent ?</v>
      </c>
    </row>
    <row r="44" spans="1:2" ht="26">
      <c r="A44" s="389" t="str">
        <f>'Etape6-Produits-substances Hg'!A6</f>
        <v>Utilisation et élimination de produits avec des teneurs en mercure</v>
      </c>
      <c r="B44" s="303"/>
    </row>
    <row r="45" spans="1:2">
      <c r="A45" s="263" t="str">
        <f>'Etape6-Produits-substances Hg'!A7</f>
        <v>Amalgames dentaires (obturation "argent")</v>
      </c>
      <c r="B45" s="268" t="str">
        <f>IF(OR('Etape6-Produits-substances Hg'!B7=yes,'Etape6-Produits-substances Hg'!B7=no,'Etape6-Produits-substances Hg'!B7=que),'Etape6-Produits-substances Hg'!B7,  pres)</f>
        <v>Présent ?</v>
      </c>
    </row>
    <row r="46" spans="1:2">
      <c r="A46" s="263" t="str">
        <f>'Etape6-Produits-substances Hg'!A15</f>
        <v>Thermomètres</v>
      </c>
      <c r="B46" s="268" t="str">
        <f>IF(OR('Etape6-Produits-substances Hg'!B15=yes,'Etape6-Produits-substances Hg'!B15=no,'Etape6-Produits-substances Hg'!B15=que),'Etape6-Produits-substances Hg'!B15,  pres)</f>
        <v>Présent ?</v>
      </c>
    </row>
    <row r="47" spans="1:2">
      <c r="A47" s="263" t="str">
        <f>'Etape6-Produits-substances Hg'!A20</f>
        <v>Commutateurs et relais électriques contenant du mercure</v>
      </c>
      <c r="B47" s="268" t="str">
        <f>IF(OR('Etape6-Produits-substances Hg'!B20=yes,'Etape6-Produits-substances Hg'!B20=no,'Etape6-Produits-substances Hg'!B20=que),'Etape6-Produits-substances Hg'!B20,  pres)</f>
        <v>Présent ?</v>
      </c>
    </row>
    <row r="48" spans="1:2">
      <c r="A48" s="263" t="str">
        <f>'Etape6-Produits-substances Hg'!A23</f>
        <v>Sources de lumière au mercure</v>
      </c>
      <c r="B48" s="268" t="str">
        <f>IF(OR('Etape6-Produits-substances Hg'!B23=yes,'Etape6-Produits-substances Hg'!B23=no,'Etape6-Produits-substances Hg'!B23=que),'Etape6-Produits-substances Hg'!B23,  pres)</f>
        <v>Présent ?</v>
      </c>
    </row>
    <row r="49" spans="1:2">
      <c r="A49" s="367" t="str">
        <f>'Etape6-Produits-substances Hg'!A28</f>
        <v>Piles contenant du mercure</v>
      </c>
      <c r="B49" s="268" t="str">
        <f>IF(OR('Etape6-Produits-substances Hg'!B28=yes,'Etape6-Produits-substances Hg'!B28=no,'Etape6-Produits-substances Hg'!B28=que),'Etape6-Produits-substances Hg'!B28,  pres)</f>
        <v>Présent ?</v>
      </c>
    </row>
    <row r="50" spans="1:2" ht="25">
      <c r="A50" s="263" t="str">
        <f>'Etape6-Produits-substances Hg'!A33</f>
        <v>Polyuréthane produit (PU, PUR) avec un catalyseur au mercure</v>
      </c>
      <c r="B50" s="268" t="str">
        <f>IF(OR('Etape6-Produits-substances Hg'!B33=yes,'Etape6-Produits-substances Hg'!B33=no,'Etape6-Produits-substances Hg'!B33=que),'Etape6-Produits-substances Hg'!B33,  pres)</f>
        <v>Présent ?</v>
      </c>
    </row>
    <row r="51" spans="1:2">
      <c r="A51" s="263" t="str">
        <f>'Etape6-Produits-substances Hg'!A36</f>
        <v>Peintures avec des conservateurs au mercure</v>
      </c>
      <c r="B51" s="268" t="str">
        <f>IF(OR('Etape6-Produits-substances Hg'!B36=yes,'Etape6-Produits-substances Hg'!B36=no,'Etape6-Produits-substances Hg'!B36=que),'Etape6-Produits-substances Hg'!B36,  pres)</f>
        <v>Présent ?</v>
      </c>
    </row>
    <row r="52" spans="1:2" ht="25">
      <c r="A52" s="263" t="str">
        <f>'Etape6-Produits-substances Hg'!A38</f>
        <v>Crèmes et savons éclaircissants pour la peau contenant du mercure</v>
      </c>
      <c r="B52" s="268" t="str">
        <f>IF(OR('Etape6-Produits-substances Hg'!B38=yes,'Etape6-Produits-substances Hg'!B38=no,'Etape6-Produits-substances Hg'!B38=que),'Etape6-Produits-substances Hg'!B38,  pres)</f>
        <v>Présent ?</v>
      </c>
    </row>
    <row r="53" spans="1:2" ht="25">
      <c r="A53" s="263" t="str">
        <f>'Etape6-Produits-substances Hg'!A40</f>
        <v>Appareil médical servant à mesurer la pression sanguine (tensiomètre au mercure)</v>
      </c>
      <c r="B53" s="268" t="str">
        <f>IF(OR('Etape6-Produits-substances Hg'!B40=yes,'Etape6-Produits-substances Hg'!B40=no,'Etape6-Produits-substances Hg'!B40=que),'Etape6-Produits-substances Hg'!B40,  pres)</f>
        <v>Présent ?</v>
      </c>
    </row>
    <row r="54" spans="1:2">
      <c r="A54" s="263" t="str">
        <f>'Etape6-Produits-substances Hg'!A42</f>
        <v>Autres manomètres et jauges contenant du mercure</v>
      </c>
      <c r="B54" s="268" t="str">
        <f>IF(OR('Etape6-Produits-substances Hg'!B42=yes,'Etape6-Produits-substances Hg'!B42=no,'Etape6-Produits-substances Hg'!B42=que),'Etape6-Produits-substances Hg'!B42,  pres)</f>
        <v>Présent ?</v>
      </c>
    </row>
    <row r="55" spans="1:2">
      <c r="A55" s="263" t="str">
        <f>'Etape6-Produits-substances Hg'!A45</f>
        <v>Produits chimiques de laboratoire</v>
      </c>
      <c r="B55" s="268" t="str">
        <f>IF(OR('Etape6-Produits-substances Hg'!B45=yes,'Etape6-Produits-substances Hg'!B45=no,'Etape6-Produits-substances Hg'!B45=que),'Etape6-Produits-substances Hg'!B45,  pres)</f>
        <v>Présent ?</v>
      </c>
    </row>
    <row r="56" spans="1:2" ht="25">
      <c r="A56" s="263" t="str">
        <f>'Etape6-Produits-substances Hg'!A48</f>
        <v>Autres équipements de laboratoire et médical contenant du mercure</v>
      </c>
      <c r="B56" s="268" t="str">
        <f>IF(OR('Etape6-Produits-substances Hg'!B48=yes,'Etape6-Produits-substances Hg'!B48=no,'Etape6-Produits-substances Hg'!B48=que),'Etape6-Produits-substances Hg'!B48,  pres)</f>
        <v>Présent ?</v>
      </c>
    </row>
    <row r="57" spans="1:2" ht="13">
      <c r="A57" s="389" t="str">
        <f>'Etape5-Trait.+recyclage déchets'!A8</f>
        <v>Production de métal recyclé</v>
      </c>
      <c r="B57" s="303"/>
    </row>
    <row r="58" spans="1:2">
      <c r="A58" s="263" t="str">
        <f>'Etape5-Trait.+recyclage déchets'!A9</f>
        <v>Production de mercure recyclé ("production secondaire”)</v>
      </c>
      <c r="B58" s="268" t="str">
        <f>IF(OR('Etape5-Trait.+recyclage déchets'!B9=yes,'Etape5-Trait.+recyclage déchets'!B9=no,'Etape5-Trait.+recyclage déchets'!B9=que),'Etape5-Trait.+recyclage déchets'!B9,  pres)</f>
        <v>Présent ?</v>
      </c>
    </row>
    <row r="59" spans="1:2">
      <c r="A59" s="263" t="str">
        <f>'Etape5-Trait.+recyclage déchets'!A10</f>
        <v>Production de métaux ferreux recyclés (fer et acier)</v>
      </c>
      <c r="B59" s="268" t="str">
        <f>IF(OR('Etape5-Trait.+recyclage déchets'!B10=yes,'Etape5-Trait.+recyclage déchets'!B10=no,'Etape5-Trait.+recyclage déchets'!B10=que),'Etape5-Trait.+recyclage déchets'!B10,  pres)</f>
        <v>Présent ?</v>
      </c>
    </row>
    <row r="60" spans="1:2" ht="13">
      <c r="A60" s="389" t="str">
        <f>'Etape5-Trait.+recyclage déchets'!A12</f>
        <v>Incinération des déchets</v>
      </c>
      <c r="B60" s="303"/>
    </row>
    <row r="61" spans="1:2">
      <c r="A61" s="263" t="str">
        <f>'Etape5-Trait.+recyclage déchets'!A13</f>
        <v>Incinération des déchets municipaux/généraux</v>
      </c>
      <c r="B61" s="268" t="str">
        <f>IF(OR('Etape5-Trait.+recyclage déchets'!B13=yes,'Etape5-Trait.+recyclage déchets'!B13=no,'Etape5-Trait.+recyclage déchets'!B13=que),'Etape5-Trait.+recyclage déchets'!B13,  pres)</f>
        <v>Présent ?</v>
      </c>
    </row>
    <row r="62" spans="1:2">
      <c r="A62" s="263" t="str">
        <f>'Etape5-Trait.+recyclage déchets'!A16</f>
        <v>Incinération des déchets dangereux</v>
      </c>
      <c r="B62" s="268" t="str">
        <f>IF(OR('Etape5-Trait.+recyclage déchets'!B16=yes,'Etape5-Trait.+recyclage déchets'!B16=no,'Etape5-Trait.+recyclage déchets'!B16=que),'Etape5-Trait.+recyclage déchets'!B16,  pres)</f>
        <v>Présent ?</v>
      </c>
    </row>
    <row r="63" spans="1:2">
      <c r="A63" s="263" t="str">
        <f>'Etape5-Trait.+recyclage déchets'!A19</f>
        <v>Incinération et brûlage à l'air libre des déchets médicaux</v>
      </c>
      <c r="B63" s="268" t="str">
        <f>IF(OR('Etape5-Trait.+recyclage déchets'!B19=yes,'Etape5-Trait.+recyclage déchets'!B19=no,'Etape5-Trait.+recyclage déchets'!B19=que),'Etape5-Trait.+recyclage déchets'!B19,  pres)</f>
        <v>Présent ?</v>
      </c>
    </row>
    <row r="64" spans="1:2">
      <c r="A64" s="263" t="str">
        <f>'Etape5-Trait.+recyclage déchets'!A22</f>
        <v>Incinération des boues d'épuration</v>
      </c>
      <c r="B64" s="268" t="str">
        <f>IF(OR('Etape5-Trait.+recyclage déchets'!B22=yes,'Etape5-Trait.+recyclage déchets'!B22=no,'Etape5-Trait.+recyclage déchets'!B22=que),'Etape5-Trait.+recyclage déchets'!B22,  pres)</f>
        <v>Présent ?</v>
      </c>
    </row>
    <row r="65" spans="1:6" ht="25">
      <c r="A65" s="263" t="str">
        <f>'Etape5-Trait.+recyclage déchets'!A23</f>
        <v>Brûlage des déchets à l'air libre (sur des sites de décharge ou de manière informelle)</v>
      </c>
      <c r="B65" s="268" t="str">
        <f>IF(OR('Etape5-Trait.+recyclage déchets'!B23=yes,'Etape5-Trait.+recyclage déchets'!B23=no,'Etape5-Trait.+recyclage déchets'!B23=que),'Etape5-Trait.+recyclage déchets'!B23,  pres)</f>
        <v>Présent ?</v>
      </c>
    </row>
    <row r="66" spans="1:6" ht="26">
      <c r="A66" s="389" t="str">
        <f>'Etape5-Trait.+recyclage déchets'!A25</f>
        <v>Dépôt/décharge de déchets et traitement des eaux usées</v>
      </c>
      <c r="B66" s="303"/>
    </row>
    <row r="67" spans="1:6">
      <c r="A67" s="263" t="str">
        <f>'Etape5-Trait.+recyclage déchets'!A26</f>
        <v>Décharges/dépôts contôlés</v>
      </c>
      <c r="B67" s="268" t="str">
        <f>IF(OR('Etape5-Trait.+recyclage déchets'!B26=yes,'Etape5-Trait.+recyclage déchets'!B26=no,'Etape5-Trait.+recyclage déchets'!B26=que),'Etape5-Trait.+recyclage déchets'!B26,  pres)</f>
        <v>Présent ?</v>
      </c>
    </row>
    <row r="68" spans="1:6">
      <c r="A68" s="263" t="str">
        <f>'Etape5-Trait.+recyclage déchets'!A27</f>
        <v>Dépôt informel de déchets généraux*1</v>
      </c>
      <c r="B68" s="268" t="str">
        <f>IF(OR('Etape5-Trait.+recyclage déchets'!B27=yes,'Etape5-Trait.+recyclage déchets'!B27=no,'Etape5-Trait.+recyclage déchets'!B27=que),'Etape5-Trait.+recyclage déchets'!B27,  pres)</f>
        <v>Présent ?</v>
      </c>
    </row>
    <row r="69" spans="1:6">
      <c r="A69" s="263" t="str">
        <f>'Etape5-Trait.+recyclage déchets'!A29</f>
        <v>Circuit d'évacuation/traitement des eaux usées</v>
      </c>
      <c r="B69" s="268" t="str">
        <f>IF(OR('Etape5-Trait.+recyclage déchets'!B29=yes,'Etape5-Trait.+recyclage déchets'!B29=no,'Etape5-Trait.+recyclage déchets'!B29=que),'Etape5-Trait.+recyclage déchets'!B29,  pres)</f>
        <v>Présent ?</v>
      </c>
    </row>
    <row r="70" spans="1:6" ht="13">
      <c r="A70" s="389" t="str">
        <f>'Etape7-Crématoriums-cimetières'!A4</f>
        <v>Crématoriums and cimetières</v>
      </c>
      <c r="B70" s="303"/>
    </row>
    <row r="71" spans="1:6">
      <c r="A71" s="263" t="str">
        <f>'Etape7-Crématoriums-cimetières'!A5</f>
        <v>Crématoriums</v>
      </c>
      <c r="B71" s="268" t="str">
        <f>IF(OR('Etape7-Crématoriums-cimetières'!B5=yes,'Etape7-Crématoriums-cimetières'!B5=no,'Etape7-Crématoriums-cimetières'!B5=que),'Etape7-Crématoriums-cimetières'!B5,  pres)</f>
        <v>Présent ?</v>
      </c>
    </row>
    <row r="72" spans="1:6">
      <c r="A72" s="263" t="str">
        <f>'Etape7-Crématoriums-cimetières'!A6</f>
        <v>Cimetières</v>
      </c>
      <c r="B72" s="268" t="str">
        <f>IF(OR('Etape7-Crématoriums-cimetières'!B6=yes,'Etape7-Crématoriums-cimetières'!B6=no,'Etape7-Crématoriums-cimetières'!B6=que),'Etape7-Crématoriums-cimetières'!B6,  pres)</f>
        <v>Présent ?</v>
      </c>
    </row>
    <row r="73" spans="1:6">
      <c r="A73" s="357"/>
      <c r="B73" s="358"/>
    </row>
    <row r="77" spans="1:6">
      <c r="A77" s="373"/>
    </row>
    <row r="79" spans="1:6">
      <c r="F79" s="775"/>
    </row>
  </sheetData>
  <sheetProtection algorithmName="SHA-512" hashValue="/2jlcWEdI5oxmP9ka8Xo4kqBe6qjdpz5gOA0EgR566lzrbp3HgoAad4YcGbx1NN3Uze6VuKuqXNmQkPLDYkmHw==" saltValue="OQGkOW/F7O9QUPYZHHskJA==" spinCount="100000" sheet="1" objects="1" scenarios="1"/>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E82"/>
  <sheetViews>
    <sheetView topLeftCell="A43" workbookViewId="0">
      <selection activeCell="E73" sqref="E73"/>
    </sheetView>
  </sheetViews>
  <sheetFormatPr defaultColWidth="9.1796875" defaultRowHeight="12.5"/>
  <cols>
    <col min="1" max="1" width="46.81640625" style="338" customWidth="1"/>
    <col min="2" max="2" width="10.36328125" style="359" customWidth="1"/>
    <col min="3" max="3" width="13.453125" style="338" customWidth="1"/>
    <col min="4" max="4" width="33.453125" style="338" customWidth="1"/>
    <col min="5" max="5" width="12.453125" style="338" customWidth="1"/>
    <col min="6" max="16384" width="9.1796875" style="338"/>
  </cols>
  <sheetData>
    <row r="1" spans="1:5" ht="13">
      <c r="A1" s="355" t="s">
        <v>1094</v>
      </c>
      <c r="B1" s="356"/>
    </row>
    <row r="2" spans="1:5" s="360" customFormat="1" ht="38.25" customHeight="1">
      <c r="A2" s="263" t="s">
        <v>867</v>
      </c>
      <c r="B2" s="264" t="s">
        <v>868</v>
      </c>
      <c r="C2" s="263"/>
      <c r="D2" s="263"/>
      <c r="E2" s="264" t="s">
        <v>1095</v>
      </c>
    </row>
    <row r="3" spans="1:5" ht="25.5">
      <c r="A3" s="413"/>
      <c r="B3" s="343" t="str">
        <f>quest</f>
        <v>O/N/?</v>
      </c>
      <c r="C3" s="268" t="s">
        <v>869</v>
      </c>
      <c r="D3" s="268" t="s">
        <v>873</v>
      </c>
      <c r="E3" s="264" t="s">
        <v>1096</v>
      </c>
    </row>
    <row r="4" spans="1:5" ht="13">
      <c r="A4" s="389" t="str">
        <f>'Range-thresholds'!A5</f>
        <v>Consommation énergétique</v>
      </c>
      <c r="B4" s="372"/>
      <c r="C4" s="420"/>
      <c r="D4" s="303"/>
      <c r="E4" s="420"/>
    </row>
    <row r="5" spans="1:5">
      <c r="A5" s="263" t="str">
        <f>'Range-thresholds'!A6</f>
        <v>Combustion de charbon issue de centrales électriques</v>
      </c>
      <c r="B5" s="268" t="str">
        <f>IF(OR('Etape 2-Energie'!B5=yes,'Etape 2-Energie'!B5=no,'Etape 2-Energie'!B5=que),'Etape 2-Energie'!B5,  pres)</f>
        <v>Présent ?</v>
      </c>
      <c r="C5" s="423">
        <f>'Niveau 1- Sommaire général'!C5</f>
        <v>0</v>
      </c>
      <c r="D5" s="263" t="str">
        <f>'Etape 2-Energie'!D5</f>
        <v>Charbon brûlé, t/an</v>
      </c>
      <c r="E5" s="423" t="str">
        <f>'Niveau 1- Sommaire général'!E5</f>
        <v>Présent ?</v>
      </c>
    </row>
    <row r="6" spans="1:5">
      <c r="A6" s="263" t="str">
        <f>'Range-thresholds'!A7</f>
        <v>Chaudières industrielles alimentées au charbon</v>
      </c>
      <c r="B6" s="268" t="str">
        <f>IF(OR('Etape 2-Energie'!B8=yes,'Etape 2-Energie'!B8=no,'Etape 2-Energie'!B8=que),'Etape 2-Energie'!B8,  pres)</f>
        <v>Présent ?</v>
      </c>
      <c r="C6" s="423">
        <f>'Niveau 1- Sommaire général'!C6</f>
        <v>0</v>
      </c>
      <c r="D6" s="263" t="str">
        <f>'Etape 2-Energie'!D8</f>
        <v>Charbon brûlé, t/an</v>
      </c>
      <c r="E6" s="423" t="str">
        <f>'Niveau 1- Sommaire général'!E6</f>
        <v>Présent ?</v>
      </c>
    </row>
    <row r="7" spans="1:5">
      <c r="A7" s="263" t="str">
        <f>'Range-thresholds'!A8</f>
        <v>Autres utilisations de charbon</v>
      </c>
      <c r="B7" s="268" t="str">
        <f>IF(OR('Etape 2-Energie'!B11=yes,'Etape 2-Energie'!B11=no,'Etape 2-Energie'!B11=que),'Etape 2-Energie'!B11,  pres)</f>
        <v>Présent ?</v>
      </c>
      <c r="C7" s="423">
        <f>'Niveau 1- Sommaire général'!C7</f>
        <v>0</v>
      </c>
      <c r="D7" s="263" t="str">
        <f>'Etape 2-Energie'!D11</f>
        <v>Charbon utilisé, t/an</v>
      </c>
      <c r="E7" s="423" t="str">
        <f>'Niveau 1- Sommaire général'!E7</f>
        <v>Présent ?</v>
      </c>
    </row>
    <row r="8" spans="1:5" ht="25">
      <c r="A8" s="263" t="str">
        <f>'Range-thresholds'!A9</f>
        <v>Combustion/utilisation du coke de pétrole et de pétrole brut lourd</v>
      </c>
      <c r="B8" s="268" t="str">
        <f>IF(OR('Etape 2-Energie'!B12=yes,'Etape 2-Energie'!B12=no,'Etape 2-Energie'!B12=que),'Etape 2-Energie'!B12,  pres)</f>
        <v>Présent ?</v>
      </c>
      <c r="C8" s="423">
        <f>'Niveau 1- Sommaire général'!C8</f>
        <v>0</v>
      </c>
      <c r="D8" s="263" t="str">
        <f>'Etape 2-Energie'!D12</f>
        <v>Produits pétroliers brûlés, t/an</v>
      </c>
      <c r="E8" s="423" t="str">
        <f>'Niveau 1- Sommaire général'!E8</f>
        <v>Présent ?</v>
      </c>
    </row>
    <row r="9" spans="1:5" ht="25">
      <c r="A9" s="263" t="str">
        <f>'Range-thresholds'!A10</f>
        <v>Combustion/utilisation de diesel, gasoil, pétrole, kérosène, GPL et d'autres distillats légers à moyens</v>
      </c>
      <c r="B9" s="268" t="str">
        <f>IF(OR('Etape 2-Energie'!B15=yes,'Etape 2-Energie'!B15=no,'Etape 2-Energie'!B15=que),'Etape 2-Energie'!B15,  pres)</f>
        <v>Présent ?</v>
      </c>
      <c r="C9" s="423">
        <f>'Niveau 1- Sommaire général'!C9</f>
        <v>0</v>
      </c>
      <c r="D9" s="263" t="str">
        <f>'Etape 2-Energie'!D15</f>
        <v>Produits pétroliers brûlés, t/an</v>
      </c>
      <c r="E9" s="423" t="str">
        <f>'Niveau 1- Sommaire général'!E9</f>
        <v>Présent ?</v>
      </c>
    </row>
    <row r="10" spans="1:5" ht="15.75" customHeight="1">
      <c r="A10" s="263" t="str">
        <f>'Range-thresholds'!A11</f>
        <v>Utilisation de gaz naturel brut ou purifié au préalable</v>
      </c>
      <c r="B10" s="268" t="str">
        <f>IF(OR('Etape 2-Energie'!B18=yes,'Etape 2-Energie'!B18=no,'Etape 2-Energie'!B18=que),'Etape 2-Energie'!B18,  pres)</f>
        <v>Présent ?</v>
      </c>
      <c r="C10" s="423">
        <f>'Niveau 1- Sommaire général'!C10</f>
        <v>0</v>
      </c>
      <c r="D10" s="263" t="str">
        <f>'Etape 2-Energie'!D18</f>
        <v>Gaz utilisé, Nm³/an</v>
      </c>
      <c r="E10" s="423" t="str">
        <f>'Niveau 1- Sommaire général'!E10</f>
        <v>Présent ?</v>
      </c>
    </row>
    <row r="11" spans="1:5" ht="15.75" customHeight="1">
      <c r="A11" s="263" t="str">
        <f>'Range-thresholds'!A12</f>
        <v>Utilisation de gaz riche (qualité pour les consommateurs)</v>
      </c>
      <c r="B11" s="268" t="str">
        <f>IF(OR('Etape 2-Energie'!B19=yes,'Etape 2-Energie'!B19=no,'Etape 2-Energie'!B19=que),'Etape 2-Energie'!B19,  pres)</f>
        <v>Présent ?</v>
      </c>
      <c r="C11" s="423">
        <f>'Niveau 1- Sommaire général'!C11</f>
        <v>0</v>
      </c>
      <c r="D11" s="263" t="str">
        <f>'Etape 2-Energie'!D19</f>
        <v>Gaz utilisé, Nm³/an</v>
      </c>
      <c r="E11" s="423" t="str">
        <f>'Niveau 1- Sommaire général'!E11</f>
        <v>Présent ?</v>
      </c>
    </row>
    <row r="12" spans="1:5" ht="25">
      <c r="A12" s="263" t="str">
        <f>'Range-thresholds'!A13</f>
        <v>Production électrique et thermique par combustion de biomasse</v>
      </c>
      <c r="B12" s="268" t="str">
        <f>IF(OR('Etape 2-Energie'!B20=yes,'Etape 2-Energie'!B20=no,'Etape 2-Energie'!B20=que),'Etape 2-Energie'!B20,  pres)</f>
        <v>Présent ?</v>
      </c>
      <c r="C12" s="423">
        <f>'Niveau 1- Sommaire général'!C12</f>
        <v>0</v>
      </c>
      <c r="D12" s="263" t="str">
        <f>'Etape 2-Energie'!D20</f>
        <v>Charbon de bois brûlé, t/an</v>
      </c>
      <c r="E12" s="423" t="str">
        <f>'Niveau 1- Sommaire général'!E12</f>
        <v>Présent ?</v>
      </c>
    </row>
    <row r="13" spans="1:5">
      <c r="A13" s="263" t="str">
        <f>'Range-thresholds'!A14</f>
        <v>Combustion de charbon de bois</v>
      </c>
      <c r="B13" s="268" t="str">
        <f>IF(OR('Etape 2-Energie'!B21=yes,'Etape 2-Energie'!B21=no,'Etape 2-Energie'!B21=que),'Etape 2-Energie'!B21,  pres)</f>
        <v>Présent ?</v>
      </c>
      <c r="C13" s="423">
        <f>'Niveau 1- Sommaire général'!C13</f>
        <v>0</v>
      </c>
      <c r="D13" s="263" t="str">
        <f>'Etape 2-Energie'!D21</f>
        <v>Charbon de bois brûlé, t/an</v>
      </c>
      <c r="E13" s="423" t="str">
        <f>'Niveau 1- Sommaire général'!E13</f>
        <v>Présent ?</v>
      </c>
    </row>
    <row r="14" spans="1:5" ht="13">
      <c r="A14" s="389" t="str">
        <f>'Range-thresholds'!A15</f>
        <v>Production de carburant</v>
      </c>
      <c r="B14" s="303"/>
      <c r="C14" s="303"/>
      <c r="D14" s="371"/>
      <c r="E14" s="371"/>
    </row>
    <row r="15" spans="1:5">
      <c r="A15" s="263" t="str">
        <f>'Range-thresholds'!A16</f>
        <v>Extraction de pétrole</v>
      </c>
      <c r="B15" s="268" t="str">
        <f>IF(OR('Etape 2-Energie'!B24=yes,'Etape 2-Energie'!B24=no,'Etape 2-Energie'!B24=que),'Etape 2-Energie'!B24,  pres)</f>
        <v>Présent ?</v>
      </c>
      <c r="C15" s="423">
        <f>'Niveau 1- Sommaire général'!C15</f>
        <v>0</v>
      </c>
      <c r="D15" s="263" t="str">
        <f>'Etape 2-Energie'!D24</f>
        <v>Pétrole brut produit, t/an</v>
      </c>
      <c r="E15" s="423" t="str">
        <f>'Niveau 1- Sommaire général'!E15</f>
        <v>Présent ?</v>
      </c>
    </row>
    <row r="16" spans="1:5">
      <c r="A16" s="263" t="str">
        <f>'Range-thresholds'!A17</f>
        <v>Raffinage du pétrole</v>
      </c>
      <c r="B16" s="268" t="str">
        <f>IF(OR('Etape 2-Energie'!B25=yes,'Etape 2-Energie'!B25=no,'Etape 2-Energie'!B25=que),'Etape 2-Energie'!B25,  pres)</f>
        <v>Présent ?</v>
      </c>
      <c r="C16" s="423">
        <f>'Niveau 1- Sommaire général'!C16</f>
        <v>0</v>
      </c>
      <c r="D16" s="263" t="str">
        <f>'Etape 2-Energie'!D25</f>
        <v>Pétrole brut raffiné, t/an</v>
      </c>
      <c r="E16" s="423" t="str">
        <f>'Niveau 1- Sommaire général'!E16</f>
        <v>Présent ?</v>
      </c>
    </row>
    <row r="17" spans="1:5">
      <c r="A17" s="263" t="str">
        <f>'Range-thresholds'!A18</f>
        <v>Extraction et traitement du gaz naturel</v>
      </c>
      <c r="B17" s="268" t="str">
        <f>IF(OR('Etape 2-Energie'!B26=yes,'Etape 2-Energie'!B26=no,'Etape 2-Energie'!B26=que),'Etape 2-Energie'!B26,  pres)</f>
        <v>Présent ?</v>
      </c>
      <c r="C17" s="423">
        <f>'Niveau 1- Sommaire général'!C17</f>
        <v>0</v>
      </c>
      <c r="D17" s="263" t="str">
        <f>'Etape 2-Energie'!D26</f>
        <v>Gaz produit, Nm³/an</v>
      </c>
      <c r="E17" s="423" t="str">
        <f>'Niveau 1- Sommaire général'!E17</f>
        <v>Présent ?</v>
      </c>
    </row>
    <row r="18" spans="1:5" ht="13">
      <c r="A18" s="389" t="str">
        <f>'Range-thresholds'!A19</f>
        <v>Production de métaux primaires</v>
      </c>
      <c r="B18" s="303"/>
      <c r="C18" s="303"/>
      <c r="D18" s="371"/>
      <c r="E18" s="371"/>
    </row>
    <row r="19" spans="1:5" ht="25">
      <c r="A19" s="263" t="str">
        <f>'Range-thresholds'!A20</f>
        <v>Extraction et transformation initiale du mercure (primaire)</v>
      </c>
      <c r="B19" s="268" t="str">
        <f>IF(OR('Etape 3-Métaux-MatPre'!B6=yes,'Etape 3-Métaux-MatPre'!B6=no,'Etape 3-Métaux-MatPre'!B6=que),'Etape 3-Métaux-MatPre'!B6,  pres)</f>
        <v>Présent ?</v>
      </c>
      <c r="C19" s="423">
        <f>'Niveau 1- Sommaire général'!C19</f>
        <v>0</v>
      </c>
      <c r="D19" s="263" t="str">
        <f>'Etape 3-Métaux-MatPre'!D6</f>
        <v>Mercure produit, t/an</v>
      </c>
      <c r="E19" s="423" t="str">
        <f>'Niveau 1- Sommaire général'!E19</f>
        <v>Présent ?</v>
      </c>
    </row>
    <row r="20" spans="1:5">
      <c r="A20" s="263" t="str">
        <f>'Range-thresholds'!A21</f>
        <v>Production de zinc à partir de concentrés</v>
      </c>
      <c r="B20" s="268" t="str">
        <f>IF(OR('Etape 3-Métaux-MatPre'!B7=yes,'Etape 3-Métaux-MatPre'!B7=no,'Etape 3-Métaux-MatPre'!B7=que),'Etape 3-Métaux-MatPre'!B7,  pres)</f>
        <v>Présent ?</v>
      </c>
      <c r="C20" s="423">
        <f>'Niveau 1- Sommaire général'!C20</f>
        <v>0</v>
      </c>
      <c r="D20" s="263" t="str">
        <f>'Etape 3-Métaux-MatPre'!D7</f>
        <v>Concentré utilisé, t/an</v>
      </c>
      <c r="E20" s="423" t="str">
        <f>'Niveau 1- Sommaire général'!E20</f>
        <v>Présent ?</v>
      </c>
    </row>
    <row r="21" spans="1:5">
      <c r="A21" s="263" t="str">
        <f>'Range-thresholds'!A22</f>
        <v>Production de cuivre à partir de concentrés</v>
      </c>
      <c r="B21" s="268" t="str">
        <f>IF(OR('Etape 3-Métaux-MatPre'!B10=yes,'Etape 3-Métaux-MatPre'!B10=no,'Etape 3-Métaux-MatPre'!B10=que),'Etape 3-Métaux-MatPre'!B10,  pres)</f>
        <v>Présent ?</v>
      </c>
      <c r="C21" s="423">
        <f>'Niveau 1- Sommaire général'!C21</f>
        <v>0</v>
      </c>
      <c r="D21" s="263" t="str">
        <f>'Etape 3-Métaux-MatPre'!D10</f>
        <v>Concentré utilisé, t/an</v>
      </c>
      <c r="E21" s="423" t="str">
        <f>'Niveau 1- Sommaire général'!E21</f>
        <v>Présent ?</v>
      </c>
    </row>
    <row r="22" spans="1:5">
      <c r="A22" s="263" t="str">
        <f>'Range-thresholds'!A23</f>
        <v>Production de plomb à partir de concentrés</v>
      </c>
      <c r="B22" s="268" t="str">
        <f>IF(OR('Etape 3-Métaux-MatPre'!B13=yes,'Etape 3-Métaux-MatPre'!B13=no,'Etape 3-Métaux-MatPre'!B13=que),'Etape 3-Métaux-MatPre'!B13,  pres)</f>
        <v>Présent ?</v>
      </c>
      <c r="C22" s="423">
        <f>'Niveau 1- Sommaire général'!C22</f>
        <v>0</v>
      </c>
      <c r="D22" s="263" t="str">
        <f>'Etape 3-Métaux-MatPre'!D13</f>
        <v>Concentré utilisé, t/an</v>
      </c>
      <c r="E22" s="423" t="str">
        <f>'Niveau 1- Sommaire général'!E22</f>
        <v>Présent ?</v>
      </c>
    </row>
    <row r="23" spans="1:5" ht="25">
      <c r="A23" s="263" t="str">
        <f>'Range-thresholds'!A24</f>
        <v>Extraction de l'or par des méthodes autres que l'amalgamation au mercure</v>
      </c>
      <c r="B23" s="268" t="str">
        <f>IF(OR('Etape 3-Métaux-MatPre'!B16=yes,'Etape 3-Métaux-MatPre'!B16=no,'Etape 3-Métaux-MatPre'!B16=que),'Etape 3-Métaux-MatPre'!B16,  pres)</f>
        <v>Présent ?</v>
      </c>
      <c r="C23" s="423">
        <f>'Niveau 1- Sommaire général'!C23</f>
        <v>0</v>
      </c>
      <c r="D23" s="263" t="str">
        <f>'Etape 3-Métaux-MatPre'!D16</f>
        <v>Minerai d'or utilisé, t/an</v>
      </c>
      <c r="E23" s="423" t="str">
        <f>'Niveau 1- Sommaire général'!E23</f>
        <v>Présent ?</v>
      </c>
    </row>
    <row r="24" spans="1:5" ht="24" customHeight="1">
      <c r="A24" s="263" t="str">
        <f>'Range-thresholds'!A25</f>
        <v>Production d'alumine à partir de la bauxite (production d'aluminium)</v>
      </c>
      <c r="B24" s="268" t="str">
        <f>IF(OR('Etape 3-Métaux-MatPre'!B17=yes,'Etape 3-Métaux-MatPre'!B17=no,'Etape 3-Métaux-MatPre'!B17=que),'Etape 3-Métaux-MatPre'!B17,  pres)</f>
        <v>Présent ?</v>
      </c>
      <c r="C24" s="423">
        <f>'Niveau 1- Sommaire général'!C24</f>
        <v>0</v>
      </c>
      <c r="D24" s="263" t="str">
        <f>'Etape 3-Métaux-MatPre'!D17</f>
        <v>Bauxite transformée, t/an</v>
      </c>
      <c r="E24" s="423" t="str">
        <f>'Niveau 1- Sommaire général'!E24</f>
        <v>Présent ?</v>
      </c>
    </row>
    <row r="25" spans="1:5" ht="25.5" customHeight="1">
      <c r="A25" s="263" t="str">
        <f>'Range-thresholds'!A26</f>
        <v>Production de métal ferreux de première fusion (production de fonte)</v>
      </c>
      <c r="B25" s="268" t="str">
        <f>IF(OR('Etape 3-Métaux-MatPre'!B18=yes,'Etape 3-Métaux-MatPre'!B18=no,'Etape 3-Métaux-MatPre'!B18=que),'Etape 3-Métaux-MatPre'!B18,  pres)</f>
        <v>Présent ?</v>
      </c>
      <c r="C25" s="423">
        <f>'Niveau 1- Sommaire général'!C25</f>
        <v>0</v>
      </c>
      <c r="D25" s="263" t="str">
        <f>'Etape 3-Métaux-MatPre'!D18</f>
        <v>Fonte brute produite, t/an</v>
      </c>
      <c r="E25" s="423" t="str">
        <f>'Niveau 1- Sommaire général'!E25</f>
        <v>Présent ?</v>
      </c>
    </row>
    <row r="26" spans="1:5" ht="25">
      <c r="A26" s="263" t="str">
        <f>'Range-thresholds'!A27</f>
        <v>Extraction de l'or par amalgamation au mercure- à partir du minerai brut/entier</v>
      </c>
      <c r="B26" s="268" t="str">
        <f>IF(OR('Etape 3-Métaux-MatPre'!B19=yes,'Etape 3-Métaux-MatPre'!B19=no,'Etape 3-Métaux-MatPre'!B19=que),'Etape 3-Métaux-MatPre'!B19,  pres)</f>
        <v>Présent ?</v>
      </c>
      <c r="C26" s="423">
        <f>'Niveau 1- Sommaire général'!C26</f>
        <v>0</v>
      </c>
      <c r="D26" s="263" t="str">
        <f>'Etape 3-Métaux-MatPre'!D19</f>
        <v>Or produit, kg/an</v>
      </c>
      <c r="E26" s="423" t="str">
        <f>'Niveau 1- Sommaire général'!E26</f>
        <v>Présent ?</v>
      </c>
    </row>
    <row r="27" spans="1:5" ht="25">
      <c r="A27" s="263" t="str">
        <f>'Range-thresholds'!A28</f>
        <v>Extraction de l'or par amalgamation au mercure- à partir de concentrés</v>
      </c>
      <c r="B27" s="268" t="str">
        <f>IF(OR('Etape 3-Métaux-MatPre'!B22=yes,'Etape 3-Métaux-MatPre'!B22=no,'Etape 3-Métaux-MatPre'!B22=que),'Etape 3-Métaux-MatPre'!B22,  pres)</f>
        <v>Présent ?</v>
      </c>
      <c r="C27" s="423">
        <f>'Niveau 1- Sommaire général'!C27</f>
        <v>0</v>
      </c>
      <c r="D27" s="263" t="str">
        <f>'Etape 3-Métaux-MatPre'!D22</f>
        <v>Or produit, kg/an</v>
      </c>
      <c r="E27" s="423" t="str">
        <f>'Niveau 1- Sommaire général'!E27</f>
        <v>Présent ?</v>
      </c>
    </row>
    <row r="28" spans="1:5" ht="17.25" customHeight="1">
      <c r="A28" s="389" t="str">
        <f>'Range-thresholds'!A29</f>
        <v>Autres productions de matériaux</v>
      </c>
      <c r="B28" s="303"/>
      <c r="C28" s="303"/>
      <c r="D28" s="371"/>
      <c r="E28" s="371"/>
    </row>
    <row r="29" spans="1:5">
      <c r="A29" s="263" t="s">
        <v>826</v>
      </c>
      <c r="B29" s="268" t="str">
        <f>IF(OR('Etape 3-Métaux-MatPre'!B26=yes,'Etape 3-Métaux-MatPre'!B26=no,'Etape 3-Métaux-MatPre'!B26=que),'Etape 3-Métaux-MatPre'!B26,  pres)</f>
        <v>Présent ?</v>
      </c>
      <c r="C29" s="423">
        <f>'Niveau 1- Sommaire général'!C29</f>
        <v>0</v>
      </c>
      <c r="D29" s="263" t="str">
        <f>'Etape 3-Métaux-MatPre'!D26</f>
        <v>Ciment produit, t/an</v>
      </c>
      <c r="E29" s="423" t="str">
        <f>'Niveau 1- Sommaire général'!E29</f>
        <v>Présent ?</v>
      </c>
    </row>
    <row r="30" spans="1:5" ht="25">
      <c r="A30" s="263" t="str">
        <f>'Range-thresholds'!A31</f>
        <v>Production de pulpe et de papier</v>
      </c>
      <c r="B30" s="268" t="str">
        <f>IF(OR('Etape 3-Métaux-MatPre'!B31=yes,'Etape 3-Métaux-MatPre'!B31=no,'Etape 3-Métaux-MatPre'!B31=que),'Etape 3-Métaux-MatPre'!B31,  pres)</f>
        <v>Présent ?</v>
      </c>
      <c r="C30" s="423">
        <f>'Niveau 1- Sommaire général'!C30</f>
        <v>0</v>
      </c>
      <c r="D30" s="263" t="str">
        <f>'Etape 3-Métaux-MatPre'!D31</f>
        <v>Biomasse utilisée pour la production, t/an</v>
      </c>
      <c r="E30" s="423" t="str">
        <f>'Niveau 1- Sommaire général'!E30</f>
        <v>Présent ?</v>
      </c>
    </row>
    <row r="31" spans="1:5" ht="13">
      <c r="A31" s="389" t="str">
        <f>'Range-thresholds'!A32</f>
        <v>Production de produits chimiques</v>
      </c>
      <c r="B31" s="303"/>
      <c r="C31" s="303"/>
      <c r="D31" s="304"/>
      <c r="E31" s="304"/>
    </row>
    <row r="32" spans="1:5" ht="25">
      <c r="A32" s="263" t="str">
        <f>'Range-thresholds'!A33</f>
        <v>Production de chlore et de soude caustique avec cellules à mercure</v>
      </c>
      <c r="B32" s="268" t="str">
        <f>IF(OR('Etape 4-Utilis. Industrielle Hg'!B5=yes,'Etape 4-Utilis. Industrielle Hg'!B5=no,'Etape 4-Utilis. Industrielle Hg'!B5=que),'Etape 4-Utilis. Industrielle Hg'!B5,  pres)</f>
        <v>Présent ?</v>
      </c>
      <c r="C32" s="423">
        <f>'Niveau 1- Sommaire général'!C32</f>
        <v>0</v>
      </c>
      <c r="D32" s="273" t="str">
        <f>'Etape 4-Utilis. Industrielle Hg'!D5</f>
        <v>Cl2 produit, t/an</v>
      </c>
      <c r="E32" s="423" t="str">
        <f>'Niveau 1- Sommaire général'!E32</f>
        <v>Présent ?</v>
      </c>
    </row>
    <row r="33" spans="1:5">
      <c r="A33" s="263" t="str">
        <f>'Range-thresholds'!A34</f>
        <v>Production de CVM avec catalyseur au mercure</v>
      </c>
      <c r="B33" s="268" t="str">
        <f>IF(OR('Etape 4-Utilis. Industrielle Hg'!B6=yes,'Etape 4-Utilis. Industrielle Hg'!B6=no,'Etape 4-Utilis. Industrielle Hg'!B6=que),'Etape 4-Utilis. Industrielle Hg'!B6,  pres)</f>
        <v>Présent ?</v>
      </c>
      <c r="C33" s="423">
        <f>'Niveau 1- Sommaire général'!C33</f>
        <v>0</v>
      </c>
      <c r="D33" s="273" t="str">
        <f>'Etape 4-Utilis. Industrielle Hg'!D6</f>
        <v>CVM produit, t/an</v>
      </c>
      <c r="E33" s="423" t="str">
        <f>'Niveau 1- Sommaire général'!E33</f>
        <v>Présent ?</v>
      </c>
    </row>
    <row r="34" spans="1:5">
      <c r="A34" s="263" t="str">
        <f>'Range-thresholds'!A35</f>
        <v>Production d'acétaldéhyde avec catalyseur au mercure</v>
      </c>
      <c r="B34" s="268" t="str">
        <f>IF(OR('Etape 4-Utilis. Industrielle Hg'!B7=yes,'Etape 4-Utilis. Industrielle Hg'!B7=no,'Etape 4-Utilis. Industrielle Hg'!B7=que),'Etape 4-Utilis. Industrielle Hg'!B7,  pres)</f>
        <v>Présent ?</v>
      </c>
      <c r="C34" s="423">
        <f>'Niveau 1- Sommaire général'!C34</f>
        <v>0</v>
      </c>
      <c r="D34" s="273" t="str">
        <f>'Etape 4-Utilis. Industrielle Hg'!D7</f>
        <v>Acétaldéhyde produit, t/an</v>
      </c>
      <c r="E34" s="423" t="str">
        <f>'Niveau 1- Sommaire général'!E34</f>
        <v>Présent ?</v>
      </c>
    </row>
    <row r="35" spans="1:5" ht="26">
      <c r="A35" s="389" t="str">
        <f>'Range-thresholds'!A36</f>
        <v>Production de produits avec des teneurs en mercure</v>
      </c>
      <c r="B35" s="303"/>
      <c r="C35" s="303"/>
      <c r="D35" s="304"/>
      <c r="E35" s="304"/>
    </row>
    <row r="36" spans="1:5" ht="25">
      <c r="A36" s="263" t="str">
        <f>'Range-thresholds'!A37</f>
        <v>Thermomètres au mercure (médical, air, laboratoire, industriel etc.)</v>
      </c>
      <c r="B36" s="268" t="str">
        <f>IF(OR('Etape 4-Utilis. Industrielle Hg'!B10=yes,'Etape 4-Utilis. Industrielle Hg'!B10=no,'Etape 4-Utilis. Industrielle Hg'!B10=que),'Etape 4-Utilis. Industrielle Hg'!B10,  pres)</f>
        <v>Présent ?</v>
      </c>
      <c r="C36" s="423">
        <f>'Niveau 1- Sommaire général'!C36</f>
        <v>0</v>
      </c>
      <c r="D36" s="273" t="str">
        <f>'Etape 4-Utilis. Industrielle Hg'!D10</f>
        <v>Mercure utilisé pour la production, kg/an</v>
      </c>
      <c r="E36" s="423" t="str">
        <f>'Niveau 1- Sommaire général'!E36</f>
        <v>Présent ?</v>
      </c>
    </row>
    <row r="37" spans="1:5">
      <c r="A37" s="263" t="str">
        <f>'Range-thresholds'!A38</f>
        <v>Commutateurs et relais électriques avec du mercure</v>
      </c>
      <c r="B37" s="268" t="str">
        <f>IF(OR('Etape 4-Utilis. Industrielle Hg'!B11=yes,'Etape 4-Utilis. Industrielle Hg'!B11=no,'Etape 4-Utilis. Industrielle Hg'!B11=que),'Etape 4-Utilis. Industrielle Hg'!B11,  pres)</f>
        <v>Présent ?</v>
      </c>
      <c r="C37" s="423">
        <f>'Niveau 1- Sommaire général'!C37</f>
        <v>0</v>
      </c>
      <c r="D37" s="273" t="str">
        <f>'Etape 4-Utilis. Industrielle Hg'!D11</f>
        <v>Mercure utilisé pour la production, kg/an</v>
      </c>
      <c r="E37" s="423" t="str">
        <f>'Niveau 1- Sommaire général'!E37</f>
        <v>Présent ?</v>
      </c>
    </row>
    <row r="38" spans="1:5" ht="25">
      <c r="A38" s="263" t="str">
        <f>'Range-thresholds'!A39</f>
        <v>Sources de lumière au mercure (fluorescent, compact, autres : voir guide)</v>
      </c>
      <c r="B38" s="268" t="str">
        <f>IF(OR('Etape 4-Utilis. Industrielle Hg'!B12=yes,'Etape 4-Utilis. Industrielle Hg'!B12=no,'Etape 4-Utilis. Industrielle Hg'!B12=que),'Etape 4-Utilis. Industrielle Hg'!B12,  pres)</f>
        <v>Présent ?</v>
      </c>
      <c r="C38" s="423">
        <f>'Niveau 1- Sommaire général'!C38</f>
        <v>0</v>
      </c>
      <c r="D38" s="273" t="str">
        <f>'Etape 4-Utilis. Industrielle Hg'!D12</f>
        <v>Mercure utilisé pour la production, kg/an</v>
      </c>
      <c r="E38" s="423" t="str">
        <f>'Niveau 1- Sommaire général'!E38</f>
        <v>Présent ?</v>
      </c>
    </row>
    <row r="39" spans="1:5">
      <c r="A39" s="263" t="str">
        <f>'Range-thresholds'!A40</f>
        <v>Piles au mercure</v>
      </c>
      <c r="B39" s="268" t="str">
        <f>IF(OR('Etape 4-Utilis. Industrielle Hg'!B13=yes,'Etape 4-Utilis. Industrielle Hg'!B13=no,'Etape 4-Utilis. Industrielle Hg'!B13=que),'Etape 4-Utilis. Industrielle Hg'!B13,  pres)</f>
        <v>Présent ?</v>
      </c>
      <c r="C39" s="423">
        <f>'Niveau 1- Sommaire général'!C39</f>
        <v>0</v>
      </c>
      <c r="D39" s="273" t="str">
        <f>'Etape 4-Utilis. Industrielle Hg'!D13</f>
        <v>Mercure utilisé pour la production, kg/an</v>
      </c>
      <c r="E39" s="423" t="str">
        <f>'Niveau 1- Sommaire général'!E39</f>
        <v>Présent ?</v>
      </c>
    </row>
    <row r="40" spans="1:5">
      <c r="A40" s="263" t="str">
        <f>'Range-thresholds'!A41</f>
        <v>Manomètres et jauges au mercure</v>
      </c>
      <c r="B40" s="268" t="str">
        <f>IF(OR('Etape 4-Utilis. Industrielle Hg'!B14=yes,'Etape 4-Utilis. Industrielle Hg'!B14=no,'Etape 4-Utilis. Industrielle Hg'!B14=que),'Etape 4-Utilis. Industrielle Hg'!B14,  pres)</f>
        <v>Présent ?</v>
      </c>
      <c r="C40" s="423">
        <f>'Niveau 1- Sommaire général'!C40</f>
        <v>0</v>
      </c>
      <c r="D40" s="273" t="str">
        <f>'Etape 4-Utilis. Industrielle Hg'!D14</f>
        <v>Mercure utilisé pour la production, kg/an</v>
      </c>
      <c r="E40" s="423" t="str">
        <f>'Niveau 1- Sommaire général'!E40</f>
        <v>Présent ?</v>
      </c>
    </row>
    <row r="41" spans="1:5">
      <c r="A41" s="263" t="str">
        <f>'Range-thresholds'!A42</f>
        <v>Biocides et pesticides au mercure</v>
      </c>
      <c r="B41" s="268" t="str">
        <f>IF(OR('Etape 4-Utilis. Industrielle Hg'!B15=yes,'Etape 4-Utilis. Industrielle Hg'!B15=no,'Etape 4-Utilis. Industrielle Hg'!B15=que),'Etape 4-Utilis. Industrielle Hg'!B15,  pres)</f>
        <v>Présent ?</v>
      </c>
      <c r="C41" s="423">
        <f>'Niveau 1- Sommaire général'!C41</f>
        <v>0</v>
      </c>
      <c r="D41" s="273" t="str">
        <f>'Etape 4-Utilis. Industrielle Hg'!D15</f>
        <v>Mercure utilisé pour la production, kg/an</v>
      </c>
      <c r="E41" s="423" t="str">
        <f>'Niveau 1- Sommaire général'!E41</f>
        <v>Présent ?</v>
      </c>
    </row>
    <row r="42" spans="1:5">
      <c r="A42" s="263" t="str">
        <f>'Range-thresholds'!A43</f>
        <v>Peintures au mercure</v>
      </c>
      <c r="B42" s="268" t="str">
        <f>IF(OR('Etape 4-Utilis. Industrielle Hg'!B16=yes,'Etape 4-Utilis. Industrielle Hg'!B16=no,'Etape 4-Utilis. Industrielle Hg'!B16=que),'Etape 4-Utilis. Industrielle Hg'!B16,  pres)</f>
        <v>Présent ?</v>
      </c>
      <c r="C42" s="423">
        <f>'Niveau 1- Sommaire général'!C42</f>
        <v>0</v>
      </c>
      <c r="D42" s="273" t="str">
        <f>'Etape 4-Utilis. Industrielle Hg'!D16</f>
        <v>Mercure utilisé pour la production, kg/an</v>
      </c>
      <c r="E42" s="423" t="str">
        <f>'Niveau 1- Sommaire général'!E42</f>
        <v>Présent ?</v>
      </c>
    </row>
    <row r="43" spans="1:5" ht="25">
      <c r="A43" s="263" t="str">
        <f>'Range-thresholds'!A44</f>
        <v>Crèmes et savons éclaircissants pour la peau contenant du mercure</v>
      </c>
      <c r="B43" s="268" t="str">
        <f>IF(OR('Etape 4-Utilis. Industrielle Hg'!B17=yes,'Etape 4-Utilis. Industrielle Hg'!B17=no,'Etape 4-Utilis. Industrielle Hg'!B17=que),'Etape 4-Utilis. Industrielle Hg'!B17,  pres)</f>
        <v>Présent ?</v>
      </c>
      <c r="C43" s="423">
        <f>'Niveau 1- Sommaire général'!C43</f>
        <v>0</v>
      </c>
      <c r="D43" s="273" t="str">
        <f>'Etape 4-Utilis. Industrielle Hg'!D17</f>
        <v>Mercure utilisé pour la production, kg/an</v>
      </c>
      <c r="E43" s="423" t="str">
        <f>'Niveau 1- Sommaire général'!E43</f>
        <v>Présent ?</v>
      </c>
    </row>
    <row r="44" spans="1:5" ht="27" customHeight="1">
      <c r="A44" s="389" t="str">
        <f>'Range-thresholds'!A45</f>
        <v>Utilisation et élimination de produits avec des teneurs en mercure</v>
      </c>
      <c r="B44" s="303"/>
      <c r="C44" s="303"/>
      <c r="D44" s="371"/>
      <c r="E44" s="371"/>
    </row>
    <row r="45" spans="1:5">
      <c r="A45" s="263" t="str">
        <f>'Range-thresholds'!A46</f>
        <v>Amalgames dentaires (obturation "argent")</v>
      </c>
      <c r="B45" s="268" t="str">
        <f>IF(OR('Etape6-Produits-substances Hg'!B7=yes,'Etape6-Produits-substances Hg'!B7=no,'Etape6-Produits-substances Hg'!B7=que),'Etape6-Produits-substances Hg'!B7,  pres)</f>
        <v>Présent ?</v>
      </c>
      <c r="C45" s="423">
        <f>'Niveau 1- Sommaire général'!C45</f>
        <v>0</v>
      </c>
      <c r="D45" s="418" t="str">
        <f>'Etape6-Produits-substances Hg'!D8</f>
        <v>Nomdre d'habitants</v>
      </c>
      <c r="E45" s="423" t="str">
        <f>'Niveau 1- Sommaire général'!E45</f>
        <v>Présent ?</v>
      </c>
    </row>
    <row r="46" spans="1:5">
      <c r="A46" s="263" t="str">
        <f>'Range-thresholds'!A47</f>
        <v>Thermomètres</v>
      </c>
      <c r="B46" s="268" t="str">
        <f>IF(OR('Etape6-Produits-substances Hg'!B15=yes,'Etape6-Produits-substances Hg'!B15=no,'Etape6-Produits-substances Hg'!B15=que),'Etape6-Produits-substances Hg'!B15,  pres)</f>
        <v>Présent ?</v>
      </c>
      <c r="C46" s="423">
        <f>'Niveau 1- Sommaire général'!C46</f>
        <v>0</v>
      </c>
      <c r="D46" s="418" t="str">
        <f>'Etape6-Produits-substances Hg'!D16</f>
        <v>articles vendus/an</v>
      </c>
      <c r="E46" s="423" t="str">
        <f>'Niveau 1- Sommaire général'!E46</f>
        <v>Présent ?</v>
      </c>
    </row>
    <row r="47" spans="1:5" ht="25">
      <c r="A47" s="263" t="str">
        <f>'Range-thresholds'!A48</f>
        <v>Commutateurs et relais électriques contenant du mercure</v>
      </c>
      <c r="B47" s="268" t="str">
        <f>IF(OR('Etape6-Produits-substances Hg'!B20=yes,'Etape6-Produits-substances Hg'!B20=no,'Etape6-Produits-substances Hg'!B20=que),'Etape6-Produits-substances Hg'!B20,  pres)</f>
        <v>Présent ?</v>
      </c>
      <c r="C47" s="423">
        <f>'Niveau 1- Sommaire général'!C47</f>
        <v>0</v>
      </c>
      <c r="D47" s="273" t="str">
        <f>'Etape6-Produits-substances Hg'!D20</f>
        <v>Nomdre d'habitants</v>
      </c>
      <c r="E47" s="423" t="str">
        <f>'Niveau 1- Sommaire général'!E47</f>
        <v>Présent ?</v>
      </c>
    </row>
    <row r="48" spans="1:5">
      <c r="A48" s="263" t="str">
        <f>'Range-thresholds'!A49</f>
        <v>Sources de lumière au mercure</v>
      </c>
      <c r="B48" s="268" t="str">
        <f>IF(OR('Etape6-Produits-substances Hg'!B23=yes,'Etape6-Produits-substances Hg'!B23=no,'Etape6-Produits-substances Hg'!B23=que),'Etape6-Produits-substances Hg'!B23,  pres)</f>
        <v>Présent ?</v>
      </c>
      <c r="C48" s="423">
        <f>'Niveau 1- Sommaire général'!C48</f>
        <v>0</v>
      </c>
      <c r="D48" s="273" t="str">
        <f>'Etape6-Produits-substances Hg'!D23</f>
        <v>articles vendus/an</v>
      </c>
      <c r="E48" s="423" t="str">
        <f>'Niveau 1- Sommaire général'!E48</f>
        <v>Présent ?</v>
      </c>
    </row>
    <row r="49" spans="1:5">
      <c r="A49" s="367" t="str">
        <f>'Range-thresholds'!A50</f>
        <v>Piles contenant du mercure</v>
      </c>
      <c r="B49" s="268" t="str">
        <f>IF(OR('Etape6-Produits-substances Hg'!B28=yes,'Etape6-Produits-substances Hg'!B28=no,'Etape6-Produits-substances Hg'!B28=que),'Etape6-Produits-substances Hg'!B28,  pres)</f>
        <v>Présent ?</v>
      </c>
      <c r="C49" s="423">
        <f>'Niveau 1- Sommaire général'!C49</f>
        <v>0</v>
      </c>
      <c r="D49" s="273" t="str">
        <f>'Etape6-Produits-substances Hg'!D28</f>
        <v>Piles vendues t/an</v>
      </c>
      <c r="E49" s="423" t="str">
        <f>'Niveau 1- Sommaire général'!E49</f>
        <v>Présent ?</v>
      </c>
    </row>
    <row r="50" spans="1:5" ht="25">
      <c r="A50" s="263" t="str">
        <f>'Range-thresholds'!A51</f>
        <v>Polyuréthane produit (PU, PUR) avec un catalyseur au mercure</v>
      </c>
      <c r="B50" s="268" t="str">
        <f>IF(OR('Etape6-Produits-substances Hg'!B33=yes,'Etape6-Produits-substances Hg'!B33=no,'Etape6-Produits-substances Hg'!B33=que),'Etape6-Produits-substances Hg'!B33,  pres)</f>
        <v>Présent ?</v>
      </c>
      <c r="C50" s="423">
        <f>'Niveau 1- Sommaire général'!C50</f>
        <v>0</v>
      </c>
      <c r="D50" s="273" t="str">
        <f>'Etape6-Produits-substances Hg'!D33</f>
        <v>Nomdre d'habitants</v>
      </c>
      <c r="E50" s="423" t="str">
        <f>'Niveau 1- Sommaire général'!E50</f>
        <v>Présent ?</v>
      </c>
    </row>
    <row r="51" spans="1:5">
      <c r="A51" s="263" t="str">
        <f>'Range-thresholds'!A52</f>
        <v>Peintures avec des conservateurs au mercure</v>
      </c>
      <c r="B51" s="268" t="str">
        <f>IF(OR('Etape6-Produits-substances Hg'!B36=yes,'Etape6-Produits-substances Hg'!B36=no,'Etape6-Produits-substances Hg'!B36=que),'Etape6-Produits-substances Hg'!B36,  pres)</f>
        <v>Présent ?</v>
      </c>
      <c r="C51" s="423">
        <f>'Niveau 1- Sommaire général'!C51</f>
        <v>0</v>
      </c>
      <c r="D51" s="273" t="str">
        <f>'Etape6-Produits-substances Hg'!D36</f>
        <v>Peinture vendue, t/an</v>
      </c>
      <c r="E51" s="423" t="str">
        <f>'Niveau 1- Sommaire général'!E51</f>
        <v>Présent ?</v>
      </c>
    </row>
    <row r="52" spans="1:5" ht="25">
      <c r="A52" s="263" t="str">
        <f>'Range-thresholds'!A53</f>
        <v>Crèmes et savons éclaircissants pour la peau contenant du mercure</v>
      </c>
      <c r="B52" s="268" t="str">
        <f>IF(OR('Etape6-Produits-substances Hg'!B38=yes,'Etape6-Produits-substances Hg'!B38=no,'Etape6-Produits-substances Hg'!B38=que),'Etape6-Produits-substances Hg'!B38,  pres)</f>
        <v>Présent ?</v>
      </c>
      <c r="C52" s="423">
        <f>'Niveau 1- Sommaire général'!C52</f>
        <v>0</v>
      </c>
      <c r="D52" s="273" t="str">
        <f>'Etape6-Produits-substances Hg'!D38</f>
        <v>Crèmes et savons vendus, t/an</v>
      </c>
      <c r="E52" s="423" t="str">
        <f>'Niveau 1- Sommaire général'!E52</f>
        <v>Présent ?</v>
      </c>
    </row>
    <row r="53" spans="1:5" ht="29.25" customHeight="1">
      <c r="A53" s="263" t="str">
        <f>'Range-thresholds'!A54</f>
        <v>Appareil médical servant à mesurer la pression sanguine (tensiomètre au mercure)</v>
      </c>
      <c r="B53" s="268" t="str">
        <f>IF(OR('Etape6-Produits-substances Hg'!B40=yes,'Etape6-Produits-substances Hg'!B40=no,'Etape6-Produits-substances Hg'!B40=que),'Etape6-Produits-substances Hg'!B40,  pres)</f>
        <v>Présent ?</v>
      </c>
      <c r="C53" s="423">
        <f>'Niveau 1- Sommaire général'!C53</f>
        <v>0</v>
      </c>
      <c r="D53" s="273" t="str">
        <f>'Etape6-Produits-substances Hg'!D40</f>
        <v>articles vendus/an</v>
      </c>
      <c r="E53" s="423" t="str">
        <f>'Niveau 1- Sommaire général'!E53</f>
        <v>Présent ?</v>
      </c>
    </row>
    <row r="54" spans="1:5">
      <c r="A54" s="263" t="str">
        <f>'Range-thresholds'!A55</f>
        <v>Autres manomètres et jauges contenant du mercure</v>
      </c>
      <c r="B54" s="268" t="str">
        <f>IF(OR('Etape6-Produits-substances Hg'!B42=yes,'Etape6-Produits-substances Hg'!B42=no,'Etape6-Produits-substances Hg'!B42=que),'Etape6-Produits-substances Hg'!B42,  pres)</f>
        <v>Présent ?</v>
      </c>
      <c r="C54" s="423">
        <f>'Niveau 1- Sommaire général'!C54</f>
        <v>0</v>
      </c>
      <c r="D54" s="273" t="str">
        <f>'Etape6-Produits-substances Hg'!D42</f>
        <v>Nomdre d'habitants</v>
      </c>
      <c r="E54" s="423" t="str">
        <f>'Niveau 1- Sommaire général'!E54</f>
        <v>Présent ?</v>
      </c>
    </row>
    <row r="55" spans="1:5">
      <c r="A55" s="263" t="str">
        <f>'Range-thresholds'!A56</f>
        <v>Produits chimiques de laboratoire</v>
      </c>
      <c r="B55" s="268" t="str">
        <f>IF(OR('Etape6-Produits-substances Hg'!B45=yes,'Etape6-Produits-substances Hg'!B45=no,'Etape6-Produits-substances Hg'!B45=que),'Etape6-Produits-substances Hg'!B45,  pres)</f>
        <v>Présent ?</v>
      </c>
      <c r="C55" s="423">
        <f>'Niveau 1- Sommaire général'!C55</f>
        <v>0</v>
      </c>
      <c r="D55" s="273" t="str">
        <f>'Etape6-Produits-substances Hg'!D45</f>
        <v>Nomdre d'habitants</v>
      </c>
      <c r="E55" s="423" t="str">
        <f>'Niveau 1- Sommaire général'!E55</f>
        <v>Présent ?</v>
      </c>
    </row>
    <row r="56" spans="1:5" ht="25">
      <c r="A56" s="263" t="str">
        <f>'Range-thresholds'!A57</f>
        <v>Autres équipements de laboratoire et médical contenant du mercure</v>
      </c>
      <c r="B56" s="268" t="str">
        <f>IF(OR('Etape6-Produits-substances Hg'!B48=yes,'Etape6-Produits-substances Hg'!B48=no,'Etape6-Produits-substances Hg'!B48=que),'Etape6-Produits-substances Hg'!B48,  pres)</f>
        <v>Présent ?</v>
      </c>
      <c r="C56" s="423">
        <f>'Niveau 1- Sommaire général'!C56</f>
        <v>0</v>
      </c>
      <c r="D56" s="273" t="str">
        <f>'Etape6-Produits-substances Hg'!D48</f>
        <v>Nomdre d'habitants</v>
      </c>
      <c r="E56" s="423" t="str">
        <f>'Niveau 1- Sommaire général'!E56</f>
        <v>Présent ?</v>
      </c>
    </row>
    <row r="57" spans="1:5" ht="13">
      <c r="A57" s="389" t="str">
        <f>'Range-thresholds'!A58</f>
        <v>Production de métal recyclé</v>
      </c>
      <c r="B57" s="303"/>
      <c r="C57" s="303"/>
      <c r="D57" s="371"/>
      <c r="E57" s="371"/>
    </row>
    <row r="58" spans="1:5">
      <c r="A58" s="263" t="str">
        <f>'Range-thresholds'!A59</f>
        <v>Production de mercure recyclé ("production secondaire”)</v>
      </c>
      <c r="B58" s="268" t="str">
        <f>IF(OR('Etape5-Trait.+recyclage déchets'!B9=yes,'Etape5-Trait.+recyclage déchets'!B9=no,'Etape5-Trait.+recyclage déchets'!B9=que),'Etape5-Trait.+recyclage déchets'!B9,  pres)</f>
        <v>Présent ?</v>
      </c>
      <c r="C58" s="423">
        <f>'Niveau 1- Sommaire général'!C58</f>
        <v>0</v>
      </c>
      <c r="D58" s="273" t="str">
        <f>'Etape5-Trait.+recyclage déchets'!D9</f>
        <v>Mercure produit, kg/an</v>
      </c>
      <c r="E58" s="423" t="str">
        <f>'Niveau 1- Sommaire général'!E58</f>
        <v>Présent ?</v>
      </c>
    </row>
    <row r="59" spans="1:5">
      <c r="A59" s="263" t="str">
        <f>'Range-thresholds'!A60</f>
        <v>Production de métaux ferreux recyclés (fer et acier)</v>
      </c>
      <c r="B59" s="268" t="str">
        <f>IF(OR('Etape5-Trait.+recyclage déchets'!B10=yes,'Etape5-Trait.+recyclage déchets'!B10=no,'Etape5-Trait.+recyclage déchets'!B10=que),'Etape5-Trait.+recyclage déchets'!B10,  pres)</f>
        <v>Présent ?</v>
      </c>
      <c r="C59" s="423">
        <f>'Niveau 1- Sommaire général'!C59</f>
        <v>0</v>
      </c>
      <c r="D59" s="273" t="str">
        <f>'Etape5-Trait.+recyclage déchets'!D10</f>
        <v>Nombre de véhicules recyclés/an</v>
      </c>
      <c r="E59" s="423" t="str">
        <f>'Niveau 1- Sommaire général'!E59</f>
        <v>Présent ?</v>
      </c>
    </row>
    <row r="60" spans="1:5" ht="13">
      <c r="A60" s="389" t="str">
        <f>'Range-thresholds'!A61</f>
        <v>Incinération des déchets</v>
      </c>
      <c r="B60" s="303"/>
      <c r="C60" s="303"/>
      <c r="D60" s="371"/>
      <c r="E60" s="371"/>
    </row>
    <row r="61" spans="1:5">
      <c r="A61" s="263" t="str">
        <f>'Range-thresholds'!A62</f>
        <v>Incinération des déchets municipaux/généraux</v>
      </c>
      <c r="B61" s="268" t="str">
        <f>IF(OR('Etape5-Trait.+recyclage déchets'!B13=yes,'Etape5-Trait.+recyclage déchets'!B13=no,'Etape5-Trait.+recyclage déchets'!B13=que),'Etape5-Trait.+recyclage déchets'!B13,  pres)</f>
        <v>Présent ?</v>
      </c>
      <c r="C61" s="423">
        <f>'Niveau 1- Sommaire général'!C61</f>
        <v>0</v>
      </c>
      <c r="D61" s="273" t="str">
        <f>'Etape5-Trait.+recyclage déchets'!D13</f>
        <v xml:space="preserve">Déchets incinérés, t/an </v>
      </c>
      <c r="E61" s="423" t="str">
        <f>'Niveau 1- Sommaire général'!E61</f>
        <v>Présent ?</v>
      </c>
    </row>
    <row r="62" spans="1:5">
      <c r="A62" s="263" t="str">
        <f>'Range-thresholds'!A63</f>
        <v>Incinération des déchets dangereux</v>
      </c>
      <c r="B62" s="268" t="str">
        <f>IF(OR('Etape5-Trait.+recyclage déchets'!B16=yes,'Etape5-Trait.+recyclage déchets'!B16=no,'Etape5-Trait.+recyclage déchets'!B16=que),'Etape5-Trait.+recyclage déchets'!B16,  pres)</f>
        <v>Présent ?</v>
      </c>
      <c r="C62" s="423">
        <f>'Niveau 1- Sommaire général'!C62</f>
        <v>0</v>
      </c>
      <c r="D62" s="273" t="str">
        <f>'Etape5-Trait.+recyclage déchets'!D16</f>
        <v xml:space="preserve">Déchets incinérés, t/an </v>
      </c>
      <c r="E62" s="423" t="str">
        <f>'Niveau 1- Sommaire général'!E62</f>
        <v>Présent ?</v>
      </c>
    </row>
    <row r="63" spans="1:5">
      <c r="A63" s="263" t="str">
        <f>'Range-thresholds'!A64</f>
        <v>Incinération et brûlage à l'air libre des déchets médicaux</v>
      </c>
      <c r="B63" s="268" t="str">
        <f>IF(OR('Etape5-Trait.+recyclage déchets'!B19=yes,'Etape5-Trait.+recyclage déchets'!B19=no,'Etape5-Trait.+recyclage déchets'!B19=que),'Etape5-Trait.+recyclage déchets'!B19,  pres)</f>
        <v>Présent ?</v>
      </c>
      <c r="C63" s="423">
        <f>'Niveau 1- Sommaire général'!C63</f>
        <v>0</v>
      </c>
      <c r="D63" s="273" t="str">
        <f>'Etape5-Trait.+recyclage déchets'!D19</f>
        <v xml:space="preserve">Déchets incinérés, t/an </v>
      </c>
      <c r="E63" s="423" t="str">
        <f>'Niveau 1- Sommaire général'!E63</f>
        <v>Présent ?</v>
      </c>
    </row>
    <row r="64" spans="1:5">
      <c r="A64" s="263" t="str">
        <f>'Range-thresholds'!A65</f>
        <v>Incinération des boues d'épuration</v>
      </c>
      <c r="B64" s="268" t="str">
        <f>IF(OR('Etape5-Trait.+recyclage déchets'!B22=yes,'Etape5-Trait.+recyclage déchets'!B22=no,'Etape5-Trait.+recyclage déchets'!B22=que),'Etape5-Trait.+recyclage déchets'!B22,  pres)</f>
        <v>Présent ?</v>
      </c>
      <c r="C64" s="423">
        <f>'Niveau 1- Sommaire général'!C64</f>
        <v>0</v>
      </c>
      <c r="D64" s="273" t="str">
        <f>'Etape5-Trait.+recyclage déchets'!D22</f>
        <v xml:space="preserve">Déchets incinérés, t/an </v>
      </c>
      <c r="E64" s="423" t="str">
        <f>'Niveau 1- Sommaire général'!E64</f>
        <v>Présent ?</v>
      </c>
    </row>
    <row r="65" spans="1:5" ht="25">
      <c r="A65" s="263" t="str">
        <f>'Range-thresholds'!A66</f>
        <v>Brûlage des déchets à l'air libre (sur des sites de décharge ou de manière informelle)</v>
      </c>
      <c r="B65" s="268" t="str">
        <f>IF(OR('Etape5-Trait.+recyclage déchets'!B23=yes,'Etape5-Trait.+recyclage déchets'!B23=no,'Etape5-Trait.+recyclage déchets'!B23=que),'Etape5-Trait.+recyclage déchets'!B23,  pres)</f>
        <v>Présent ?</v>
      </c>
      <c r="C65" s="423">
        <f>'Niveau 1- Sommaire général'!C65</f>
        <v>0</v>
      </c>
      <c r="D65" s="273" t="str">
        <f>'Etape5-Trait.+recyclage déchets'!D23</f>
        <v xml:space="preserve">Déchets brûlés, t/an </v>
      </c>
      <c r="E65" s="423" t="str">
        <f>'Niveau 1- Sommaire général'!E65</f>
        <v>Présent ?</v>
      </c>
    </row>
    <row r="66" spans="1:5" ht="26">
      <c r="A66" s="389" t="str">
        <f>'Range-thresholds'!A67</f>
        <v>Dépôt/décharge de déchets et traitement des eaux usées</v>
      </c>
      <c r="B66" s="303"/>
      <c r="C66" s="303"/>
      <c r="D66" s="371"/>
      <c r="E66" s="371"/>
    </row>
    <row r="67" spans="1:5">
      <c r="A67" s="367" t="str">
        <f>'Range-thresholds'!A68</f>
        <v>Décharges/dépôts contôlés</v>
      </c>
      <c r="B67" s="268" t="str">
        <f>IF(OR('Etape5-Trait.+recyclage déchets'!B26=yes,'Etape5-Trait.+recyclage déchets'!B26=no,'Etape5-Trait.+recyclage déchets'!B26=que),'Etape5-Trait.+recyclage déchets'!B26,  pres)</f>
        <v>Présent ?</v>
      </c>
      <c r="C67" s="423">
        <f>'Niveau 1- Sommaire général'!C67</f>
        <v>0</v>
      </c>
      <c r="D67" s="273" t="str">
        <f>'Etape5-Trait.+recyclage déchets'!D26</f>
        <v>Déchets ensevelis, t/an</v>
      </c>
      <c r="E67" s="423" t="str">
        <f>'Niveau 1- Sommaire général'!E67</f>
        <v>Présent ?</v>
      </c>
    </row>
    <row r="68" spans="1:5">
      <c r="A68" s="367" t="str">
        <f>'Range-thresholds'!A69</f>
        <v>Dépôt informel de déchets généraux*1</v>
      </c>
      <c r="B68" s="268" t="str">
        <f>IF(OR('Etape5-Trait.+recyclage déchets'!B27=yes,'Etape5-Trait.+recyclage déchets'!B27=no,'Etape5-Trait.+recyclage déchets'!B27=que),'Etape5-Trait.+recyclage déchets'!B27,  pres)</f>
        <v>Présent ?</v>
      </c>
      <c r="C68" s="423">
        <f>'Niveau 1- Sommaire général'!C68</f>
        <v>0</v>
      </c>
      <c r="D68" s="273" t="str">
        <f>'Etape5-Trait.+recyclage déchets'!D27</f>
        <v>Déchets jetés, t/an</v>
      </c>
      <c r="E68" s="423" t="str">
        <f>'Niveau 1- Sommaire général'!E68</f>
        <v>Présent ?</v>
      </c>
    </row>
    <row r="69" spans="1:5">
      <c r="A69" s="367" t="str">
        <f>'Range-thresholds'!A70</f>
        <v>Circuit d'évacuation/traitement des eaux usées</v>
      </c>
      <c r="B69" s="268" t="str">
        <f>IF(OR('Etape5-Trait.+recyclage déchets'!B29=yes,'Etape5-Trait.+recyclage déchets'!B29=no,'Etape5-Trait.+recyclage déchets'!B29=que),'Etape5-Trait.+recyclage déchets'!B29,  pres)</f>
        <v>Présent ?</v>
      </c>
      <c r="C69" s="423">
        <f>'Niveau 1- Sommaire général'!C69</f>
        <v>0</v>
      </c>
      <c r="D69" s="273" t="str">
        <f>'Etape5-Trait.+recyclage déchets'!D29</f>
        <v>Eaux usées, m3/an</v>
      </c>
      <c r="E69" s="423" t="str">
        <f>'Niveau 1- Sommaire général'!E69</f>
        <v>Présent ?</v>
      </c>
    </row>
    <row r="70" spans="1:5" ht="13">
      <c r="A70" s="389" t="str">
        <f>'Range-thresholds'!A71</f>
        <v>Crématoriums and cimetières</v>
      </c>
      <c r="B70" s="303"/>
      <c r="C70" s="303"/>
      <c r="D70" s="371"/>
      <c r="E70" s="371"/>
    </row>
    <row r="71" spans="1:5">
      <c r="A71" s="263" t="str">
        <f>'Range-thresholds'!A72</f>
        <v>Crématoriums</v>
      </c>
      <c r="B71" s="268" t="str">
        <f>IF(OR('Etape7-Crématoriums-cimetières'!B5=yes,'Etape7-Crématoriums-cimetières'!B5=no,'Etape7-Crématoriums-cimetières'!B5=que),'Etape7-Crématoriums-cimetières'!B5,  pres)</f>
        <v>Présent ?</v>
      </c>
      <c r="C71" s="423">
        <f>'Niveau 1- Sommaire général'!C71</f>
        <v>0</v>
      </c>
      <c r="D71" s="273" t="str">
        <f>'Etape7-Crématoriums-cimetières'!D5</f>
        <v>Corps incinérés/an</v>
      </c>
      <c r="E71" s="423" t="str">
        <f>'Niveau 1- Sommaire général'!E71</f>
        <v>Présent ?</v>
      </c>
    </row>
    <row r="72" spans="1:5">
      <c r="A72" s="263" t="str">
        <f>'Range-thresholds'!A73</f>
        <v>Cimetières</v>
      </c>
      <c r="B72" s="268" t="str">
        <f>IF(OR('Etape7-Crématoriums-cimetières'!B6=yes,'Etape7-Crématoriums-cimetières'!B6=no,'Etape7-Crématoriums-cimetières'!B6=que),'Etape7-Crématoriums-cimetières'!B6,  pres)</f>
        <v>Présent ?</v>
      </c>
      <c r="C72" s="423">
        <f>'Niveau 1- Sommaire général'!C72</f>
        <v>0</v>
      </c>
      <c r="D72" s="273" t="str">
        <f>'Etape7-Crématoriums-cimetières'!D6</f>
        <v>Corps ensevelis/an</v>
      </c>
      <c r="E72" s="423" t="str">
        <f>'Niveau 1- Sommaire général'!E72</f>
        <v>Présent ?</v>
      </c>
    </row>
    <row r="73" spans="1:5" s="355" customFormat="1" ht="13">
      <c r="A73" s="265" t="s">
        <v>825</v>
      </c>
      <c r="B73" s="425"/>
      <c r="C73" s="426"/>
      <c r="D73" s="374"/>
      <c r="E73" s="553">
        <f>'Niveau 1- Sommaire général'!E73</f>
        <v>0</v>
      </c>
    </row>
    <row r="74" spans="1:5">
      <c r="A74" s="620" t="s">
        <v>1227</v>
      </c>
    </row>
    <row r="75" spans="1:5">
      <c r="A75" s="322" t="s">
        <v>1097</v>
      </c>
    </row>
    <row r="76" spans="1:5">
      <c r="A76" s="338" t="s">
        <v>1098</v>
      </c>
    </row>
    <row r="77" spans="1:5">
      <c r="A77" s="338" t="s">
        <v>1099</v>
      </c>
      <c r="B77" s="338"/>
    </row>
    <row r="78" spans="1:5">
      <c r="A78" s="338" t="s">
        <v>1100</v>
      </c>
      <c r="B78" s="338"/>
    </row>
    <row r="79" spans="1:5">
      <c r="A79" s="322" t="s">
        <v>1068</v>
      </c>
      <c r="B79" s="338"/>
    </row>
    <row r="80" spans="1:5">
      <c r="A80" s="322" t="s">
        <v>1101</v>
      </c>
      <c r="B80" s="338"/>
    </row>
    <row r="81" spans="1:1">
      <c r="A81" s="322" t="s">
        <v>1102</v>
      </c>
    </row>
    <row r="82" spans="1:1">
      <c r="A82" s="620" t="s">
        <v>1221</v>
      </c>
    </row>
  </sheetData>
  <sheetProtection algorithmName="SHA-512" hashValue="yd3HlDzEYhBz7A+49jJsCErAHqbb0efbb6i/xuybuweYq8zNV+/wcPfMKnLLdRJ3PBBArfNxs5mYYrCFSwKn8A==" saltValue="NBDWbOhuL+Ntcl5IM5Ayvg==" spinCount="100000" sheet="1" objects="1" scenarios="1"/>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G94"/>
  <sheetViews>
    <sheetView topLeftCell="A36" workbookViewId="0">
      <selection activeCell="A75" sqref="A75"/>
    </sheetView>
  </sheetViews>
  <sheetFormatPr defaultColWidth="9.1796875" defaultRowHeight="12.5"/>
  <cols>
    <col min="1" max="1" width="46.81640625" style="338" customWidth="1"/>
    <col min="2" max="2" width="12.81640625" style="338" customWidth="1"/>
    <col min="3" max="6" width="11.6328125" style="338" customWidth="1"/>
    <col min="7" max="7" width="16.1796875" style="338" customWidth="1"/>
    <col min="8" max="16384" width="9.1796875" style="338"/>
  </cols>
  <sheetData>
    <row r="1" spans="1:7" ht="13">
      <c r="A1" s="355" t="s">
        <v>1103</v>
      </c>
    </row>
    <row r="2" spans="1:7" s="360" customFormat="1" ht="12.75" customHeight="1">
      <c r="A2" s="263" t="s">
        <v>867</v>
      </c>
      <c r="B2" s="838" t="s">
        <v>1104</v>
      </c>
      <c r="C2" s="839"/>
      <c r="D2" s="839"/>
      <c r="E2" s="839"/>
      <c r="F2" s="839"/>
      <c r="G2" s="840"/>
    </row>
    <row r="3" spans="1:7" ht="37.5">
      <c r="A3" s="413"/>
      <c r="B3" s="269" t="s">
        <v>38</v>
      </c>
      <c r="C3" s="269" t="s">
        <v>877</v>
      </c>
      <c r="D3" s="269" t="s">
        <v>878</v>
      </c>
      <c r="E3" s="733" t="s">
        <v>879</v>
      </c>
      <c r="F3" s="733" t="s">
        <v>880</v>
      </c>
      <c r="G3" s="733" t="s">
        <v>881</v>
      </c>
    </row>
    <row r="4" spans="1:7" ht="13">
      <c r="A4" s="389" t="str">
        <f>'Etape 2-Energie'!A4</f>
        <v>Consommation énergétique</v>
      </c>
      <c r="B4" s="364"/>
      <c r="C4" s="364"/>
      <c r="D4" s="364"/>
      <c r="E4" s="307"/>
      <c r="F4" s="307"/>
      <c r="G4" s="307"/>
    </row>
    <row r="5" spans="1:7">
      <c r="A5" s="263" t="str">
        <f>'Etape 2-Energie'!A5</f>
        <v>Combustion de charbon issue de centrales électriques</v>
      </c>
      <c r="B5" s="424" t="str">
        <f>'Niveau 1- Sommaire général'!F5</f>
        <v>Présent ?</v>
      </c>
      <c r="C5" s="424" t="str">
        <f>'Niveau 1- Sommaire général'!G5</f>
        <v>Présent ?</v>
      </c>
      <c r="D5" s="424" t="str">
        <f>'Niveau 1- Sommaire général'!H5</f>
        <v>Présent ?</v>
      </c>
      <c r="E5" s="424" t="str">
        <f>'Niveau 1- Sommaire général'!I5</f>
        <v>Présent ?</v>
      </c>
      <c r="F5" s="424" t="str">
        <f>'Niveau 1- Sommaire général'!J5</f>
        <v>Présent ?</v>
      </c>
      <c r="G5" s="424" t="str">
        <f>'Niveau 1- Sommaire général'!K5</f>
        <v>Présent ?</v>
      </c>
    </row>
    <row r="6" spans="1:7">
      <c r="A6" s="263" t="str">
        <f>'Etape 2-Energie'!A8</f>
        <v>Chaudières industrielles alimentées au charbon</v>
      </c>
      <c r="B6" s="424" t="str">
        <f>'Niveau 1- Sommaire général'!F6</f>
        <v>Présent ?</v>
      </c>
      <c r="C6" s="424" t="str">
        <f>'Niveau 1- Sommaire général'!G6</f>
        <v>Présent ?</v>
      </c>
      <c r="D6" s="424" t="str">
        <f>'Niveau 1- Sommaire général'!H6</f>
        <v>Présent ?</v>
      </c>
      <c r="E6" s="424" t="str">
        <f>'Niveau 1- Sommaire général'!I6</f>
        <v>Présent ?</v>
      </c>
      <c r="F6" s="424" t="str">
        <f>'Niveau 1- Sommaire général'!J6</f>
        <v>Présent ?</v>
      </c>
      <c r="G6" s="424" t="str">
        <f>'Niveau 1- Sommaire général'!K6</f>
        <v>Présent ?</v>
      </c>
    </row>
    <row r="7" spans="1:7">
      <c r="A7" s="263" t="str">
        <f>'Etape 2-Energie'!A11</f>
        <v>Autres utilisations de charbon</v>
      </c>
      <c r="B7" s="424" t="str">
        <f>'Niveau 1- Sommaire général'!F7</f>
        <v>Présent ?</v>
      </c>
      <c r="C7" s="424" t="str">
        <f>'Niveau 1- Sommaire général'!G7</f>
        <v>Présent ?</v>
      </c>
      <c r="D7" s="424" t="str">
        <f>'Niveau 1- Sommaire général'!H7</f>
        <v>Présent ?</v>
      </c>
      <c r="E7" s="424" t="str">
        <f>'Niveau 1- Sommaire général'!I7</f>
        <v>Présent ?</v>
      </c>
      <c r="F7" s="424" t="str">
        <f>'Niveau 1- Sommaire général'!J7</f>
        <v>Présent ?</v>
      </c>
      <c r="G7" s="424" t="str">
        <f>'Niveau 1- Sommaire général'!K7</f>
        <v>Présent ?</v>
      </c>
    </row>
    <row r="8" spans="1:7" ht="25">
      <c r="A8" s="263" t="str">
        <f>'Etape 2-Energie'!A12</f>
        <v>Combustion/utilisation du coke de pétrole et de pétrole brut lourd</v>
      </c>
      <c r="B8" s="424" t="str">
        <f>'Niveau 1- Sommaire général'!F8</f>
        <v>Présent ?</v>
      </c>
      <c r="C8" s="424" t="str">
        <f>'Niveau 1- Sommaire général'!G8</f>
        <v>Présent ?</v>
      </c>
      <c r="D8" s="424" t="str">
        <f>'Niveau 1- Sommaire général'!H8</f>
        <v>Présent ?</v>
      </c>
      <c r="E8" s="424" t="str">
        <f>'Niveau 1- Sommaire général'!I8</f>
        <v>Présent ?</v>
      </c>
      <c r="F8" s="424" t="str">
        <f>'Niveau 1- Sommaire général'!J8</f>
        <v>Présent ?</v>
      </c>
      <c r="G8" s="424" t="str">
        <f>'Niveau 1- Sommaire général'!K8</f>
        <v>Présent ?</v>
      </c>
    </row>
    <row r="9" spans="1:7" ht="25">
      <c r="A9" s="263" t="str">
        <f>'Etape 2-Energie'!A15</f>
        <v>Combustion/utilisation de diesel, gasoil, pétrole, kérosène, GPL et d'autres distillats légers à moyens</v>
      </c>
      <c r="B9" s="424" t="str">
        <f>'Niveau 1- Sommaire général'!F9</f>
        <v>Présent ?</v>
      </c>
      <c r="C9" s="424" t="str">
        <f>'Niveau 1- Sommaire général'!G9</f>
        <v>Présent ?</v>
      </c>
      <c r="D9" s="424" t="str">
        <f>'Niveau 1- Sommaire général'!H9</f>
        <v>Présent ?</v>
      </c>
      <c r="E9" s="424" t="str">
        <f>'Niveau 1- Sommaire général'!I9</f>
        <v>Présent ?</v>
      </c>
      <c r="F9" s="424" t="str">
        <f>'Niveau 1- Sommaire général'!J9</f>
        <v>Présent ?</v>
      </c>
      <c r="G9" s="424" t="str">
        <f>'Niveau 1- Sommaire général'!K9</f>
        <v>Présent ?</v>
      </c>
    </row>
    <row r="10" spans="1:7" ht="15.75" customHeight="1">
      <c r="A10" s="263" t="str">
        <f>'Etape 2-Energie'!A18</f>
        <v>Utilisation de gaz naturel brut ou purifié au préalable</v>
      </c>
      <c r="B10" s="424" t="str">
        <f>'Niveau 1- Sommaire général'!F10</f>
        <v>Présent ?</v>
      </c>
      <c r="C10" s="424" t="str">
        <f>'Niveau 1- Sommaire général'!G10</f>
        <v>Présent ?</v>
      </c>
      <c r="D10" s="424" t="str">
        <f>'Niveau 1- Sommaire général'!H10</f>
        <v>Présent ?</v>
      </c>
      <c r="E10" s="424" t="str">
        <f>'Niveau 1- Sommaire général'!I10</f>
        <v>Présent ?</v>
      </c>
      <c r="F10" s="424" t="str">
        <f>'Niveau 1- Sommaire général'!J10</f>
        <v>Présent ?</v>
      </c>
      <c r="G10" s="424" t="str">
        <f>'Niveau 1- Sommaire général'!K10</f>
        <v>Présent ?</v>
      </c>
    </row>
    <row r="11" spans="1:7" ht="15.75" customHeight="1">
      <c r="A11" s="263" t="str">
        <f>'Etape 2-Energie'!A19</f>
        <v>Utilisation de gaz riche (qualité pour les consommateurs)</v>
      </c>
      <c r="B11" s="424" t="str">
        <f>'Niveau 1- Sommaire général'!F11</f>
        <v>Présent ?</v>
      </c>
      <c r="C11" s="424" t="str">
        <f>'Niveau 1- Sommaire général'!G11</f>
        <v>Présent ?</v>
      </c>
      <c r="D11" s="424" t="str">
        <f>'Niveau 1- Sommaire général'!H11</f>
        <v>Présent ?</v>
      </c>
      <c r="E11" s="424" t="str">
        <f>'Niveau 1- Sommaire général'!I11</f>
        <v>Présent ?</v>
      </c>
      <c r="F11" s="424" t="str">
        <f>'Niveau 1- Sommaire général'!J11</f>
        <v>Présent ?</v>
      </c>
      <c r="G11" s="424" t="str">
        <f>'Niveau 1- Sommaire général'!K11</f>
        <v>Présent ?</v>
      </c>
    </row>
    <row r="12" spans="1:7" ht="25">
      <c r="A12" s="263" t="str">
        <f>'Etape 2-Energie'!A20</f>
        <v>Production électrique et thermique par combustion de biomasse</v>
      </c>
      <c r="B12" s="424" t="str">
        <f>'Niveau 1- Sommaire général'!F12</f>
        <v>Présent ?</v>
      </c>
      <c r="C12" s="424" t="str">
        <f>'Niveau 1- Sommaire général'!G12</f>
        <v>Présent ?</v>
      </c>
      <c r="D12" s="424" t="str">
        <f>'Niveau 1- Sommaire général'!H12</f>
        <v>Présent ?</v>
      </c>
      <c r="E12" s="424" t="str">
        <f>'Niveau 1- Sommaire général'!I12</f>
        <v>Présent ?</v>
      </c>
      <c r="F12" s="424" t="str">
        <f>'Niveau 1- Sommaire général'!J12</f>
        <v>Présent ?</v>
      </c>
      <c r="G12" s="424" t="str">
        <f>'Niveau 1- Sommaire général'!K12</f>
        <v>Présent ?</v>
      </c>
    </row>
    <row r="13" spans="1:7">
      <c r="A13" s="263" t="str">
        <f>'Etape 2-Energie'!A21</f>
        <v>Combustion de charbon de bois</v>
      </c>
      <c r="B13" s="424" t="str">
        <f>'Niveau 1- Sommaire général'!F13</f>
        <v>Présent ?</v>
      </c>
      <c r="C13" s="424" t="str">
        <f>'Niveau 1- Sommaire général'!G13</f>
        <v>Présent ?</v>
      </c>
      <c r="D13" s="424" t="str">
        <f>'Niveau 1- Sommaire général'!H13</f>
        <v>Présent ?</v>
      </c>
      <c r="E13" s="424" t="str">
        <f>'Niveau 1- Sommaire général'!I13</f>
        <v>Présent ?</v>
      </c>
      <c r="F13" s="424" t="str">
        <f>'Niveau 1- Sommaire général'!J13</f>
        <v>Présent ?</v>
      </c>
      <c r="G13" s="424" t="str">
        <f>'Niveau 1- Sommaire général'!K13</f>
        <v>Présent ?</v>
      </c>
    </row>
    <row r="14" spans="1:7" ht="13">
      <c r="A14" s="389" t="str">
        <f>'Etape 2-Energie'!A23</f>
        <v>Production de carburant</v>
      </c>
      <c r="B14" s="364"/>
      <c r="C14" s="364"/>
      <c r="D14" s="364"/>
      <c r="E14" s="307"/>
      <c r="F14" s="307"/>
      <c r="G14" s="307"/>
    </row>
    <row r="15" spans="1:7">
      <c r="A15" s="263" t="str">
        <f>'Etape 2-Energie'!A24</f>
        <v>Extraction de pétrole</v>
      </c>
      <c r="B15" s="424" t="str">
        <f>'Niveau 1- Sommaire général'!F15</f>
        <v>Présent ?</v>
      </c>
      <c r="C15" s="424" t="str">
        <f>'Niveau 1- Sommaire général'!G15</f>
        <v>Présent ?</v>
      </c>
      <c r="D15" s="424" t="str">
        <f>'Niveau 1- Sommaire général'!H15</f>
        <v>Présent ?</v>
      </c>
      <c r="E15" s="424" t="str">
        <f>'Niveau 1- Sommaire général'!I15</f>
        <v>Présent ?</v>
      </c>
      <c r="F15" s="424" t="str">
        <f>'Niveau 1- Sommaire général'!J15</f>
        <v>Présent ?</v>
      </c>
      <c r="G15" s="424" t="str">
        <f>'Niveau 1- Sommaire général'!K15</f>
        <v>Présent ?</v>
      </c>
    </row>
    <row r="16" spans="1:7">
      <c r="A16" s="263" t="str">
        <f>'Etape 2-Energie'!A25</f>
        <v>Raffinage du pétrole</v>
      </c>
      <c r="B16" s="424" t="str">
        <f>'Niveau 1- Sommaire général'!F16</f>
        <v>Présent ?</v>
      </c>
      <c r="C16" s="424" t="str">
        <f>'Niveau 1- Sommaire général'!G16</f>
        <v>Présent ?</v>
      </c>
      <c r="D16" s="424" t="str">
        <f>'Niveau 1- Sommaire général'!H16</f>
        <v>Présent ?</v>
      </c>
      <c r="E16" s="424" t="str">
        <f>'Niveau 1- Sommaire général'!I16</f>
        <v>Présent ?</v>
      </c>
      <c r="F16" s="424" t="str">
        <f>'Niveau 1- Sommaire général'!J16</f>
        <v>Présent ?</v>
      </c>
      <c r="G16" s="424" t="str">
        <f>'Niveau 1- Sommaire général'!K16</f>
        <v>Présent ?</v>
      </c>
    </row>
    <row r="17" spans="1:7">
      <c r="A17" s="263" t="str">
        <f>'Etape 2-Energie'!A26</f>
        <v>Extraction et traitement du gaz naturel</v>
      </c>
      <c r="B17" s="424" t="str">
        <f>'Niveau 1- Sommaire général'!F17</f>
        <v>Présent ?</v>
      </c>
      <c r="C17" s="424" t="str">
        <f>'Niveau 1- Sommaire général'!G17</f>
        <v>Présent ?</v>
      </c>
      <c r="D17" s="424" t="str">
        <f>'Niveau 1- Sommaire général'!H17</f>
        <v>Présent ?</v>
      </c>
      <c r="E17" s="424" t="str">
        <f>'Niveau 1- Sommaire général'!I17</f>
        <v>Présent ?</v>
      </c>
      <c r="F17" s="424" t="str">
        <f>'Niveau 1- Sommaire général'!J17</f>
        <v>Présent ?</v>
      </c>
      <c r="G17" s="424" t="str">
        <f>'Niveau 1- Sommaire général'!K17</f>
        <v>Présent ?</v>
      </c>
    </row>
    <row r="18" spans="1:7" ht="13">
      <c r="A18" s="389" t="str">
        <f>'Etape 3-Métaux-MatPre'!A5</f>
        <v>Production de métaux primaires</v>
      </c>
      <c r="B18" s="364"/>
      <c r="C18" s="364"/>
      <c r="D18" s="364"/>
      <c r="E18" s="307"/>
      <c r="F18" s="307"/>
      <c r="G18" s="307"/>
    </row>
    <row r="19" spans="1:7" ht="25">
      <c r="A19" s="263" t="str">
        <f>'Etape 3-Métaux-MatPre'!A6</f>
        <v>Extraction et transformation initiale du mercure (primaire)</v>
      </c>
      <c r="B19" s="424" t="str">
        <f>'Niveau 1- Sommaire général'!F19</f>
        <v>Présent ?</v>
      </c>
      <c r="C19" s="424" t="str">
        <f>'Niveau 1- Sommaire général'!G19</f>
        <v>Présent ?</v>
      </c>
      <c r="D19" s="424" t="str">
        <f>'Niveau 1- Sommaire général'!H19</f>
        <v>Présent ?</v>
      </c>
      <c r="E19" s="424" t="str">
        <f>'Niveau 1- Sommaire général'!I19</f>
        <v>Présent ?</v>
      </c>
      <c r="F19" s="424" t="str">
        <f>'Niveau 1- Sommaire général'!J19</f>
        <v>Présent ?</v>
      </c>
      <c r="G19" s="424" t="str">
        <f>'Niveau 1- Sommaire général'!K19</f>
        <v>Présent ?</v>
      </c>
    </row>
    <row r="20" spans="1:7">
      <c r="A20" s="263" t="str">
        <f>'Etape 3-Métaux-MatPre'!A7</f>
        <v>Production de zinc à partir de concentrés</v>
      </c>
      <c r="B20" s="424" t="str">
        <f>'Niveau 1- Sommaire général'!F20</f>
        <v>Présent ?</v>
      </c>
      <c r="C20" s="424" t="str">
        <f>'Niveau 1- Sommaire général'!G20</f>
        <v>Présent ?</v>
      </c>
      <c r="D20" s="424" t="str">
        <f>'Niveau 1- Sommaire général'!H20</f>
        <v>Présent ?</v>
      </c>
      <c r="E20" s="424" t="str">
        <f>'Niveau 1- Sommaire général'!I20</f>
        <v>Présent ?</v>
      </c>
      <c r="F20" s="424" t="str">
        <f>'Niveau 1- Sommaire général'!J20</f>
        <v>Présent ?</v>
      </c>
      <c r="G20" s="424" t="str">
        <f>'Niveau 1- Sommaire général'!K20</f>
        <v>Présent ?</v>
      </c>
    </row>
    <row r="21" spans="1:7">
      <c r="A21" s="263" t="str">
        <f>'Etape 3-Métaux-MatPre'!A10</f>
        <v>Production de cuivre à partir de concentrés</v>
      </c>
      <c r="B21" s="424" t="str">
        <f>'Niveau 1- Sommaire général'!F21</f>
        <v>Présent ?</v>
      </c>
      <c r="C21" s="424" t="str">
        <f>'Niveau 1- Sommaire général'!G21</f>
        <v>Présent ?</v>
      </c>
      <c r="D21" s="424" t="str">
        <f>'Niveau 1- Sommaire général'!H21</f>
        <v>Présent ?</v>
      </c>
      <c r="E21" s="424" t="str">
        <f>'Niveau 1- Sommaire général'!I21</f>
        <v>Présent ?</v>
      </c>
      <c r="F21" s="424" t="str">
        <f>'Niveau 1- Sommaire général'!J21</f>
        <v>Présent ?</v>
      </c>
      <c r="G21" s="424" t="str">
        <f>'Niveau 1- Sommaire général'!K21</f>
        <v>Présent ?</v>
      </c>
    </row>
    <row r="22" spans="1:7">
      <c r="A22" s="263" t="str">
        <f>'Etape 3-Métaux-MatPre'!A13</f>
        <v>Production de plomb à partir de concentrés</v>
      </c>
      <c r="B22" s="424" t="str">
        <f>'Niveau 1- Sommaire général'!F22</f>
        <v>Présent ?</v>
      </c>
      <c r="C22" s="424" t="str">
        <f>'Niveau 1- Sommaire général'!G22</f>
        <v>Présent ?</v>
      </c>
      <c r="D22" s="424" t="str">
        <f>'Niveau 1- Sommaire général'!H22</f>
        <v>Présent ?</v>
      </c>
      <c r="E22" s="424" t="str">
        <f>'Niveau 1- Sommaire général'!I22</f>
        <v>Présent ?</v>
      </c>
      <c r="F22" s="424" t="str">
        <f>'Niveau 1- Sommaire général'!J22</f>
        <v>Présent ?</v>
      </c>
      <c r="G22" s="424" t="str">
        <f>'Niveau 1- Sommaire général'!K22</f>
        <v>Présent ?</v>
      </c>
    </row>
    <row r="23" spans="1:7" ht="25">
      <c r="A23" s="263" t="str">
        <f>'Etape 3-Métaux-MatPre'!A16</f>
        <v>Extraction de l'or par des méthodes autres que l'amalgamation au mercure</v>
      </c>
      <c r="B23" s="424" t="str">
        <f>'Niveau 1- Sommaire général'!F23</f>
        <v>Présent ?</v>
      </c>
      <c r="C23" s="424" t="str">
        <f>'Niveau 1- Sommaire général'!G23</f>
        <v>Présent ?</v>
      </c>
      <c r="D23" s="424" t="str">
        <f>'Niveau 1- Sommaire général'!H23</f>
        <v>Présent ?</v>
      </c>
      <c r="E23" s="424" t="str">
        <f>'Niveau 1- Sommaire général'!I23</f>
        <v>Présent ?</v>
      </c>
      <c r="F23" s="424" t="str">
        <f>'Niveau 1- Sommaire général'!J23</f>
        <v>Présent ?</v>
      </c>
      <c r="G23" s="424" t="str">
        <f>'Niveau 1- Sommaire général'!K23</f>
        <v>Présent ?</v>
      </c>
    </row>
    <row r="24" spans="1:7" ht="16.5" customHeight="1">
      <c r="A24" s="263" t="str">
        <f>'Etape 3-Métaux-MatPre'!A17</f>
        <v>Production d'alumine à partir de la bauxite (production d'aluminium)</v>
      </c>
      <c r="B24" s="424" t="str">
        <f>'Niveau 1- Sommaire général'!F24</f>
        <v>Présent ?</v>
      </c>
      <c r="C24" s="424" t="str">
        <f>'Niveau 1- Sommaire général'!G24</f>
        <v>Présent ?</v>
      </c>
      <c r="D24" s="424" t="str">
        <f>'Niveau 1- Sommaire général'!H24</f>
        <v>Présent ?</v>
      </c>
      <c r="E24" s="424" t="str">
        <f>'Niveau 1- Sommaire général'!I24</f>
        <v>Présent ?</v>
      </c>
      <c r="F24" s="424" t="str">
        <f>'Niveau 1- Sommaire général'!J24</f>
        <v>Présent ?</v>
      </c>
      <c r="G24" s="424" t="str">
        <f>'Niveau 1- Sommaire général'!K24</f>
        <v>Présent ?</v>
      </c>
    </row>
    <row r="25" spans="1:7" ht="21" customHeight="1">
      <c r="A25" s="263" t="str">
        <f>'Etape 3-Métaux-MatPre'!A18</f>
        <v>Production de métal ferreux de première fusion (production de fonte)</v>
      </c>
      <c r="B25" s="424" t="str">
        <f>'Niveau 1- Sommaire général'!F25</f>
        <v>Présent ?</v>
      </c>
      <c r="C25" s="424" t="str">
        <f>'Niveau 1- Sommaire général'!G25</f>
        <v>Présent ?</v>
      </c>
      <c r="D25" s="424" t="str">
        <f>'Niveau 1- Sommaire général'!H25</f>
        <v>Présent ?</v>
      </c>
      <c r="E25" s="424" t="str">
        <f>'Niveau 1- Sommaire général'!I25</f>
        <v>Présent ?</v>
      </c>
      <c r="F25" s="424" t="str">
        <f>'Niveau 1- Sommaire général'!J25</f>
        <v>Présent ?</v>
      </c>
      <c r="G25" s="424" t="str">
        <f>'Niveau 1- Sommaire général'!K25</f>
        <v>Présent ?</v>
      </c>
    </row>
    <row r="26" spans="1:7" ht="25">
      <c r="A26" s="263" t="str">
        <f>'Etape 3-Métaux-MatPre'!A19</f>
        <v>Extraction de l'or par amalgamation au mercure- à partir du minerai brut/entier</v>
      </c>
      <c r="B26" s="424" t="str">
        <f>'Niveau 1- Sommaire général'!F26</f>
        <v>Présent ?</v>
      </c>
      <c r="C26" s="424" t="str">
        <f>'Niveau 1- Sommaire général'!G26</f>
        <v>Présent ?</v>
      </c>
      <c r="D26" s="424" t="str">
        <f>'Niveau 1- Sommaire général'!H26</f>
        <v>Présent ?</v>
      </c>
      <c r="E26" s="424" t="str">
        <f>'Niveau 1- Sommaire général'!I26</f>
        <v>Présent ?</v>
      </c>
      <c r="F26" s="424" t="str">
        <f>'Niveau 1- Sommaire général'!J26</f>
        <v>Présent ?</v>
      </c>
      <c r="G26" s="424" t="str">
        <f>'Niveau 1- Sommaire général'!K26</f>
        <v>Présent ?</v>
      </c>
    </row>
    <row r="27" spans="1:7" ht="25">
      <c r="A27" s="263" t="str">
        <f>'Etape 3-Métaux-MatPre'!A22</f>
        <v>Extraction de l'or par amalgamation au mercure- à partir de concentrés</v>
      </c>
      <c r="B27" s="424" t="str">
        <f>'Niveau 1- Sommaire général'!F27</f>
        <v>Présent ?</v>
      </c>
      <c r="C27" s="424" t="str">
        <f>'Niveau 1- Sommaire général'!G27</f>
        <v>Présent ?</v>
      </c>
      <c r="D27" s="424" t="str">
        <f>'Niveau 1- Sommaire général'!H27</f>
        <v>Présent ?</v>
      </c>
      <c r="E27" s="424" t="str">
        <f>'Niveau 1- Sommaire général'!I27</f>
        <v>Présent ?</v>
      </c>
      <c r="F27" s="424" t="str">
        <f>'Niveau 1- Sommaire général'!J27</f>
        <v>Présent ?</v>
      </c>
      <c r="G27" s="424" t="str">
        <f>'Niveau 1- Sommaire général'!K27</f>
        <v>Présent ?</v>
      </c>
    </row>
    <row r="28" spans="1:7" ht="17.25" customHeight="1">
      <c r="A28" s="389" t="str">
        <f>'Etape 3-Métaux-MatPre'!A25</f>
        <v>Autres productions de matériaux</v>
      </c>
      <c r="B28" s="364"/>
      <c r="C28" s="364"/>
      <c r="D28" s="364"/>
      <c r="E28" s="307"/>
      <c r="F28" s="307"/>
      <c r="G28" s="307"/>
    </row>
    <row r="29" spans="1:7">
      <c r="A29" s="263" t="s">
        <v>824</v>
      </c>
      <c r="B29" s="424" t="str">
        <f>'Niveau 1- Sommaire général'!F29</f>
        <v>Présent ?</v>
      </c>
      <c r="C29" s="424" t="str">
        <f>'Niveau 1- Sommaire général'!G29</f>
        <v>Présent ?</v>
      </c>
      <c r="D29" s="424" t="str">
        <f>'Niveau 1- Sommaire général'!H29</f>
        <v>Présent ?</v>
      </c>
      <c r="E29" s="424" t="str">
        <f>'Niveau 1- Sommaire général'!I29</f>
        <v>Présent ?</v>
      </c>
      <c r="F29" s="424" t="str">
        <f>'Niveau 1- Sommaire général'!J29</f>
        <v>Présent ?</v>
      </c>
      <c r="G29" s="424" t="str">
        <f>'Niveau 1- Sommaire général'!K29</f>
        <v>Présent ?</v>
      </c>
    </row>
    <row r="30" spans="1:7">
      <c r="A30" s="263" t="str">
        <f>'Etape 3-Métaux-MatPre'!A31</f>
        <v>Production de pulpe et de papier</v>
      </c>
      <c r="B30" s="424" t="str">
        <f>'Niveau 1- Sommaire général'!F30</f>
        <v>Présent ?</v>
      </c>
      <c r="C30" s="424" t="str">
        <f>'Niveau 1- Sommaire général'!G30</f>
        <v>Présent ?</v>
      </c>
      <c r="D30" s="424" t="str">
        <f>'Niveau 1- Sommaire général'!H30</f>
        <v>Présent ?</v>
      </c>
      <c r="E30" s="424" t="str">
        <f>'Niveau 1- Sommaire général'!I30</f>
        <v>Présent ?</v>
      </c>
      <c r="F30" s="424" t="str">
        <f>'Niveau 1- Sommaire général'!J30</f>
        <v>Présent ?</v>
      </c>
      <c r="G30" s="424" t="str">
        <f>'Niveau 1- Sommaire général'!K30</f>
        <v>Présent ?</v>
      </c>
    </row>
    <row r="31" spans="1:7" ht="13">
      <c r="A31" s="389" t="str">
        <f>'Etape 4-Utilis. Industrielle Hg'!A4</f>
        <v>Production de produits chimiques</v>
      </c>
      <c r="B31" s="364"/>
      <c r="C31" s="364"/>
      <c r="D31" s="364"/>
      <c r="E31" s="307"/>
      <c r="F31" s="307"/>
      <c r="G31" s="307"/>
    </row>
    <row r="32" spans="1:7" ht="25">
      <c r="A32" s="263" t="str">
        <f>'Etape 4-Utilis. Industrielle Hg'!A5</f>
        <v>Production de chlore et de soude caustique avec cellules à mercure</v>
      </c>
      <c r="B32" s="424" t="str">
        <f>'Niveau 1- Sommaire général'!F32</f>
        <v>Présent ?</v>
      </c>
      <c r="C32" s="424" t="str">
        <f>'Niveau 1- Sommaire général'!G32</f>
        <v>Présent ?</v>
      </c>
      <c r="D32" s="424" t="str">
        <f>'Niveau 1- Sommaire général'!H32</f>
        <v>Présent ?</v>
      </c>
      <c r="E32" s="424" t="str">
        <f>'Niveau 1- Sommaire général'!I32</f>
        <v>Présent ?</v>
      </c>
      <c r="F32" s="424" t="str">
        <f>'Niveau 1- Sommaire général'!J32</f>
        <v>Présent ?</v>
      </c>
      <c r="G32" s="424" t="str">
        <f>'Niveau 1- Sommaire général'!K32</f>
        <v>Présent ?</v>
      </c>
    </row>
    <row r="33" spans="1:7">
      <c r="A33" s="263" t="str">
        <f>'Etape 4-Utilis. Industrielle Hg'!A6</f>
        <v>Production de CVM avec catalyseur au mercure</v>
      </c>
      <c r="B33" s="424" t="str">
        <f>'Niveau 1- Sommaire général'!F33</f>
        <v>Présent ?</v>
      </c>
      <c r="C33" s="424" t="str">
        <f>'Niveau 1- Sommaire général'!G33</f>
        <v>Présent ?</v>
      </c>
      <c r="D33" s="424" t="str">
        <f>'Niveau 1- Sommaire général'!H33</f>
        <v>Présent ?</v>
      </c>
      <c r="E33" s="424" t="str">
        <f>'Niveau 1- Sommaire général'!I33</f>
        <v>Présent ?</v>
      </c>
      <c r="F33" s="424" t="str">
        <f>'Niveau 1- Sommaire général'!J33</f>
        <v>Présent ?</v>
      </c>
      <c r="G33" s="424" t="str">
        <f>'Niveau 1- Sommaire général'!K33</f>
        <v>Présent ?</v>
      </c>
    </row>
    <row r="34" spans="1:7">
      <c r="A34" s="263" t="str">
        <f>'Etape 4-Utilis. Industrielle Hg'!A7</f>
        <v>Production d'acétaldéhyde avec catalyseur au mercure</v>
      </c>
      <c r="B34" s="424" t="str">
        <f>'Niveau 1- Sommaire général'!F34</f>
        <v>Présent ?</v>
      </c>
      <c r="C34" s="424" t="str">
        <f>'Niveau 1- Sommaire général'!G34</f>
        <v>Présent ?</v>
      </c>
      <c r="D34" s="424" t="str">
        <f>'Niveau 1- Sommaire général'!H34</f>
        <v>Présent ?</v>
      </c>
      <c r="E34" s="424" t="str">
        <f>'Niveau 1- Sommaire général'!I34</f>
        <v>Présent ?</v>
      </c>
      <c r="F34" s="424" t="str">
        <f>'Niveau 1- Sommaire général'!J34</f>
        <v>Présent ?</v>
      </c>
      <c r="G34" s="424" t="str">
        <f>'Niveau 1- Sommaire général'!K34</f>
        <v>Présent ?</v>
      </c>
    </row>
    <row r="35" spans="1:7" ht="26">
      <c r="A35" s="389" t="str">
        <f>'Etape 4-Utilis. Industrielle Hg'!A9</f>
        <v>Production de produits avec des teneurs en mercure</v>
      </c>
      <c r="B35" s="364"/>
      <c r="C35" s="364"/>
      <c r="D35" s="364"/>
      <c r="E35" s="307"/>
      <c r="F35" s="307"/>
      <c r="G35" s="307"/>
    </row>
    <row r="36" spans="1:7" ht="25">
      <c r="A36" s="263" t="str">
        <f>'Etape 4-Utilis. Industrielle Hg'!A10</f>
        <v>Thermomètres au mercure (médical, air, laboratoire, industriel etc.)</v>
      </c>
      <c r="B36" s="424" t="str">
        <f>'Niveau 1- Sommaire général'!F36</f>
        <v>Présent ?</v>
      </c>
      <c r="C36" s="424" t="str">
        <f>'Niveau 1- Sommaire général'!G36</f>
        <v>Présent ?</v>
      </c>
      <c r="D36" s="424" t="str">
        <f>'Niveau 1- Sommaire général'!H36</f>
        <v>Présent ?</v>
      </c>
      <c r="E36" s="424" t="str">
        <f>'Niveau 1- Sommaire général'!I36</f>
        <v>Présent ?</v>
      </c>
      <c r="F36" s="424" t="str">
        <f>'Niveau 1- Sommaire général'!J36</f>
        <v>Présent ?</v>
      </c>
      <c r="G36" s="424" t="str">
        <f>'Niveau 1- Sommaire général'!K36</f>
        <v>Présent ?</v>
      </c>
    </row>
    <row r="37" spans="1:7">
      <c r="A37" s="263" t="str">
        <f>'Etape 4-Utilis. Industrielle Hg'!A11</f>
        <v>Commutateurs et relais électriques avec du mercure</v>
      </c>
      <c r="B37" s="424" t="str">
        <f>'Niveau 1- Sommaire général'!F37</f>
        <v>Présent ?</v>
      </c>
      <c r="C37" s="424" t="str">
        <f>'Niveau 1- Sommaire général'!G37</f>
        <v>Présent ?</v>
      </c>
      <c r="D37" s="424" t="str">
        <f>'Niveau 1- Sommaire général'!H37</f>
        <v>Présent ?</v>
      </c>
      <c r="E37" s="424" t="str">
        <f>'Niveau 1- Sommaire général'!I37</f>
        <v>Présent ?</v>
      </c>
      <c r="F37" s="424" t="str">
        <f>'Niveau 1- Sommaire général'!J37</f>
        <v>Présent ?</v>
      </c>
      <c r="G37" s="424" t="str">
        <f>'Niveau 1- Sommaire général'!K37</f>
        <v>Présent ?</v>
      </c>
    </row>
    <row r="38" spans="1:7" ht="25">
      <c r="A38" s="263" t="str">
        <f>'Etape 4-Utilis. Industrielle Hg'!A12</f>
        <v>Sources de lumière au mercure (fluorescent, compact, autres : voir guide)</v>
      </c>
      <c r="B38" s="424" t="str">
        <f>'Niveau 1- Sommaire général'!F38</f>
        <v>Présent ?</v>
      </c>
      <c r="C38" s="424" t="str">
        <f>'Niveau 1- Sommaire général'!G38</f>
        <v>Présent ?</v>
      </c>
      <c r="D38" s="424" t="str">
        <f>'Niveau 1- Sommaire général'!H38</f>
        <v>Présent ?</v>
      </c>
      <c r="E38" s="424" t="str">
        <f>'Niveau 1- Sommaire général'!I38</f>
        <v>Présent ?</v>
      </c>
      <c r="F38" s="424" t="str">
        <f>'Niveau 1- Sommaire général'!J38</f>
        <v>Présent ?</v>
      </c>
      <c r="G38" s="424" t="str">
        <f>'Niveau 1- Sommaire général'!K38</f>
        <v>Présent ?</v>
      </c>
    </row>
    <row r="39" spans="1:7">
      <c r="A39" s="263" t="str">
        <f>'Etape 4-Utilis. Industrielle Hg'!A13</f>
        <v>Piles au mercure</v>
      </c>
      <c r="B39" s="424" t="str">
        <f>'Niveau 1- Sommaire général'!F39</f>
        <v>Présent ?</v>
      </c>
      <c r="C39" s="424" t="str">
        <f>'Niveau 1- Sommaire général'!G39</f>
        <v>Présent ?</v>
      </c>
      <c r="D39" s="424" t="str">
        <f>'Niveau 1- Sommaire général'!H39</f>
        <v>Présent ?</v>
      </c>
      <c r="E39" s="424" t="str">
        <f>'Niveau 1- Sommaire général'!I39</f>
        <v>Présent ?</v>
      </c>
      <c r="F39" s="424" t="str">
        <f>'Niveau 1- Sommaire général'!J39</f>
        <v>Présent ?</v>
      </c>
      <c r="G39" s="424" t="str">
        <f>'Niveau 1- Sommaire général'!K39</f>
        <v>Présent ?</v>
      </c>
    </row>
    <row r="40" spans="1:7">
      <c r="A40" s="263" t="str">
        <f>'Etape 4-Utilis. Industrielle Hg'!A14</f>
        <v>Manomètres et jauges au mercure</v>
      </c>
      <c r="B40" s="424" t="str">
        <f>'Niveau 1- Sommaire général'!F40</f>
        <v>Présent ?</v>
      </c>
      <c r="C40" s="424" t="str">
        <f>'Niveau 1- Sommaire général'!G40</f>
        <v>Présent ?</v>
      </c>
      <c r="D40" s="424" t="str">
        <f>'Niveau 1- Sommaire général'!H40</f>
        <v>Présent ?</v>
      </c>
      <c r="E40" s="424" t="str">
        <f>'Niveau 1- Sommaire général'!I40</f>
        <v>Présent ?</v>
      </c>
      <c r="F40" s="424" t="str">
        <f>'Niveau 1- Sommaire général'!J40</f>
        <v>Présent ?</v>
      </c>
      <c r="G40" s="424" t="str">
        <f>'Niveau 1- Sommaire général'!K40</f>
        <v>Présent ?</v>
      </c>
    </row>
    <row r="41" spans="1:7">
      <c r="A41" s="263" t="str">
        <f>'Etape 4-Utilis. Industrielle Hg'!A15</f>
        <v>Biocides et pesticides au mercure</v>
      </c>
      <c r="B41" s="424" t="str">
        <f>'Niveau 1- Sommaire général'!F41</f>
        <v>Présent ?</v>
      </c>
      <c r="C41" s="424" t="str">
        <f>'Niveau 1- Sommaire général'!G41</f>
        <v>Présent ?</v>
      </c>
      <c r="D41" s="424" t="str">
        <f>'Niveau 1- Sommaire général'!H41</f>
        <v>Présent ?</v>
      </c>
      <c r="E41" s="424" t="str">
        <f>'Niveau 1- Sommaire général'!I41</f>
        <v>Présent ?</v>
      </c>
      <c r="F41" s="424" t="str">
        <f>'Niveau 1- Sommaire général'!J41</f>
        <v>Présent ?</v>
      </c>
      <c r="G41" s="424" t="str">
        <f>'Niveau 1- Sommaire général'!K41</f>
        <v>Présent ?</v>
      </c>
    </row>
    <row r="42" spans="1:7">
      <c r="A42" s="263" t="str">
        <f>'Etape 4-Utilis. Industrielle Hg'!A16</f>
        <v>Peintures au mercure</v>
      </c>
      <c r="B42" s="424" t="str">
        <f>'Niveau 1- Sommaire général'!F42</f>
        <v>Présent ?</v>
      </c>
      <c r="C42" s="424" t="str">
        <f>'Niveau 1- Sommaire général'!G42</f>
        <v>Présent ?</v>
      </c>
      <c r="D42" s="424" t="str">
        <f>'Niveau 1- Sommaire général'!H42</f>
        <v>Présent ?</v>
      </c>
      <c r="E42" s="424" t="str">
        <f>'Niveau 1- Sommaire général'!I42</f>
        <v>Présent ?</v>
      </c>
      <c r="F42" s="424" t="str">
        <f>'Niveau 1- Sommaire général'!J42</f>
        <v>Présent ?</v>
      </c>
      <c r="G42" s="424" t="str">
        <f>'Niveau 1- Sommaire général'!K42</f>
        <v>Présent ?</v>
      </c>
    </row>
    <row r="43" spans="1:7" ht="25">
      <c r="A43" s="263" t="str">
        <f>'Etape 4-Utilis. Industrielle Hg'!A17</f>
        <v>Crèmes et savons éclaircissants pour la peau contenant du mercure</v>
      </c>
      <c r="B43" s="424" t="str">
        <f>'Niveau 1- Sommaire général'!F43</f>
        <v>Présent ?</v>
      </c>
      <c r="C43" s="424" t="str">
        <f>'Niveau 1- Sommaire général'!G43</f>
        <v>Présent ?</v>
      </c>
      <c r="D43" s="424" t="str">
        <f>'Niveau 1- Sommaire général'!H43</f>
        <v>Présent ?</v>
      </c>
      <c r="E43" s="424" t="str">
        <f>'Niveau 1- Sommaire général'!I43</f>
        <v>Présent ?</v>
      </c>
      <c r="F43" s="424" t="str">
        <f>'Niveau 1- Sommaire général'!J43</f>
        <v>Présent ?</v>
      </c>
      <c r="G43" s="424" t="str">
        <f>'Niveau 1- Sommaire général'!K43</f>
        <v>Présent ?</v>
      </c>
    </row>
    <row r="44" spans="1:7" ht="16.5" customHeight="1">
      <c r="A44" s="389" t="str">
        <f>'Etape6-Produits-substances Hg'!A6</f>
        <v>Utilisation et élimination de produits avec des teneurs en mercure</v>
      </c>
      <c r="B44" s="364"/>
      <c r="C44" s="364"/>
      <c r="D44" s="364"/>
      <c r="E44" s="307"/>
      <c r="F44" s="307"/>
      <c r="G44" s="307"/>
    </row>
    <row r="45" spans="1:7">
      <c r="A45" s="263" t="str">
        <f>'Etape6-Produits-substances Hg'!A7</f>
        <v>Amalgames dentaires (obturation "argent")</v>
      </c>
      <c r="B45" s="424" t="str">
        <f>'Niveau 1- Sommaire général'!F45</f>
        <v>Présent ?</v>
      </c>
      <c r="C45" s="424" t="str">
        <f>'Niveau 1- Sommaire général'!G45</f>
        <v>Présent ?</v>
      </c>
      <c r="D45" s="424" t="str">
        <f>'Niveau 1- Sommaire général'!H45</f>
        <v>Présent ?</v>
      </c>
      <c r="E45" s="424" t="str">
        <f>'Niveau 1- Sommaire général'!I45</f>
        <v>Présent ?</v>
      </c>
      <c r="F45" s="424" t="str">
        <f>'Niveau 1- Sommaire général'!J45</f>
        <v>Présent ?</v>
      </c>
      <c r="G45" s="424" t="str">
        <f>'Niveau 1- Sommaire général'!K45</f>
        <v>Présent ?</v>
      </c>
    </row>
    <row r="46" spans="1:7">
      <c r="A46" s="263" t="str">
        <f>'Etape6-Produits-substances Hg'!A15</f>
        <v>Thermomètres</v>
      </c>
      <c r="B46" s="424" t="str">
        <f>'Niveau 1- Sommaire général'!F46</f>
        <v>Présent ?</v>
      </c>
      <c r="C46" s="424" t="str">
        <f>'Niveau 1- Sommaire général'!G46</f>
        <v>Présent ?</v>
      </c>
      <c r="D46" s="424" t="str">
        <f>'Niveau 1- Sommaire général'!H46</f>
        <v>Présent ?</v>
      </c>
      <c r="E46" s="424" t="str">
        <f>'Niveau 1- Sommaire général'!I46</f>
        <v>Présent ?</v>
      </c>
      <c r="F46" s="424" t="str">
        <f>'Niveau 1- Sommaire général'!J46</f>
        <v>Présent ?</v>
      </c>
      <c r="G46" s="424" t="str">
        <f>'Niveau 1- Sommaire général'!K46</f>
        <v>Présent ?</v>
      </c>
    </row>
    <row r="47" spans="1:7" ht="25">
      <c r="A47" s="263" t="str">
        <f>'Etape6-Produits-substances Hg'!A20</f>
        <v>Commutateurs et relais électriques contenant du mercure</v>
      </c>
      <c r="B47" s="424" t="str">
        <f>'Niveau 1- Sommaire général'!F47</f>
        <v>Présent ?</v>
      </c>
      <c r="C47" s="424" t="str">
        <f>'Niveau 1- Sommaire général'!G47</f>
        <v>Présent ?</v>
      </c>
      <c r="D47" s="424" t="str">
        <f>'Niveau 1- Sommaire général'!H47</f>
        <v>Présent ?</v>
      </c>
      <c r="E47" s="424" t="str">
        <f>'Niveau 1- Sommaire général'!I47</f>
        <v>Présent ?</v>
      </c>
      <c r="F47" s="424" t="str">
        <f>'Niveau 1- Sommaire général'!J47</f>
        <v>Présent ?</v>
      </c>
      <c r="G47" s="424" t="str">
        <f>'Niveau 1- Sommaire général'!K47</f>
        <v>Présent ?</v>
      </c>
    </row>
    <row r="48" spans="1:7">
      <c r="A48" s="263" t="str">
        <f>'Etape6-Produits-substances Hg'!A23</f>
        <v>Sources de lumière au mercure</v>
      </c>
      <c r="B48" s="424" t="str">
        <f>'Niveau 1- Sommaire général'!F48</f>
        <v>Présent ?</v>
      </c>
      <c r="C48" s="424" t="str">
        <f>'Niveau 1- Sommaire général'!G48</f>
        <v>Présent ?</v>
      </c>
      <c r="D48" s="424" t="str">
        <f>'Niveau 1- Sommaire général'!H48</f>
        <v>Présent ?</v>
      </c>
      <c r="E48" s="424" t="str">
        <f>'Niveau 1- Sommaire général'!I48</f>
        <v>Présent ?</v>
      </c>
      <c r="F48" s="424" t="str">
        <f>'Niveau 1- Sommaire général'!J48</f>
        <v>Présent ?</v>
      </c>
      <c r="G48" s="424" t="str">
        <f>'Niveau 1- Sommaire général'!K48</f>
        <v>Présent ?</v>
      </c>
    </row>
    <row r="49" spans="1:7">
      <c r="A49" s="367" t="str">
        <f>'Etape6-Produits-substances Hg'!A28</f>
        <v>Piles contenant du mercure</v>
      </c>
      <c r="B49" s="424" t="str">
        <f>'Niveau 1- Sommaire général'!F49</f>
        <v>Présent ?</v>
      </c>
      <c r="C49" s="424" t="str">
        <f>'Niveau 1- Sommaire général'!G49</f>
        <v>Présent ?</v>
      </c>
      <c r="D49" s="424" t="str">
        <f>'Niveau 1- Sommaire général'!H49</f>
        <v>Présent ?</v>
      </c>
      <c r="E49" s="424" t="str">
        <f>'Niveau 1- Sommaire général'!I49</f>
        <v>Présent ?</v>
      </c>
      <c r="F49" s="424" t="str">
        <f>'Niveau 1- Sommaire général'!J49</f>
        <v>Présent ?</v>
      </c>
      <c r="G49" s="424" t="str">
        <f>'Niveau 1- Sommaire général'!K49</f>
        <v>Présent ?</v>
      </c>
    </row>
    <row r="50" spans="1:7" ht="25">
      <c r="A50" s="263" t="str">
        <f>'Etape6-Produits-substances Hg'!A33</f>
        <v>Polyuréthane produit (PU, PUR) avec un catalyseur au mercure</v>
      </c>
      <c r="B50" s="424" t="str">
        <f>'Niveau 1- Sommaire général'!F50</f>
        <v>Présent ?</v>
      </c>
      <c r="C50" s="424" t="str">
        <f>'Niveau 1- Sommaire général'!G50</f>
        <v>Présent ?</v>
      </c>
      <c r="D50" s="424" t="str">
        <f>'Niveau 1- Sommaire général'!H50</f>
        <v>Présent ?</v>
      </c>
      <c r="E50" s="424" t="str">
        <f>'Niveau 1- Sommaire général'!I50</f>
        <v>Présent ?</v>
      </c>
      <c r="F50" s="424" t="str">
        <f>'Niveau 1- Sommaire général'!J50</f>
        <v>Présent ?</v>
      </c>
      <c r="G50" s="424" t="str">
        <f>'Niveau 1- Sommaire général'!K50</f>
        <v>Présent ?</v>
      </c>
    </row>
    <row r="51" spans="1:7">
      <c r="A51" s="263" t="str">
        <f>'Etape6-Produits-substances Hg'!A36</f>
        <v>Peintures avec des conservateurs au mercure</v>
      </c>
      <c r="B51" s="424" t="str">
        <f>'Niveau 1- Sommaire général'!F51</f>
        <v>Présent ?</v>
      </c>
      <c r="C51" s="424" t="str">
        <f>'Niveau 1- Sommaire général'!G51</f>
        <v>Présent ?</v>
      </c>
      <c r="D51" s="424" t="str">
        <f>'Niveau 1- Sommaire général'!H51</f>
        <v>Présent ?</v>
      </c>
      <c r="E51" s="424" t="str">
        <f>'Niveau 1- Sommaire général'!I51</f>
        <v>Présent ?</v>
      </c>
      <c r="F51" s="424" t="str">
        <f>'Niveau 1- Sommaire général'!J51</f>
        <v>Présent ?</v>
      </c>
      <c r="G51" s="424" t="str">
        <f>'Niveau 1- Sommaire général'!K51</f>
        <v>Présent ?</v>
      </c>
    </row>
    <row r="52" spans="1:7" ht="25">
      <c r="A52" s="263" t="str">
        <f>'Etape6-Produits-substances Hg'!A38</f>
        <v>Crèmes et savons éclaircissants pour la peau contenant du mercure</v>
      </c>
      <c r="B52" s="424" t="str">
        <f>'Niveau 1- Sommaire général'!F52</f>
        <v>Présent ?</v>
      </c>
      <c r="C52" s="424" t="str">
        <f>'Niveau 1- Sommaire général'!G52</f>
        <v>Présent ?</v>
      </c>
      <c r="D52" s="424" t="str">
        <f>'Niveau 1- Sommaire général'!H52</f>
        <v>Présent ?</v>
      </c>
      <c r="E52" s="424" t="str">
        <f>'Niveau 1- Sommaire général'!I52</f>
        <v>Présent ?</v>
      </c>
      <c r="F52" s="424" t="str">
        <f>'Niveau 1- Sommaire général'!J52</f>
        <v>Présent ?</v>
      </c>
      <c r="G52" s="424" t="str">
        <f>'Niveau 1- Sommaire général'!K52</f>
        <v>Présent ?</v>
      </c>
    </row>
    <row r="53" spans="1:7" ht="29.25" customHeight="1">
      <c r="A53" s="263" t="str">
        <f>'Etape6-Produits-substances Hg'!A40</f>
        <v>Appareil médical servant à mesurer la pression sanguine (tensiomètre au mercure)</v>
      </c>
      <c r="B53" s="424" t="str">
        <f>'Niveau 1- Sommaire général'!F53</f>
        <v>Présent ?</v>
      </c>
      <c r="C53" s="424" t="str">
        <f>'Niveau 1- Sommaire général'!G53</f>
        <v>Présent ?</v>
      </c>
      <c r="D53" s="424" t="str">
        <f>'Niveau 1- Sommaire général'!H53</f>
        <v>Présent ?</v>
      </c>
      <c r="E53" s="424" t="str">
        <f>'Niveau 1- Sommaire général'!I53</f>
        <v>Présent ?</v>
      </c>
      <c r="F53" s="424" t="str">
        <f>'Niveau 1- Sommaire général'!J53</f>
        <v>Présent ?</v>
      </c>
      <c r="G53" s="424" t="str">
        <f>'Niveau 1- Sommaire général'!K53</f>
        <v>Présent ?</v>
      </c>
    </row>
    <row r="54" spans="1:7">
      <c r="A54" s="263" t="str">
        <f>'Etape6-Produits-substances Hg'!A42</f>
        <v>Autres manomètres et jauges contenant du mercure</v>
      </c>
      <c r="B54" s="424" t="str">
        <f>'Niveau 1- Sommaire général'!F54</f>
        <v>Présent ?</v>
      </c>
      <c r="C54" s="424" t="str">
        <f>'Niveau 1- Sommaire général'!G54</f>
        <v>Présent ?</v>
      </c>
      <c r="D54" s="424" t="str">
        <f>'Niveau 1- Sommaire général'!H54</f>
        <v>Présent ?</v>
      </c>
      <c r="E54" s="424" t="str">
        <f>'Niveau 1- Sommaire général'!I54</f>
        <v>Présent ?</v>
      </c>
      <c r="F54" s="424" t="str">
        <f>'Niveau 1- Sommaire général'!J54</f>
        <v>Présent ?</v>
      </c>
      <c r="G54" s="424" t="str">
        <f>'Niveau 1- Sommaire général'!K54</f>
        <v>Présent ?</v>
      </c>
    </row>
    <row r="55" spans="1:7">
      <c r="A55" s="263" t="str">
        <f>'Etape6-Produits-substances Hg'!A45</f>
        <v>Produits chimiques de laboratoire</v>
      </c>
      <c r="B55" s="424" t="str">
        <f>'Niveau 1- Sommaire général'!F55</f>
        <v>Présent ?</v>
      </c>
      <c r="C55" s="424" t="str">
        <f>'Niveau 1- Sommaire général'!G55</f>
        <v>Présent ?</v>
      </c>
      <c r="D55" s="424" t="str">
        <f>'Niveau 1- Sommaire général'!H55</f>
        <v>Présent ?</v>
      </c>
      <c r="E55" s="424" t="str">
        <f>'Niveau 1- Sommaire général'!I55</f>
        <v>Présent ?</v>
      </c>
      <c r="F55" s="424" t="str">
        <f>'Niveau 1- Sommaire général'!J55</f>
        <v>Présent ?</v>
      </c>
      <c r="G55" s="424" t="str">
        <f>'Niveau 1- Sommaire général'!K55</f>
        <v>Présent ?</v>
      </c>
    </row>
    <row r="56" spans="1:7" ht="25">
      <c r="A56" s="263" t="str">
        <f>'Etape6-Produits-substances Hg'!A48</f>
        <v>Autres équipements de laboratoire et médical contenant du mercure</v>
      </c>
      <c r="B56" s="424" t="str">
        <f>'Niveau 1- Sommaire général'!F56</f>
        <v>Présent ?</v>
      </c>
      <c r="C56" s="424" t="str">
        <f>'Niveau 1- Sommaire général'!G56</f>
        <v>Présent ?</v>
      </c>
      <c r="D56" s="424" t="str">
        <f>'Niveau 1- Sommaire général'!H56</f>
        <v>Présent ?</v>
      </c>
      <c r="E56" s="424" t="str">
        <f>'Niveau 1- Sommaire général'!I56</f>
        <v>Présent ?</v>
      </c>
      <c r="F56" s="424" t="str">
        <f>'Niveau 1- Sommaire général'!J56</f>
        <v>Présent ?</v>
      </c>
      <c r="G56" s="424" t="str">
        <f>'Niveau 1- Sommaire général'!K56</f>
        <v>Présent ?</v>
      </c>
    </row>
    <row r="57" spans="1:7" ht="13">
      <c r="A57" s="389" t="str">
        <f>'Etape5-Trait.+recyclage déchets'!A8</f>
        <v>Production de métal recyclé</v>
      </c>
      <c r="B57" s="364"/>
      <c r="C57" s="364"/>
      <c r="D57" s="364"/>
      <c r="E57" s="307"/>
      <c r="F57" s="307"/>
      <c r="G57" s="307"/>
    </row>
    <row r="58" spans="1:7">
      <c r="A58" s="263" t="str">
        <f>'Etape5-Trait.+recyclage déchets'!A9</f>
        <v>Production de mercure recyclé ("production secondaire”)</v>
      </c>
      <c r="B58" s="424" t="str">
        <f>'Niveau 1- Sommaire général'!F58</f>
        <v>Présent ?</v>
      </c>
      <c r="C58" s="424" t="str">
        <f>'Niveau 1- Sommaire général'!G58</f>
        <v>Présent ?</v>
      </c>
      <c r="D58" s="424" t="str">
        <f>'Niveau 1- Sommaire général'!H58</f>
        <v>Présent ?</v>
      </c>
      <c r="E58" s="424" t="str">
        <f>'Niveau 1- Sommaire général'!I58</f>
        <v>Présent ?</v>
      </c>
      <c r="F58" s="424" t="str">
        <f>'Niveau 1- Sommaire général'!J58</f>
        <v>Présent ?</v>
      </c>
      <c r="G58" s="424" t="str">
        <f>'Niveau 1- Sommaire général'!K58</f>
        <v>Présent ?</v>
      </c>
    </row>
    <row r="59" spans="1:7">
      <c r="A59" s="263" t="str">
        <f>'Etape5-Trait.+recyclage déchets'!A10</f>
        <v>Production de métaux ferreux recyclés (fer et acier)</v>
      </c>
      <c r="B59" s="424" t="str">
        <f>'Niveau 1- Sommaire général'!F59</f>
        <v>Présent ?</v>
      </c>
      <c r="C59" s="424" t="str">
        <f>'Niveau 1- Sommaire général'!G59</f>
        <v>Présent ?</v>
      </c>
      <c r="D59" s="424" t="str">
        <f>'Niveau 1- Sommaire général'!H59</f>
        <v>Présent ?</v>
      </c>
      <c r="E59" s="424" t="str">
        <f>'Niveau 1- Sommaire général'!I59</f>
        <v>Présent ?</v>
      </c>
      <c r="F59" s="424" t="str">
        <f>'Niveau 1- Sommaire général'!J59</f>
        <v>Présent ?</v>
      </c>
      <c r="G59" s="424" t="str">
        <f>'Niveau 1- Sommaire général'!K59</f>
        <v>Présent ?</v>
      </c>
    </row>
    <row r="60" spans="1:7" ht="13">
      <c r="A60" s="389" t="str">
        <f>'Etape5-Trait.+recyclage déchets'!A12</f>
        <v>Incinération des déchets</v>
      </c>
      <c r="B60" s="364"/>
      <c r="C60" s="364"/>
      <c r="D60" s="364"/>
      <c r="E60" s="307"/>
      <c r="F60" s="307"/>
      <c r="G60" s="307"/>
    </row>
    <row r="61" spans="1:7">
      <c r="A61" s="263" t="str">
        <f>'Etape5-Trait.+recyclage déchets'!A13</f>
        <v>Incinération des déchets municipaux/généraux</v>
      </c>
      <c r="B61" s="424" t="str">
        <f>'Niveau 1- Sommaire général'!F61</f>
        <v>Présent ?</v>
      </c>
      <c r="C61" s="424" t="str">
        <f>'Niveau 1- Sommaire général'!G61</f>
        <v>Présent ?</v>
      </c>
      <c r="D61" s="424" t="str">
        <f>'Niveau 1- Sommaire général'!H61</f>
        <v>Présent ?</v>
      </c>
      <c r="E61" s="424" t="str">
        <f>'Niveau 1- Sommaire général'!I61</f>
        <v>Présent ?</v>
      </c>
      <c r="F61" s="424" t="str">
        <f>'Niveau 1- Sommaire général'!J61</f>
        <v>Présent ?</v>
      </c>
      <c r="G61" s="424" t="str">
        <f>'Niveau 1- Sommaire général'!K61</f>
        <v>Présent ?</v>
      </c>
    </row>
    <row r="62" spans="1:7">
      <c r="A62" s="263" t="str">
        <f>'Etape5-Trait.+recyclage déchets'!A16</f>
        <v>Incinération des déchets dangereux</v>
      </c>
      <c r="B62" s="424" t="str">
        <f>'Niveau 1- Sommaire général'!F62</f>
        <v>Présent ?</v>
      </c>
      <c r="C62" s="424" t="str">
        <f>'Niveau 1- Sommaire général'!G62</f>
        <v>Présent ?</v>
      </c>
      <c r="D62" s="424" t="str">
        <f>'Niveau 1- Sommaire général'!H62</f>
        <v>Présent ?</v>
      </c>
      <c r="E62" s="424" t="str">
        <f>'Niveau 1- Sommaire général'!I62</f>
        <v>Présent ?</v>
      </c>
      <c r="F62" s="424" t="str">
        <f>'Niveau 1- Sommaire général'!J62</f>
        <v>Présent ?</v>
      </c>
      <c r="G62" s="424" t="str">
        <f>'Niveau 1- Sommaire général'!K62</f>
        <v>Présent ?</v>
      </c>
    </row>
    <row r="63" spans="1:7">
      <c r="A63" s="263" t="str">
        <f>'Etape5-Trait.+recyclage déchets'!A19</f>
        <v>Incinération et brûlage à l'air libre des déchets médicaux</v>
      </c>
      <c r="B63" s="424" t="str">
        <f>'Niveau 1- Sommaire général'!F63</f>
        <v>Présent ?</v>
      </c>
      <c r="C63" s="424" t="str">
        <f>'Niveau 1- Sommaire général'!G63</f>
        <v>Présent ?</v>
      </c>
      <c r="D63" s="424" t="str">
        <f>'Niveau 1- Sommaire général'!H63</f>
        <v>Présent ?</v>
      </c>
      <c r="E63" s="424" t="str">
        <f>'Niveau 1- Sommaire général'!I63</f>
        <v>Présent ?</v>
      </c>
      <c r="F63" s="424" t="str">
        <f>'Niveau 1- Sommaire général'!J63</f>
        <v>Présent ?</v>
      </c>
      <c r="G63" s="424" t="str">
        <f>'Niveau 1- Sommaire général'!K63</f>
        <v>Présent ?</v>
      </c>
    </row>
    <row r="64" spans="1:7">
      <c r="A64" s="263" t="str">
        <f>'Etape5-Trait.+recyclage déchets'!A22</f>
        <v>Incinération des boues d'épuration</v>
      </c>
      <c r="B64" s="424" t="str">
        <f>'Niveau 1- Sommaire général'!F64</f>
        <v>Présent ?</v>
      </c>
      <c r="C64" s="424" t="str">
        <f>'Niveau 1- Sommaire général'!G64</f>
        <v>Présent ?</v>
      </c>
      <c r="D64" s="424" t="str">
        <f>'Niveau 1- Sommaire général'!H64</f>
        <v>Présent ?</v>
      </c>
      <c r="E64" s="424" t="str">
        <f>'Niveau 1- Sommaire général'!I64</f>
        <v>Présent ?</v>
      </c>
      <c r="F64" s="424" t="str">
        <f>'Niveau 1- Sommaire général'!J64</f>
        <v>Présent ?</v>
      </c>
      <c r="G64" s="424" t="str">
        <f>'Niveau 1- Sommaire général'!K64</f>
        <v>Présent ?</v>
      </c>
    </row>
    <row r="65" spans="1:7" ht="25">
      <c r="A65" s="263" t="str">
        <f>'Etape5-Trait.+recyclage déchets'!A23</f>
        <v>Brûlage des déchets à l'air libre (sur des sites de décharge ou de manière informelle)</v>
      </c>
      <c r="B65" s="424" t="str">
        <f>'Niveau 1- Sommaire général'!F65</f>
        <v>Présent ?</v>
      </c>
      <c r="C65" s="424" t="str">
        <f>'Niveau 1- Sommaire général'!G65</f>
        <v>Présent ?</v>
      </c>
      <c r="D65" s="424" t="str">
        <f>'Niveau 1- Sommaire général'!H65</f>
        <v>Présent ?</v>
      </c>
      <c r="E65" s="424" t="str">
        <f>'Niveau 1- Sommaire général'!I65</f>
        <v>Présent ?</v>
      </c>
      <c r="F65" s="424" t="str">
        <f>'Niveau 1- Sommaire général'!J65</f>
        <v>Présent ?</v>
      </c>
      <c r="G65" s="424" t="str">
        <f>'Niveau 1- Sommaire général'!K65</f>
        <v>Présent ?</v>
      </c>
    </row>
    <row r="66" spans="1:7" ht="26">
      <c r="A66" s="389" t="str">
        <f>'Etape5-Trait.+recyclage déchets'!A25</f>
        <v>Dépôt/décharge de déchets et traitement des eaux usées</v>
      </c>
      <c r="B66" s="364"/>
      <c r="C66" s="364"/>
      <c r="D66" s="364"/>
      <c r="E66" s="307"/>
      <c r="F66" s="307"/>
      <c r="G66" s="307"/>
    </row>
    <row r="67" spans="1:7">
      <c r="A67" s="263" t="str">
        <f>'Etape5-Trait.+recyclage déchets'!A26</f>
        <v>Décharges/dépôts contôlés</v>
      </c>
      <c r="B67" s="424" t="str">
        <f>'Niveau 1- Sommaire général'!F67</f>
        <v>Présent ?</v>
      </c>
      <c r="C67" s="424" t="str">
        <f>'Niveau 1- Sommaire général'!G67</f>
        <v>Présent ?</v>
      </c>
      <c r="D67" s="424" t="str">
        <f>'Niveau 1- Sommaire général'!H67</f>
        <v>Présent ?</v>
      </c>
      <c r="E67" s="424" t="str">
        <f>'Niveau 1- Sommaire général'!I67</f>
        <v>Présent ?</v>
      </c>
      <c r="F67" s="424" t="str">
        <f>'Niveau 1- Sommaire général'!J67</f>
        <v>Présent ?</v>
      </c>
      <c r="G67" s="424" t="str">
        <f>'Niveau 1- Sommaire général'!K67</f>
        <v>Présent ?</v>
      </c>
    </row>
    <row r="68" spans="1:7">
      <c r="A68" s="263" t="s">
        <v>419</v>
      </c>
      <c r="B68" s="424" t="str">
        <f>'Niveau 1- Sommaire général'!F68</f>
        <v>Présent ?</v>
      </c>
      <c r="C68" s="424" t="str">
        <f>'Niveau 1- Sommaire général'!G68</f>
        <v>Présent ?</v>
      </c>
      <c r="D68" s="424" t="str">
        <f>'Niveau 1- Sommaire général'!H68</f>
        <v>Présent ?</v>
      </c>
      <c r="E68" s="424" t="str">
        <f>'Niveau 1- Sommaire général'!I68</f>
        <v>Présent ?</v>
      </c>
      <c r="F68" s="424" t="str">
        <f>'Niveau 1- Sommaire général'!J68</f>
        <v>Présent ?</v>
      </c>
      <c r="G68" s="424" t="str">
        <f>'Niveau 1- Sommaire général'!K68</f>
        <v>Présent ?</v>
      </c>
    </row>
    <row r="69" spans="1:7">
      <c r="A69" s="367" t="s">
        <v>448</v>
      </c>
      <c r="B69" s="424" t="str">
        <f>'Niveau 1- Sommaire général'!F69</f>
        <v>Présent ?</v>
      </c>
      <c r="C69" s="424" t="str">
        <f>'Niveau 1- Sommaire général'!G69</f>
        <v>Présent ?</v>
      </c>
      <c r="D69" s="424" t="str">
        <f>'Niveau 1- Sommaire général'!H69</f>
        <v>Présent ?</v>
      </c>
      <c r="E69" s="424" t="str">
        <f>'Niveau 1- Sommaire général'!I69</f>
        <v>Présent ?</v>
      </c>
      <c r="F69" s="424" t="str">
        <f>'Niveau 1- Sommaire général'!J69</f>
        <v>Présent ?</v>
      </c>
      <c r="G69" s="424" t="str">
        <f>'Niveau 1- Sommaire général'!K69</f>
        <v>Présent ?</v>
      </c>
    </row>
    <row r="70" spans="1:7" ht="13">
      <c r="A70" s="389" t="str">
        <f>'Etape7-Crématoriums-cimetières'!A4</f>
        <v>Crématoriums and cimetières</v>
      </c>
      <c r="B70" s="364"/>
      <c r="C70" s="364"/>
      <c r="D70" s="364"/>
      <c r="E70" s="307"/>
      <c r="F70" s="307"/>
      <c r="G70" s="307"/>
    </row>
    <row r="71" spans="1:7">
      <c r="A71" s="263" t="str">
        <f>'Etape7-Crématoriums-cimetières'!A5</f>
        <v>Crématoriums</v>
      </c>
      <c r="B71" s="424" t="str">
        <f>'Niveau 1- Sommaire général'!F71</f>
        <v>Présent ?</v>
      </c>
      <c r="C71" s="424" t="str">
        <f>'Niveau 1- Sommaire général'!G71</f>
        <v>Présent ?</v>
      </c>
      <c r="D71" s="424" t="str">
        <f>'Niveau 1- Sommaire général'!H71</f>
        <v>Présent ?</v>
      </c>
      <c r="E71" s="424" t="str">
        <f>'Niveau 1- Sommaire général'!I71</f>
        <v>Présent ?</v>
      </c>
      <c r="F71" s="424" t="str">
        <f>'Niveau 1- Sommaire général'!J71</f>
        <v>Présent ?</v>
      </c>
      <c r="G71" s="424" t="str">
        <f>'Niveau 1- Sommaire général'!K71</f>
        <v>Présent ?</v>
      </c>
    </row>
    <row r="72" spans="1:7">
      <c r="A72" s="263" t="str">
        <f>'Etape7-Crématoriums-cimetières'!A6</f>
        <v>Cimetières</v>
      </c>
      <c r="B72" s="424" t="str">
        <f>'Niveau 1- Sommaire général'!F72</f>
        <v>Présent ?</v>
      </c>
      <c r="C72" s="424" t="str">
        <f>'Niveau 1- Sommaire général'!G72</f>
        <v>Présent ?</v>
      </c>
      <c r="D72" s="424" t="str">
        <f>'Niveau 1- Sommaire général'!H72</f>
        <v>Présent ?</v>
      </c>
      <c r="E72" s="424" t="str">
        <f>'Niveau 1- Sommaire général'!I72</f>
        <v>Présent ?</v>
      </c>
      <c r="F72" s="424" t="str">
        <f>'Niveau 1- Sommaire général'!J72</f>
        <v>Présent ?</v>
      </c>
      <c r="G72" s="424" t="str">
        <f>'Niveau 1- Sommaire général'!K72</f>
        <v>Présent ?</v>
      </c>
    </row>
    <row r="73" spans="1:7" s="355" customFormat="1" ht="13">
      <c r="A73" s="265" t="s">
        <v>823</v>
      </c>
      <c r="B73" s="554">
        <f>'Niveau 1- Sommaire général'!F73</f>
        <v>0</v>
      </c>
      <c r="C73" s="554" t="e">
        <f>'Niveau 1- Sommaire général'!G73</f>
        <v>#VALUE!</v>
      </c>
      <c r="D73" s="554" t="e">
        <f>'Niveau 1- Sommaire général'!H73</f>
        <v>#VALUE!</v>
      </c>
      <c r="E73" s="554">
        <f>'Niveau 1- Sommaire général'!I73</f>
        <v>0</v>
      </c>
      <c r="F73" s="554">
        <f>'Niveau 1- Sommaire général'!J73</f>
        <v>0</v>
      </c>
      <c r="G73" s="554">
        <f>'Niveau 1- Sommaire général'!K73</f>
        <v>0</v>
      </c>
    </row>
    <row r="74" spans="1:7">
      <c r="A74" s="357"/>
    </row>
    <row r="75" spans="1:7">
      <c r="A75" s="620" t="s">
        <v>1227</v>
      </c>
    </row>
    <row r="76" spans="1:7">
      <c r="A76" s="322" t="s">
        <v>1105</v>
      </c>
    </row>
    <row r="77" spans="1:7">
      <c r="A77" s="322" t="s">
        <v>1068</v>
      </c>
    </row>
    <row r="78" spans="1:7">
      <c r="A78" s="322" t="s">
        <v>1106</v>
      </c>
    </row>
    <row r="79" spans="1:7">
      <c r="A79" s="322" t="s">
        <v>1102</v>
      </c>
    </row>
    <row r="80" spans="1:7">
      <c r="A80" s="620" t="s">
        <v>1222</v>
      </c>
    </row>
    <row r="92" spans="1:1">
      <c r="A92" s="322"/>
    </row>
    <row r="93" spans="1:1">
      <c r="A93" s="322"/>
    </row>
    <row r="94" spans="1:1">
      <c r="A94" s="322"/>
    </row>
  </sheetData>
  <sheetProtection algorithmName="SHA-512" hashValue="pBTdfk1sNmVdKjXdwHxOnKSqmjZT+bpdtJkfPm1alkuHF2I/EyES05jABFv8cHNBXFd/lXrGkqkuq2spqcX7sA==" saltValue="RHl/OI4/S/6hcRrKBPjnhw==" spinCount="100000" sheet="1" objects="1" scenarios="1"/>
  <mergeCells count="1">
    <mergeCell ref="B2:G2"/>
  </mergeCells>
  <pageMargins left="0.39370078740157483" right="0.39370078740157483" top="0.74803149606299213" bottom="0.74803149606299213" header="0.31496062992125984" footer="0.31496062992125984"/>
  <pageSetup paperSize="9" scale="65" orientation="portrait" r:id="rId1"/>
  <headerFooter>
    <oddFooter>&amp;L&amp;A
Printed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86"/>
  <sheetViews>
    <sheetView zoomScaleNormal="100" workbookViewId="0">
      <selection activeCell="K74" sqref="K74"/>
    </sheetView>
  </sheetViews>
  <sheetFormatPr defaultColWidth="9.1796875" defaultRowHeight="12.5"/>
  <cols>
    <col min="1" max="1" width="46.81640625" style="338" customWidth="1"/>
    <col min="2" max="2" width="14.453125" style="359" customWidth="1"/>
    <col min="3" max="3" width="17.36328125" style="338" customWidth="1"/>
    <col min="4" max="4" width="33.453125" style="338" customWidth="1"/>
    <col min="5" max="5" width="12.453125" style="338" customWidth="1"/>
    <col min="6" max="6" width="12.81640625" style="338" customWidth="1"/>
    <col min="7" max="7" width="11.6328125" style="338" customWidth="1"/>
    <col min="8" max="10" width="12.453125" style="338" customWidth="1"/>
    <col min="11" max="11" width="16.1796875" style="338" customWidth="1"/>
    <col min="12" max="12" width="10.81640625" style="338" customWidth="1"/>
    <col min="13" max="16384" width="9.1796875" style="338"/>
  </cols>
  <sheetData>
    <row r="1" spans="1:12" ht="13">
      <c r="A1" s="355" t="s">
        <v>1108</v>
      </c>
      <c r="B1" s="356"/>
    </row>
    <row r="2" spans="1:12" s="360" customFormat="1" ht="38.25" customHeight="1">
      <c r="A2" s="263" t="s">
        <v>867</v>
      </c>
      <c r="B2" s="733" t="s">
        <v>868</v>
      </c>
      <c r="C2" s="263" t="s">
        <v>869</v>
      </c>
      <c r="D2" s="263"/>
      <c r="E2" s="766" t="s">
        <v>1107</v>
      </c>
      <c r="F2" s="838" t="s">
        <v>1104</v>
      </c>
      <c r="G2" s="839"/>
      <c r="H2" s="839"/>
      <c r="I2" s="839"/>
      <c r="J2" s="839"/>
      <c r="K2" s="840"/>
      <c r="L2" s="263"/>
    </row>
    <row r="3" spans="1:12" ht="38">
      <c r="A3" s="413"/>
      <c r="B3" s="343" t="s">
        <v>871</v>
      </c>
      <c r="C3" s="268" t="s">
        <v>869</v>
      </c>
      <c r="D3" s="268" t="s">
        <v>873</v>
      </c>
      <c r="E3" s="733" t="s">
        <v>876</v>
      </c>
      <c r="F3" s="269" t="s">
        <v>38</v>
      </c>
      <c r="G3" s="269" t="s">
        <v>877</v>
      </c>
      <c r="H3" s="269" t="s">
        <v>878</v>
      </c>
      <c r="I3" s="733" t="s">
        <v>879</v>
      </c>
      <c r="J3" s="733" t="s">
        <v>880</v>
      </c>
      <c r="K3" s="733" t="s">
        <v>881</v>
      </c>
      <c r="L3" s="263" t="s">
        <v>359</v>
      </c>
    </row>
    <row r="4" spans="1:12" ht="13">
      <c r="A4" s="389" t="str">
        <f>'Etape 2-Energie'!A4</f>
        <v>Consommation énergétique</v>
      </c>
      <c r="B4" s="372"/>
      <c r="C4" s="420"/>
      <c r="D4" s="303"/>
      <c r="E4" s="420"/>
      <c r="F4" s="364"/>
      <c r="G4" s="364"/>
      <c r="H4" s="364"/>
      <c r="I4" s="307"/>
      <c r="J4" s="307"/>
      <c r="K4" s="307"/>
      <c r="L4" s="371"/>
    </row>
    <row r="5" spans="1:12">
      <c r="A5" s="263" t="str">
        <f>'Etape 2-Energie'!A5</f>
        <v>Combustion de charbon issue de centrales électriques</v>
      </c>
      <c r="B5" s="268" t="str">
        <f>IF(OR('Etape 2-Energie'!B5=yes,'Etape 2-Energie'!B5=no,'Etape 2-Energie'!B5=que),'Etape 2-Energie'!B5,  pres)</f>
        <v>Présent ?</v>
      </c>
      <c r="C5" s="423">
        <f>'Etape 2-Energie'!C5</f>
        <v>0</v>
      </c>
      <c r="D5" s="263" t="str">
        <f>'Etape 2-Energie'!D5</f>
        <v>Charbon brûlé, t/an</v>
      </c>
      <c r="E5" s="434" t="str">
        <f>IF('Insérer résultats IN2'!C12="",'Etape 2-Energie'!F5,'Insérer résultats IN2'!C12)</f>
        <v>Présent ?</v>
      </c>
      <c r="F5" s="424" t="str">
        <f>IF('Insérer résultats IN2'!D12="",'Etape 2-Energie'!G5,'Insérer résultats IN2'!D12)</f>
        <v>Présent ?</v>
      </c>
      <c r="G5" s="424" t="str">
        <f>IF('Insérer résultats IN2'!E12="",'Etape 2-Energie'!H5,'Insérer résultats IN2'!E12)</f>
        <v>Présent ?</v>
      </c>
      <c r="H5" s="424" t="str">
        <f>IF('Insérer résultats IN2'!F12="",'Etape 2-Energie'!I5,'Insérer résultats IN2'!F12)</f>
        <v>Présent ?</v>
      </c>
      <c r="I5" s="424" t="str">
        <f>IF('Insérer résultats IN2'!G12="",'Etape 2-Energie'!J5,'Insérer résultats IN2'!G12)</f>
        <v>Présent ?</v>
      </c>
      <c r="J5" s="424" t="str">
        <f>IF('Insérer résultats IN2'!H12="",'Etape 2-Energie'!K5,'Insérer résultats IN2'!H12)</f>
        <v>Présent ?</v>
      </c>
      <c r="K5" s="424" t="str">
        <f>IF('Insérer résultats IN2'!I12="",'Etape 2-Energie'!L5,'Insérer résultats IN2'!I12)</f>
        <v>Présent ?</v>
      </c>
      <c r="L5" s="263" t="str">
        <f>'Etape 2-Energie'!M5</f>
        <v>5.1.1</v>
      </c>
    </row>
    <row r="6" spans="1:12">
      <c r="A6" s="263" t="str">
        <f>'Etape 2-Energie'!A8</f>
        <v>Chaudières industrielles alimentées au charbon</v>
      </c>
      <c r="B6" s="268" t="str">
        <f>IF(OR('Etape 2-Energie'!B8=yes,'Etape 2-Energie'!B8=no,'Etape 2-Energie'!B8=que),'Etape 2-Energie'!B8,  pres)</f>
        <v>Présent ?</v>
      </c>
      <c r="C6" s="423">
        <f>'Etape 2-Energie'!C8</f>
        <v>0</v>
      </c>
      <c r="D6" s="263" t="str">
        <f>'Etape 2-Energie'!D8</f>
        <v>Charbon brûlé, t/an</v>
      </c>
      <c r="E6" s="434" t="str">
        <f>IF('Insérer résultats IN2'!C13="",'Etape 2-Energie'!F8,'Insérer résultats IN2'!C13)</f>
        <v>Présent ?</v>
      </c>
      <c r="F6" s="424" t="str">
        <f>IF('Insérer résultats IN2'!D13="",'Etape 2-Energie'!G8,'Insérer résultats IN2'!D13)</f>
        <v>Présent ?</v>
      </c>
      <c r="G6" s="424" t="str">
        <f>IF('Insérer résultats IN2'!E13="",'Etape 2-Energie'!H8,'Insérer résultats IN2'!E13)</f>
        <v>Présent ?</v>
      </c>
      <c r="H6" s="424" t="str">
        <f>IF('Insérer résultats IN2'!F13="",'Etape 2-Energie'!I8,'Insérer résultats IN2'!F13)</f>
        <v>Présent ?</v>
      </c>
      <c r="I6" s="424" t="str">
        <f>IF('Insérer résultats IN2'!G13="",'Etape 2-Energie'!J8,'Insérer résultats IN2'!G13)</f>
        <v>Présent ?</v>
      </c>
      <c r="J6" s="424" t="str">
        <f>IF('Insérer résultats IN2'!H13="",'Etape 2-Energie'!K8,'Insérer résultats IN2'!H13)</f>
        <v>Présent ?</v>
      </c>
      <c r="K6" s="424" t="str">
        <f>IF('Insérer résultats IN2'!I13="",'Etape 2-Energie'!L8,'Insérer résultats IN2'!I13)</f>
        <v>Présent ?</v>
      </c>
      <c r="L6" s="263" t="str">
        <f>'Etape 2-Energie'!M8</f>
        <v>5.1.2.1</v>
      </c>
    </row>
    <row r="7" spans="1:12">
      <c r="A7" s="263" t="str">
        <f>'Etape 2-Energie'!A11</f>
        <v>Autres utilisations de charbon</v>
      </c>
      <c r="B7" s="268" t="str">
        <f>IF(OR('Etape 2-Energie'!B11=yes,'Etape 2-Energie'!B11=no,'Etape 2-Energie'!B11=que),'Etape 2-Energie'!B11,  pres)</f>
        <v>Présent ?</v>
      </c>
      <c r="C7" s="423">
        <f>'Etape 2-Energie'!C11</f>
        <v>0</v>
      </c>
      <c r="D7" s="263" t="str">
        <f>'Etape 2-Energie'!D11</f>
        <v>Charbon utilisé, t/an</v>
      </c>
      <c r="E7" s="434" t="str">
        <f>IF('Insérer résultats IN2'!C14="",'Etape 2-Energie'!F11,'Insérer résultats IN2'!C14)</f>
        <v>Présent ?</v>
      </c>
      <c r="F7" s="424" t="str">
        <f>IF('Insérer résultats IN2'!D14="",'Etape 2-Energie'!G11,'Insérer résultats IN2'!D14)</f>
        <v>Présent ?</v>
      </c>
      <c r="G7" s="424" t="str">
        <f>IF('Insérer résultats IN2'!E14="",'Etape 2-Energie'!H11,'Insérer résultats IN2'!E14)</f>
        <v>Présent ?</v>
      </c>
      <c r="H7" s="424" t="str">
        <f>IF('Insérer résultats IN2'!F14="",'Etape 2-Energie'!I11,'Insérer résultats IN2'!F14)</f>
        <v>Présent ?</v>
      </c>
      <c r="I7" s="424" t="str">
        <f>IF('Insérer résultats IN2'!G14="",'Etape 2-Energie'!J11,'Insérer résultats IN2'!G14)</f>
        <v>Présent ?</v>
      </c>
      <c r="J7" s="424" t="str">
        <f>IF('Insérer résultats IN2'!H14="",'Etape 2-Energie'!K11,'Insérer résultats IN2'!H14)</f>
        <v>Présent ?</v>
      </c>
      <c r="K7" s="424" t="str">
        <f>IF('Insérer résultats IN2'!I14="",'Etape 2-Energie'!L11,'Insérer résultats IN2'!I14)</f>
        <v>Présent ?</v>
      </c>
      <c r="L7" s="263" t="str">
        <f>'Etape 2-Energie'!M11</f>
        <v>5.1.2.2</v>
      </c>
    </row>
    <row r="8" spans="1:12" ht="25">
      <c r="A8" s="263" t="str">
        <f>'Etape 2-Energie'!A12</f>
        <v>Combustion/utilisation du coke de pétrole et de pétrole brut lourd</v>
      </c>
      <c r="B8" s="268" t="str">
        <f>IF(OR('Etape 2-Energie'!B12=yes,'Etape 2-Energie'!B12=no,'Etape 2-Energie'!B12=que),'Etape 2-Energie'!B12,  pres)</f>
        <v>Présent ?</v>
      </c>
      <c r="C8" s="423">
        <f>'Etape 2-Energie'!C12</f>
        <v>0</v>
      </c>
      <c r="D8" s="263" t="str">
        <f>'Etape 2-Energie'!D12</f>
        <v>Produits pétroliers brûlés, t/an</v>
      </c>
      <c r="E8" s="434" t="str">
        <f>IF('Insérer résultats IN2'!C15="",'Etape 2-Energie'!F12,'Insérer résultats IN2'!C15)</f>
        <v>Présent ?</v>
      </c>
      <c r="F8" s="424" t="str">
        <f>IF('Insérer résultats IN2'!D15="",'Etape 2-Energie'!G12,'Insérer résultats IN2'!D15)</f>
        <v>Présent ?</v>
      </c>
      <c r="G8" s="424" t="str">
        <f>IF('Insérer résultats IN2'!E15="",'Etape 2-Energie'!H12,'Insérer résultats IN2'!E15)</f>
        <v>Présent ?</v>
      </c>
      <c r="H8" s="424" t="str">
        <f>IF('Insérer résultats IN2'!F15="",'Etape 2-Energie'!I12,'Insérer résultats IN2'!F15)</f>
        <v>Présent ?</v>
      </c>
      <c r="I8" s="424" t="str">
        <f>IF('Insérer résultats IN2'!G15="",'Etape 2-Energie'!J12,'Insérer résultats IN2'!G15)</f>
        <v>Présent ?</v>
      </c>
      <c r="J8" s="424" t="str">
        <f>IF('Insérer résultats IN2'!H15="",'Etape 2-Energie'!K12,'Insérer résultats IN2'!H15)</f>
        <v>Présent ?</v>
      </c>
      <c r="K8" s="424" t="str">
        <f>IF('Insérer résultats IN2'!I15="",'Etape 2-Energie'!L12,'Insérer résultats IN2'!I15)</f>
        <v>Présent ?</v>
      </c>
      <c r="L8" s="263" t="str">
        <f>'Etape 2-Energie'!M12</f>
        <v>5.1.3</v>
      </c>
    </row>
    <row r="9" spans="1:12" ht="25">
      <c r="A9" s="263" t="str">
        <f>'Etape 2-Energie'!A15</f>
        <v>Combustion/utilisation de diesel, gasoil, pétrole, kérosène, GPL et d'autres distillats légers à moyens</v>
      </c>
      <c r="B9" s="268" t="str">
        <f>IF(OR('Etape 2-Energie'!B15=yes,'Etape 2-Energie'!B15=no,'Etape 2-Energie'!B15=que),'Etape 2-Energie'!B15,  pres)</f>
        <v>Présent ?</v>
      </c>
      <c r="C9" s="423">
        <f>'Etape 2-Energie'!C15</f>
        <v>0</v>
      </c>
      <c r="D9" s="263" t="str">
        <f>'Etape 2-Energie'!D15</f>
        <v>Produits pétroliers brûlés, t/an</v>
      </c>
      <c r="E9" s="434" t="str">
        <f>IF('Insérer résultats IN2'!C16="",'Etape 2-Energie'!F15,'Insérer résultats IN2'!C16)</f>
        <v>Présent ?</v>
      </c>
      <c r="F9" s="424" t="str">
        <f>IF('Insérer résultats IN2'!D16="",'Etape 2-Energie'!G15,'Insérer résultats IN2'!D16)</f>
        <v>Présent ?</v>
      </c>
      <c r="G9" s="424" t="str">
        <f>IF('Insérer résultats IN2'!E16="",'Etape 2-Energie'!H15,'Insérer résultats IN2'!E16)</f>
        <v>Présent ?</v>
      </c>
      <c r="H9" s="424" t="str">
        <f>IF('Insérer résultats IN2'!F16="",'Etape 2-Energie'!I15,'Insérer résultats IN2'!F16)</f>
        <v>Présent ?</v>
      </c>
      <c r="I9" s="424" t="str">
        <f>IF('Insérer résultats IN2'!G16="",'Etape 2-Energie'!J15,'Insérer résultats IN2'!G16)</f>
        <v>Présent ?</v>
      </c>
      <c r="J9" s="424" t="str">
        <f>IF('Insérer résultats IN2'!H16="",'Etape 2-Energie'!K15,'Insérer résultats IN2'!H16)</f>
        <v>Présent ?</v>
      </c>
      <c r="K9" s="424" t="str">
        <f>IF('Insérer résultats IN2'!I16="",'Etape 2-Energie'!L15,'Insérer résultats IN2'!I16)</f>
        <v>Présent ?</v>
      </c>
      <c r="L9" s="263" t="str">
        <f>'Etape 2-Energie'!M15</f>
        <v>5.1.3</v>
      </c>
    </row>
    <row r="10" spans="1:12">
      <c r="A10" s="263" t="str">
        <f>'Etape 2-Energie'!A18</f>
        <v>Utilisation de gaz naturel brut ou purifié au préalable</v>
      </c>
      <c r="B10" s="268" t="str">
        <f>IF(OR('Etape 2-Energie'!B18=yes,'Etape 2-Energie'!B18=no,'Etape 2-Energie'!B18=que),'Etape 2-Energie'!B18,  pres)</f>
        <v>Présent ?</v>
      </c>
      <c r="C10" s="423">
        <f>'Etape 2-Energie'!C18</f>
        <v>0</v>
      </c>
      <c r="D10" s="263" t="str">
        <f>'Etape 2-Energie'!D18</f>
        <v>Gaz utilisé, Nm³/an</v>
      </c>
      <c r="E10" s="434" t="str">
        <f>IF('Insérer résultats IN2'!C17="",'Etape 2-Energie'!F18,'Insérer résultats IN2'!C17)</f>
        <v>Présent ?</v>
      </c>
      <c r="F10" s="424" t="str">
        <f>IF('Insérer résultats IN2'!D17="",'Etape 2-Energie'!G18,'Insérer résultats IN2'!D17)</f>
        <v>Présent ?</v>
      </c>
      <c r="G10" s="424" t="str">
        <f>IF('Insérer résultats IN2'!E17="",'Etape 2-Energie'!H18,'Insérer résultats IN2'!E17)</f>
        <v>Présent ?</v>
      </c>
      <c r="H10" s="424" t="str">
        <f>IF('Insérer résultats IN2'!F17="",'Etape 2-Energie'!I18,'Insérer résultats IN2'!F17)</f>
        <v>Présent ?</v>
      </c>
      <c r="I10" s="424" t="str">
        <f>IF('Insérer résultats IN2'!G17="",'Etape 2-Energie'!J18,'Insérer résultats IN2'!G17)</f>
        <v>Présent ?</v>
      </c>
      <c r="J10" s="424" t="str">
        <f>IF('Insérer résultats IN2'!H17="",'Etape 2-Energie'!K18,'Insérer résultats IN2'!H17)</f>
        <v>Présent ?</v>
      </c>
      <c r="K10" s="424" t="str">
        <f>IF('Insérer résultats IN2'!I17="",'Etape 2-Energie'!L18,'Insérer résultats IN2'!I17)</f>
        <v>Présent ?</v>
      </c>
      <c r="L10" s="263" t="str">
        <f>'Etape 2-Energie'!M18</f>
        <v>5.1.4</v>
      </c>
    </row>
    <row r="11" spans="1:12" ht="15.75" customHeight="1">
      <c r="A11" s="263" t="str">
        <f>'Etape 2-Energie'!A19</f>
        <v>Utilisation de gaz riche (qualité pour les consommateurs)</v>
      </c>
      <c r="B11" s="268" t="str">
        <f>IF(OR('Etape 2-Energie'!B19=yes,'Etape 2-Energie'!B19=no,'Etape 2-Energie'!B19=que),'Etape 2-Energie'!B19,  pres)</f>
        <v>Présent ?</v>
      </c>
      <c r="C11" s="423">
        <f>'Etape 2-Energie'!C19</f>
        <v>0</v>
      </c>
      <c r="D11" s="263" t="str">
        <f>'Etape 2-Energie'!D19</f>
        <v>Gaz utilisé, Nm³/an</v>
      </c>
      <c r="E11" s="434" t="str">
        <f>IF('Insérer résultats IN2'!C18="",'Etape 2-Energie'!F19,'Insérer résultats IN2'!C18)</f>
        <v>Présent ?</v>
      </c>
      <c r="F11" s="424" t="str">
        <f>IF('Insérer résultats IN2'!D18="",'Etape 2-Energie'!G19,'Insérer résultats IN2'!D18)</f>
        <v>Présent ?</v>
      </c>
      <c r="G11" s="424" t="str">
        <f>IF('Insérer résultats IN2'!E18="",'Etape 2-Energie'!H19,'Insérer résultats IN2'!E18)</f>
        <v>Présent ?</v>
      </c>
      <c r="H11" s="424" t="str">
        <f>IF('Insérer résultats IN2'!F18="",'Etape 2-Energie'!I19,'Insérer résultats IN2'!F18)</f>
        <v>Présent ?</v>
      </c>
      <c r="I11" s="424" t="str">
        <f>IF('Insérer résultats IN2'!G18="",'Etape 2-Energie'!J19,'Insérer résultats IN2'!G18)</f>
        <v>Présent ?</v>
      </c>
      <c r="J11" s="424" t="str">
        <f>IF('Insérer résultats IN2'!H18="",'Etape 2-Energie'!K19,'Insérer résultats IN2'!H18)</f>
        <v>Présent ?</v>
      </c>
      <c r="K11" s="424" t="str">
        <f>IF('Insérer résultats IN2'!I18="",'Etape 2-Energie'!L19,'Insérer résultats IN2'!I18)</f>
        <v>Présent ?</v>
      </c>
      <c r="L11" s="263" t="str">
        <f>'Etape 2-Energie'!M19</f>
        <v>5.1.4</v>
      </c>
    </row>
    <row r="12" spans="1:12" ht="25">
      <c r="A12" s="263" t="str">
        <f>'Etape 2-Energie'!A20</f>
        <v>Production électrique et thermique par combustion de biomasse</v>
      </c>
      <c r="B12" s="268" t="str">
        <f>IF(OR('Etape 2-Energie'!B20=yes,'Etape 2-Energie'!B20=no,'Etape 2-Energie'!B20=que),'Etape 2-Energie'!B20,  pres)</f>
        <v>Présent ?</v>
      </c>
      <c r="C12" s="423">
        <f>'Etape 2-Energie'!C20</f>
        <v>0</v>
      </c>
      <c r="D12" s="263" t="str">
        <f>'Etape 2-Energie'!D20</f>
        <v>Charbon de bois brûlé, t/an</v>
      </c>
      <c r="E12" s="434" t="str">
        <f>IF('Insérer résultats IN2'!C19="",'Etape 2-Energie'!F20,'Insérer résultats IN2'!C19)</f>
        <v>Présent ?</v>
      </c>
      <c r="F12" s="424" t="str">
        <f>IF('Insérer résultats IN2'!D19="",'Etape 2-Energie'!G20,'Insérer résultats IN2'!D19)</f>
        <v>Présent ?</v>
      </c>
      <c r="G12" s="424" t="str">
        <f>IF('Insérer résultats IN2'!E19="",'Etape 2-Energie'!H20,'Insérer résultats IN2'!E19)</f>
        <v>Présent ?</v>
      </c>
      <c r="H12" s="424" t="str">
        <f>IF('Insérer résultats IN2'!F19="",'Etape 2-Energie'!I20,'Insérer résultats IN2'!F19)</f>
        <v>Présent ?</v>
      </c>
      <c r="I12" s="424" t="str">
        <f>IF('Insérer résultats IN2'!G19="",'Etape 2-Energie'!J20,'Insérer résultats IN2'!G19)</f>
        <v>Présent ?</v>
      </c>
      <c r="J12" s="424" t="str">
        <f>IF('Insérer résultats IN2'!H19="",'Etape 2-Energie'!K20,'Insérer résultats IN2'!H19)</f>
        <v>Présent ?</v>
      </c>
      <c r="K12" s="424" t="str">
        <f>IF('Insérer résultats IN2'!I19="",'Etape 2-Energie'!L20,'Insérer résultats IN2'!I19)</f>
        <v>Présent ?</v>
      </c>
      <c r="L12" s="263" t="str">
        <f>'Etape 2-Energie'!M20</f>
        <v>5.1.6</v>
      </c>
    </row>
    <row r="13" spans="1:12">
      <c r="A13" s="263" t="str">
        <f>'Etape 2-Energie'!A21</f>
        <v>Combustion de charbon de bois</v>
      </c>
      <c r="B13" s="268" t="str">
        <f>IF(OR('Etape 2-Energie'!B21=yes,'Etape 2-Energie'!B21=no,'Etape 2-Energie'!B21=que),'Etape 2-Energie'!B21,  pres)</f>
        <v>Présent ?</v>
      </c>
      <c r="C13" s="423">
        <f>'Etape 2-Energie'!C21</f>
        <v>0</v>
      </c>
      <c r="D13" s="263" t="str">
        <f>'Etape 2-Energie'!D21</f>
        <v>Charbon de bois brûlé, t/an</v>
      </c>
      <c r="E13" s="434" t="str">
        <f>IF('Insérer résultats IN2'!C20="",'Etape 2-Energie'!F21,'Insérer résultats IN2'!C20)</f>
        <v>Présent ?</v>
      </c>
      <c r="F13" s="424" t="str">
        <f>IF('Insérer résultats IN2'!D20="",'Etape 2-Energie'!G21,'Insérer résultats IN2'!D20)</f>
        <v>Présent ?</v>
      </c>
      <c r="G13" s="424" t="str">
        <f>IF('Insérer résultats IN2'!E20="",'Etape 2-Energie'!H21,'Insérer résultats IN2'!E20)</f>
        <v>Présent ?</v>
      </c>
      <c r="H13" s="424" t="str">
        <f>IF('Insérer résultats IN2'!F20="",'Etape 2-Energie'!I21,'Insérer résultats IN2'!F20)</f>
        <v>Présent ?</v>
      </c>
      <c r="I13" s="424" t="str">
        <f>IF('Insérer résultats IN2'!G20="",'Etape 2-Energie'!J21,'Insérer résultats IN2'!G20)</f>
        <v>Présent ?</v>
      </c>
      <c r="J13" s="424" t="str">
        <f>IF('Insérer résultats IN2'!H20="",'Etape 2-Energie'!K21,'Insérer résultats IN2'!H20)</f>
        <v>Présent ?</v>
      </c>
      <c r="K13" s="424" t="str">
        <f>IF('Insérer résultats IN2'!I20="",'Etape 2-Energie'!L21,'Insérer résultats IN2'!I20)</f>
        <v>Présent ?</v>
      </c>
      <c r="L13" s="263" t="str">
        <f>'Etape 2-Energie'!M21</f>
        <v>5.1.6</v>
      </c>
    </row>
    <row r="14" spans="1:12" ht="13">
      <c r="A14" s="389" t="str">
        <f>'Etape 2-Energie'!A23</f>
        <v>Production de carburant</v>
      </c>
      <c r="B14" s="303"/>
      <c r="C14" s="421"/>
      <c r="D14" s="371"/>
      <c r="E14" s="371"/>
      <c r="F14" s="371"/>
      <c r="G14" s="422"/>
      <c r="H14" s="422"/>
      <c r="I14" s="422"/>
      <c r="J14" s="422"/>
      <c r="K14" s="422"/>
      <c r="L14" s="371"/>
    </row>
    <row r="15" spans="1:12">
      <c r="A15" s="263" t="str">
        <f>'Etape 2-Energie'!A24</f>
        <v>Extraction de pétrole</v>
      </c>
      <c r="B15" s="268" t="str">
        <f>IF(OR('Etape 2-Energie'!B24=yes,'Etape 2-Energie'!B24=no,'Etape 2-Energie'!B24=que),'Etape 2-Energie'!B24,  pres)</f>
        <v>Présent ?</v>
      </c>
      <c r="C15" s="423">
        <f>'Etape 2-Energie'!C24</f>
        <v>0</v>
      </c>
      <c r="D15" s="263" t="str">
        <f>'Etape 2-Energie'!D24</f>
        <v>Pétrole brut produit, t/an</v>
      </c>
      <c r="E15" s="434" t="str">
        <f>IF('Insérer résultats IN2'!C22="",'Etape 2-Energie'!F24,'Insérer résultats IN2'!C22)</f>
        <v>Présent ?</v>
      </c>
      <c r="F15" s="424" t="str">
        <f>IF('Insérer résultats IN2'!D22="",'Etape 2-Energie'!G24,'Insérer résultats IN2'!D22)</f>
        <v>Présent ?</v>
      </c>
      <c r="G15" s="424" t="str">
        <f>IF('Insérer résultats IN2'!E22="",'Etape 2-Energie'!H24,'Insérer résultats IN2'!E22)</f>
        <v>Présent ?</v>
      </c>
      <c r="H15" s="424" t="str">
        <f>IF('Insérer résultats IN2'!F22="",'Etape 2-Energie'!I24,'Insérer résultats IN2'!F22)</f>
        <v>Présent ?</v>
      </c>
      <c r="I15" s="424" t="str">
        <f>IF('Insérer résultats IN2'!G22="",'Etape 2-Energie'!J24,'Insérer résultats IN2'!G22)</f>
        <v>Présent ?</v>
      </c>
      <c r="J15" s="424" t="str">
        <f>IF('Insérer résultats IN2'!H22="",'Etape 2-Energie'!K24,'Insérer résultats IN2'!H22)</f>
        <v>Présent ?</v>
      </c>
      <c r="K15" s="424" t="str">
        <f>IF('Insérer résultats IN2'!I22="",'Etape 2-Energie'!L24,'Insérer résultats IN2'!I22)</f>
        <v>Présent ?</v>
      </c>
      <c r="L15" s="263" t="str">
        <f>'Etape 2-Energie'!M24</f>
        <v>5.1.3</v>
      </c>
    </row>
    <row r="16" spans="1:12">
      <c r="A16" s="263" t="str">
        <f>'Etape 2-Energie'!A25</f>
        <v>Raffinage du pétrole</v>
      </c>
      <c r="B16" s="268" t="str">
        <f>IF(OR('Etape 2-Energie'!B25=yes,'Etape 2-Energie'!B25=no,'Etape 2-Energie'!B25=que),'Etape 2-Energie'!B25,  pres)</f>
        <v>Présent ?</v>
      </c>
      <c r="C16" s="423">
        <f>'Etape 2-Energie'!C25</f>
        <v>0</v>
      </c>
      <c r="D16" s="263" t="str">
        <f>'Etape 2-Energie'!D25</f>
        <v>Pétrole brut raffiné, t/an</v>
      </c>
      <c r="E16" s="434" t="str">
        <f>IF('Insérer résultats IN2'!C23="",'Etape 2-Energie'!F25,'Insérer résultats IN2'!C23)</f>
        <v>Présent ?</v>
      </c>
      <c r="F16" s="424" t="str">
        <f>IF('Insérer résultats IN2'!D23="",'Etape 2-Energie'!G25,'Insérer résultats IN2'!D23)</f>
        <v>Présent ?</v>
      </c>
      <c r="G16" s="424" t="str">
        <f>IF('Insérer résultats IN2'!E23="",'Etape 2-Energie'!H25,'Insérer résultats IN2'!E23)</f>
        <v>Présent ?</v>
      </c>
      <c r="H16" s="424" t="str">
        <f>IF('Insérer résultats IN2'!F23="",'Etape 2-Energie'!I25,'Insérer résultats IN2'!F23)</f>
        <v>Présent ?</v>
      </c>
      <c r="I16" s="424" t="str">
        <f>IF('Insérer résultats IN2'!G23="",'Etape 2-Energie'!J25,'Insérer résultats IN2'!G23)</f>
        <v>Présent ?</v>
      </c>
      <c r="J16" s="424" t="str">
        <f>IF('Insérer résultats IN2'!H23="",'Etape 2-Energie'!K25,'Insérer résultats IN2'!H23)</f>
        <v>Présent ?</v>
      </c>
      <c r="K16" s="424" t="str">
        <f>IF('Insérer résultats IN2'!I23="",'Etape 2-Energie'!L25,'Insérer résultats IN2'!I23)</f>
        <v>Présent ?</v>
      </c>
      <c r="L16" s="263" t="str">
        <f>'Etape 2-Energie'!M25</f>
        <v>5.1.3</v>
      </c>
    </row>
    <row r="17" spans="1:12">
      <c r="A17" s="263" t="str">
        <f>'Etape 2-Energie'!A26</f>
        <v>Extraction et traitement du gaz naturel</v>
      </c>
      <c r="B17" s="268" t="str">
        <f>IF(OR('Etape 2-Energie'!B26=yes,'Etape 2-Energie'!B26=no,'Etape 2-Energie'!B26=que),'Etape 2-Energie'!B26,  pres)</f>
        <v>Présent ?</v>
      </c>
      <c r="C17" s="423">
        <f>'Etape 2-Energie'!C26</f>
        <v>0</v>
      </c>
      <c r="D17" s="263" t="str">
        <f>'Etape 2-Energie'!D26</f>
        <v>Gaz produit, Nm³/an</v>
      </c>
      <c r="E17" s="434" t="str">
        <f>IF('Insérer résultats IN2'!C24="",'Etape 2-Energie'!F26,'Insérer résultats IN2'!C24)</f>
        <v>Présent ?</v>
      </c>
      <c r="F17" s="424" t="str">
        <f>IF('Insérer résultats IN2'!D24="",'Etape 2-Energie'!G26,'Insérer résultats IN2'!D24)</f>
        <v>Présent ?</v>
      </c>
      <c r="G17" s="424" t="str">
        <f>IF('Insérer résultats IN2'!E24="",'Etape 2-Energie'!H26,'Insérer résultats IN2'!E24)</f>
        <v>Présent ?</v>
      </c>
      <c r="H17" s="424" t="str">
        <f>IF('Insérer résultats IN2'!F24="",'Etape 2-Energie'!I26,'Insérer résultats IN2'!F24)</f>
        <v>Présent ?</v>
      </c>
      <c r="I17" s="424" t="str">
        <f>IF('Insérer résultats IN2'!G24="",'Etape 2-Energie'!J26,'Insérer résultats IN2'!G24)</f>
        <v>Présent ?</v>
      </c>
      <c r="J17" s="424" t="str">
        <f>IF('Insérer résultats IN2'!H24="",'Etape 2-Energie'!K26,'Insérer résultats IN2'!H24)</f>
        <v>Présent ?</v>
      </c>
      <c r="K17" s="424" t="str">
        <f>IF('Insérer résultats IN2'!I24="",'Etape 2-Energie'!L26,'Insérer résultats IN2'!I24)</f>
        <v>Présent ?</v>
      </c>
      <c r="L17" s="263" t="str">
        <f>'Etape 2-Energie'!M26</f>
        <v>5.1.4</v>
      </c>
    </row>
    <row r="18" spans="1:12" ht="13">
      <c r="A18" s="389" t="str">
        <f>'Etape 3-Métaux-MatPre'!A5</f>
        <v>Production de métaux primaires</v>
      </c>
      <c r="B18" s="303"/>
      <c r="C18" s="421"/>
      <c r="D18" s="371"/>
      <c r="E18" s="371"/>
      <c r="F18" s="422"/>
      <c r="G18" s="422"/>
      <c r="H18" s="422"/>
      <c r="I18" s="422"/>
      <c r="J18" s="422"/>
      <c r="K18" s="422"/>
      <c r="L18" s="371"/>
    </row>
    <row r="19" spans="1:12" ht="25">
      <c r="A19" s="263" t="str">
        <f>'Etape 3-Métaux-MatPre'!A6</f>
        <v>Extraction et transformation initiale du mercure (primaire)</v>
      </c>
      <c r="B19" s="268" t="str">
        <f>IF(OR('Etape 3-Métaux-MatPre'!B6=yes,'Etape 3-Métaux-MatPre'!B6=no,'Etape 3-Métaux-MatPre'!B6=que),'Etape 3-Métaux-MatPre'!B6,  pres)</f>
        <v>Présent ?</v>
      </c>
      <c r="C19" s="423">
        <f>'Etape 3-Métaux-MatPre'!C6</f>
        <v>0</v>
      </c>
      <c r="D19" s="263" t="str">
        <f>'Etape 3-Métaux-MatPre'!D6</f>
        <v>Mercure produit, t/an</v>
      </c>
      <c r="E19" s="434" t="str">
        <f>IF('Insérer résultats IN2'!C26="",'Etape 3-Métaux-MatPre'!F6,'Insérer résultats IN2'!C26)</f>
        <v>Présent ?</v>
      </c>
      <c r="F19" s="424" t="str">
        <f>IF('Insérer résultats IN2'!D26="",'Etape 3-Métaux-MatPre'!G6,'Insérer résultats IN2'!D26)</f>
        <v>Présent ?</v>
      </c>
      <c r="G19" s="424" t="str">
        <f>IF('Insérer résultats IN2'!E26="",'Etape 3-Métaux-MatPre'!H6,'Insérer résultats IN2'!E26)</f>
        <v>Présent ?</v>
      </c>
      <c r="H19" s="424" t="str">
        <f>IF('Insérer résultats IN2'!F26="",'Etape 3-Métaux-MatPre'!I6,'Insérer résultats IN2'!F26)</f>
        <v>Présent ?</v>
      </c>
      <c r="I19" s="424" t="str">
        <f>IF('Insérer résultats IN2'!G26="",'Etape 3-Métaux-MatPre'!J6,'Insérer résultats IN2'!G26)</f>
        <v>Présent ?</v>
      </c>
      <c r="J19" s="424" t="str">
        <f>IF('Insérer résultats IN2'!H26="",'Etape 3-Métaux-MatPre'!K6,'Insérer résultats IN2'!H26)</f>
        <v>Présent ?</v>
      </c>
      <c r="K19" s="424" t="str">
        <f>IF('Insérer résultats IN2'!I26="",'Etape 3-Métaux-MatPre'!L6,'Insérer résultats IN2'!I26)</f>
        <v>Présent ?</v>
      </c>
      <c r="L19" s="263" t="str">
        <f>'Etape 3-Métaux-MatPre'!M6</f>
        <v>5.2.1</v>
      </c>
    </row>
    <row r="20" spans="1:12">
      <c r="A20" s="263" t="str">
        <f>'Etape 3-Métaux-MatPre'!A7</f>
        <v>Production de zinc à partir de concentrés</v>
      </c>
      <c r="B20" s="268" t="str">
        <f>IF(OR('Etape 3-Métaux-MatPre'!B7=yes,'Etape 3-Métaux-MatPre'!B7=no,'Etape 3-Métaux-MatPre'!B7=que),'Etape 3-Métaux-MatPre'!B7,  pres)</f>
        <v>Présent ?</v>
      </c>
      <c r="C20" s="423">
        <f>'Etape 3-Métaux-MatPre'!C7</f>
        <v>0</v>
      </c>
      <c r="D20" s="263" t="str">
        <f>'Etape 3-Métaux-MatPre'!D7</f>
        <v>Concentré utilisé, t/an</v>
      </c>
      <c r="E20" s="434" t="str">
        <f>IF('Insérer résultats IN2'!C27="",'Etape 3-Métaux-MatPre'!F7,'Insérer résultats IN2'!C27)</f>
        <v>Présent ?</v>
      </c>
      <c r="F20" s="424" t="str">
        <f>IF('Insérer résultats IN2'!D27="",'Etape 3-Métaux-MatPre'!G7,'Insérer résultats IN2'!D27)</f>
        <v>Présent ?</v>
      </c>
      <c r="G20" s="424" t="str">
        <f>IF('Insérer résultats IN2'!E27="",'Etape 3-Métaux-MatPre'!H7,'Insérer résultats IN2'!E27)</f>
        <v>Présent ?</v>
      </c>
      <c r="H20" s="424" t="str">
        <f>IF('Insérer résultats IN2'!F27="",'Etape 3-Métaux-MatPre'!I7,'Insérer résultats IN2'!F27)</f>
        <v>Présent ?</v>
      </c>
      <c r="I20" s="424" t="str">
        <f>IF('Insérer résultats IN2'!G27="",'Etape 3-Métaux-MatPre'!J7,'Insérer résultats IN2'!G27)</f>
        <v>Présent ?</v>
      </c>
      <c r="J20" s="424" t="str">
        <f>IF('Insérer résultats IN2'!H27="",'Etape 3-Métaux-MatPre'!K7,'Insérer résultats IN2'!H27)</f>
        <v>Présent ?</v>
      </c>
      <c r="K20" s="424" t="str">
        <f>IF('Insérer résultats IN2'!I27="",'Etape 3-Métaux-MatPre'!L7,'Insérer résultats IN2'!I27)</f>
        <v>Présent ?</v>
      </c>
      <c r="L20" s="263" t="str">
        <f>'Etape 3-Métaux-MatPre'!M7</f>
        <v>5.2.3</v>
      </c>
    </row>
    <row r="21" spans="1:12">
      <c r="A21" s="263" t="str">
        <f>'Etape 3-Métaux-MatPre'!A10</f>
        <v>Production de cuivre à partir de concentrés</v>
      </c>
      <c r="B21" s="268" t="str">
        <f>IF(OR('Etape 3-Métaux-MatPre'!B10=yes,'Etape 3-Métaux-MatPre'!B10=no,'Etape 3-Métaux-MatPre'!B10=que),'Etape 3-Métaux-MatPre'!B10,  pres)</f>
        <v>Présent ?</v>
      </c>
      <c r="C21" s="423">
        <f>'Etape 3-Métaux-MatPre'!C10</f>
        <v>0</v>
      </c>
      <c r="D21" s="263" t="str">
        <f>'Etape 3-Métaux-MatPre'!D10</f>
        <v>Concentré utilisé, t/an</v>
      </c>
      <c r="E21" s="434" t="str">
        <f>IF('Insérer résultats IN2'!C28="",'Etape 3-Métaux-MatPre'!F10,'Insérer résultats IN2'!C28)</f>
        <v>Présent ?</v>
      </c>
      <c r="F21" s="424" t="str">
        <f>IF('Insérer résultats IN2'!D28="",'Etape 3-Métaux-MatPre'!G10,'Insérer résultats IN2'!D28)</f>
        <v>Présent ?</v>
      </c>
      <c r="G21" s="424" t="str">
        <f>IF('Insérer résultats IN2'!E28="",'Etape 3-Métaux-MatPre'!H10,'Insérer résultats IN2'!E28)</f>
        <v>Présent ?</v>
      </c>
      <c r="H21" s="424" t="str">
        <f>IF('Insérer résultats IN2'!F28="",'Etape 3-Métaux-MatPre'!I10,'Insérer résultats IN2'!F28)</f>
        <v>Présent ?</v>
      </c>
      <c r="I21" s="424" t="str">
        <f>IF('Insérer résultats IN2'!G28="",'Etape 3-Métaux-MatPre'!J10,'Insérer résultats IN2'!G28)</f>
        <v>Présent ?</v>
      </c>
      <c r="J21" s="424" t="str">
        <f>IF('Insérer résultats IN2'!H28="",'Etape 3-Métaux-MatPre'!K10,'Insérer résultats IN2'!H28)</f>
        <v>Présent ?</v>
      </c>
      <c r="K21" s="424" t="str">
        <f>IF('Insérer résultats IN2'!I28="",'Etape 3-Métaux-MatPre'!L10,'Insérer résultats IN2'!I28)</f>
        <v>Présent ?</v>
      </c>
      <c r="L21" s="263" t="str">
        <f>'Etape 3-Métaux-MatPre'!M10</f>
        <v>5.2.4</v>
      </c>
    </row>
    <row r="22" spans="1:12">
      <c r="A22" s="263" t="str">
        <f>'Etape 3-Métaux-MatPre'!A13</f>
        <v>Production de plomb à partir de concentrés</v>
      </c>
      <c r="B22" s="268" t="str">
        <f>IF(OR('Etape 3-Métaux-MatPre'!B13=yes,'Etape 3-Métaux-MatPre'!B13=no,'Etape 3-Métaux-MatPre'!B13=que),'Etape 3-Métaux-MatPre'!B13,  pres)</f>
        <v>Présent ?</v>
      </c>
      <c r="C22" s="423">
        <f>'Etape 3-Métaux-MatPre'!C13</f>
        <v>0</v>
      </c>
      <c r="D22" s="263" t="str">
        <f>'Etape 3-Métaux-MatPre'!D13</f>
        <v>Concentré utilisé, t/an</v>
      </c>
      <c r="E22" s="434" t="str">
        <f>IF('Insérer résultats IN2'!C29="",'Etape 3-Métaux-MatPre'!F13,'Insérer résultats IN2'!C29)</f>
        <v>Présent ?</v>
      </c>
      <c r="F22" s="424" t="str">
        <f>IF('Insérer résultats IN2'!D29="",'Etape 3-Métaux-MatPre'!G13,'Insérer résultats IN2'!D29)</f>
        <v>Présent ?</v>
      </c>
      <c r="G22" s="424" t="str">
        <f>IF('Insérer résultats IN2'!E29="",'Etape 3-Métaux-MatPre'!H13,'Insérer résultats IN2'!E29)</f>
        <v>Présent ?</v>
      </c>
      <c r="H22" s="424" t="str">
        <f>IF('Insérer résultats IN2'!F29="",'Etape 3-Métaux-MatPre'!I13,'Insérer résultats IN2'!F29)</f>
        <v>Présent ?</v>
      </c>
      <c r="I22" s="424" t="str">
        <f>IF('Insérer résultats IN2'!G29="",'Etape 3-Métaux-MatPre'!J13,'Insérer résultats IN2'!G29)</f>
        <v>Présent ?</v>
      </c>
      <c r="J22" s="424" t="str">
        <f>IF('Insérer résultats IN2'!H29="",'Etape 3-Métaux-MatPre'!K13,'Insérer résultats IN2'!H29)</f>
        <v>Présent ?</v>
      </c>
      <c r="K22" s="424" t="str">
        <f>IF('Insérer résultats IN2'!I29="",'Etape 3-Métaux-MatPre'!L13,'Insérer résultats IN2'!I29)</f>
        <v>Présent ?</v>
      </c>
      <c r="L22" s="263" t="str">
        <f>'Etape 3-Métaux-MatPre'!M13</f>
        <v>5.2.5</v>
      </c>
    </row>
    <row r="23" spans="1:12" ht="25">
      <c r="A23" s="263" t="str">
        <f>'Etape 3-Métaux-MatPre'!A16</f>
        <v>Extraction de l'or par des méthodes autres que l'amalgamation au mercure</v>
      </c>
      <c r="B23" s="268" t="str">
        <f>IF(OR('Etape 3-Métaux-MatPre'!B16=yes,'Etape 3-Métaux-MatPre'!B16=no,'Etape 3-Métaux-MatPre'!B16=que),'Etape 3-Métaux-MatPre'!B16,  pres)</f>
        <v>Présent ?</v>
      </c>
      <c r="C23" s="423">
        <f>'Etape 3-Métaux-MatPre'!C16</f>
        <v>0</v>
      </c>
      <c r="D23" s="263" t="str">
        <f>'Etape 3-Métaux-MatPre'!D16</f>
        <v>Minerai d'or utilisé, t/an</v>
      </c>
      <c r="E23" s="434" t="str">
        <f>IF('Insérer résultats IN2'!C30="",'Etape 3-Métaux-MatPre'!F16,'Insérer résultats IN2'!C30)</f>
        <v>Présent ?</v>
      </c>
      <c r="F23" s="424" t="str">
        <f>IF('Insérer résultats IN2'!D30="",'Etape 3-Métaux-MatPre'!G16,'Insérer résultats IN2'!D30)</f>
        <v>Présent ?</v>
      </c>
      <c r="G23" s="424" t="str">
        <f>IF('Insérer résultats IN2'!E30="",'Etape 3-Métaux-MatPre'!H16,'Insérer résultats IN2'!E30)</f>
        <v>Présent ?</v>
      </c>
      <c r="H23" s="424" t="str">
        <f>IF('Insérer résultats IN2'!F30="",'Etape 3-Métaux-MatPre'!I16,'Insérer résultats IN2'!F30)</f>
        <v>Présent ?</v>
      </c>
      <c r="I23" s="424" t="str">
        <f>IF('Insérer résultats IN2'!G30="",'Etape 3-Métaux-MatPre'!J16,'Insérer résultats IN2'!G30)</f>
        <v>Présent ?</v>
      </c>
      <c r="J23" s="424" t="str">
        <f>IF('Insérer résultats IN2'!H30="",'Etape 3-Métaux-MatPre'!K16,'Insérer résultats IN2'!H30)</f>
        <v>Présent ?</v>
      </c>
      <c r="K23" s="424" t="str">
        <f>IF('Insérer résultats IN2'!I30="",'Etape 3-Métaux-MatPre'!L16,'Insérer résultats IN2'!I30)</f>
        <v>Présent ?</v>
      </c>
      <c r="L23" s="263" t="str">
        <f>'Etape 3-Métaux-MatPre'!M16</f>
        <v>5.2.6</v>
      </c>
    </row>
    <row r="24" spans="1:12" ht="25">
      <c r="A24" s="263" t="str">
        <f>'Etape 3-Métaux-MatPre'!A17</f>
        <v>Production d'alumine à partir de la bauxite (production d'aluminium)</v>
      </c>
      <c r="B24" s="268" t="str">
        <f>IF(OR('Etape 3-Métaux-MatPre'!B17=yes,'Etape 3-Métaux-MatPre'!B17=no,'Etape 3-Métaux-MatPre'!B17=que),'Etape 3-Métaux-MatPre'!B17,  pres)</f>
        <v>Présent ?</v>
      </c>
      <c r="C24" s="423">
        <f>'Etape 3-Métaux-MatPre'!C17</f>
        <v>0</v>
      </c>
      <c r="D24" s="263" t="str">
        <f>'Etape 3-Métaux-MatPre'!D17</f>
        <v>Bauxite transformée, t/an</v>
      </c>
      <c r="E24" s="434" t="str">
        <f>IF('Insérer résultats IN2'!C31="",'Etape 3-Métaux-MatPre'!F17,'Insérer résultats IN2'!C31)</f>
        <v>Présent ?</v>
      </c>
      <c r="F24" s="424" t="str">
        <f>IF('Insérer résultats IN2'!D31="",'Etape 3-Métaux-MatPre'!G17,'Insérer résultats IN2'!D31)</f>
        <v>Présent ?</v>
      </c>
      <c r="G24" s="424" t="str">
        <f>IF('Insérer résultats IN2'!E31="",'Etape 3-Métaux-MatPre'!H17,'Insérer résultats IN2'!E31)</f>
        <v>Présent ?</v>
      </c>
      <c r="H24" s="424" t="str">
        <f>IF('Insérer résultats IN2'!F31="",'Etape 3-Métaux-MatPre'!I17,'Insérer résultats IN2'!F31)</f>
        <v>Présent ?</v>
      </c>
      <c r="I24" s="424" t="str">
        <f>IF('Insérer résultats IN2'!G31="",'Etape 3-Métaux-MatPre'!J17,'Insérer résultats IN2'!G31)</f>
        <v>Présent ?</v>
      </c>
      <c r="J24" s="424" t="str">
        <f>IF('Insérer résultats IN2'!H31="",'Etape 3-Métaux-MatPre'!K17,'Insérer résultats IN2'!H31)</f>
        <v>Présent ?</v>
      </c>
      <c r="K24" s="424" t="str">
        <f>IF('Insérer résultats IN2'!I31="",'Etape 3-Métaux-MatPre'!L17,'Insérer résultats IN2'!I31)</f>
        <v>Présent ?</v>
      </c>
      <c r="L24" s="263" t="str">
        <f>'Etape 3-Métaux-MatPre'!M17</f>
        <v>5.2.7</v>
      </c>
    </row>
    <row r="25" spans="1:12" ht="27.75" customHeight="1">
      <c r="A25" s="263" t="str">
        <f>'Etape 3-Métaux-MatPre'!A18</f>
        <v>Production de métal ferreux de première fusion (production de fonte)</v>
      </c>
      <c r="B25" s="268" t="str">
        <f>IF(OR('Etape 3-Métaux-MatPre'!B18=yes,'Etape 3-Métaux-MatPre'!B18=no,'Etape 3-Métaux-MatPre'!B18=que),'Etape 3-Métaux-MatPre'!B18,  pres)</f>
        <v>Présent ?</v>
      </c>
      <c r="C25" s="423">
        <f>'Etape 3-Métaux-MatPre'!C18</f>
        <v>0</v>
      </c>
      <c r="D25" s="263" t="str">
        <f>'Etape 3-Métaux-MatPre'!D18</f>
        <v>Fonte brute produite, t/an</v>
      </c>
      <c r="E25" s="434" t="str">
        <f>IF('Insérer résultats IN2'!C32="",'Etape 3-Métaux-MatPre'!F18,'Insérer résultats IN2'!C32)</f>
        <v>Présent ?</v>
      </c>
      <c r="F25" s="424" t="str">
        <f>IF('Insérer résultats IN2'!D32="",'Etape 3-Métaux-MatPre'!G18,'Insérer résultats IN2'!D32)</f>
        <v>Présent ?</v>
      </c>
      <c r="G25" s="424" t="str">
        <f>IF('Insérer résultats IN2'!E32="",'Etape 3-Métaux-MatPre'!H18,'Insérer résultats IN2'!E32)</f>
        <v>Présent ?</v>
      </c>
      <c r="H25" s="424" t="str">
        <f>IF('Insérer résultats IN2'!F32="",'Etape 3-Métaux-MatPre'!I18,'Insérer résultats IN2'!F32)</f>
        <v>Présent ?</v>
      </c>
      <c r="I25" s="424" t="str">
        <f>IF('Insérer résultats IN2'!G32="",'Etape 3-Métaux-MatPre'!J18,'Insérer résultats IN2'!G32)</f>
        <v>Présent ?</v>
      </c>
      <c r="J25" s="424" t="str">
        <f>IF('Insérer résultats IN2'!H32="",'Etape 3-Métaux-MatPre'!K18,'Insérer résultats IN2'!H32)</f>
        <v>Présent ?</v>
      </c>
      <c r="K25" s="424" t="str">
        <f>IF('Insérer résultats IN2'!I32="",'Etape 3-Métaux-MatPre'!L18,'Insérer résultats IN2'!I32)</f>
        <v>Présent ?</v>
      </c>
      <c r="L25" s="263" t="str">
        <f>'Etape 3-Métaux-MatPre'!M18</f>
        <v>5.2.9</v>
      </c>
    </row>
    <row r="26" spans="1:12" ht="25">
      <c r="A26" s="263" t="str">
        <f>'Etape 3-Métaux-MatPre'!A19</f>
        <v>Extraction de l'or par amalgamation au mercure- à partir du minerai brut/entier</v>
      </c>
      <c r="B26" s="268" t="str">
        <f>IF(OR('Etape 3-Métaux-MatPre'!B19=yes,'Etape 3-Métaux-MatPre'!B19=no,'Etape 3-Métaux-MatPre'!B19=que),'Etape 3-Métaux-MatPre'!B19,  pres)</f>
        <v>Présent ?</v>
      </c>
      <c r="C26" s="423">
        <f>'Etape 3-Métaux-MatPre'!C19</f>
        <v>0</v>
      </c>
      <c r="D26" s="263" t="str">
        <f>'Etape 3-Métaux-MatPre'!D19</f>
        <v>Or produit, kg/an</v>
      </c>
      <c r="E26" s="434" t="str">
        <f>IF('Insérer résultats IN2'!C33="",'Etape 3-Métaux-MatPre'!F19,'Insérer résultats IN2'!C33)</f>
        <v>Présent ?</v>
      </c>
      <c r="F26" s="424" t="str">
        <f>IF('Insérer résultats IN2'!D33="",'Etape 3-Métaux-MatPre'!G19,'Insérer résultats IN2'!D33)</f>
        <v>Présent ?</v>
      </c>
      <c r="G26" s="424" t="str">
        <f>IF('Insérer résultats IN2'!E33="",'Etape 3-Métaux-MatPre'!H19,'Insérer résultats IN2'!E33)</f>
        <v>Présent ?</v>
      </c>
      <c r="H26" s="424" t="str">
        <f>IF('Insérer résultats IN2'!F33="",'Etape 3-Métaux-MatPre'!I19,'Insérer résultats IN2'!F33)</f>
        <v>Présent ?</v>
      </c>
      <c r="I26" s="424" t="str">
        <f>IF('Insérer résultats IN2'!G33="",'Etape 3-Métaux-MatPre'!J19,'Insérer résultats IN2'!G33)</f>
        <v>Présent ?</v>
      </c>
      <c r="J26" s="424" t="str">
        <f>IF('Insérer résultats IN2'!H33="",'Etape 3-Métaux-MatPre'!K19,'Insérer résultats IN2'!H33)</f>
        <v>Présent ?</v>
      </c>
      <c r="K26" s="424" t="str">
        <f>IF('Insérer résultats IN2'!I33="",'Etape 3-Métaux-MatPre'!L19,'Insérer résultats IN2'!I33)</f>
        <v>Présent ?</v>
      </c>
      <c r="L26" s="263" t="str">
        <f>'Etape 3-Métaux-MatPre'!M19</f>
        <v>5.2.2</v>
      </c>
    </row>
    <row r="27" spans="1:12" ht="25">
      <c r="A27" s="263" t="str">
        <f>'Etape 3-Métaux-MatPre'!A22</f>
        <v>Extraction de l'or par amalgamation au mercure- à partir de concentrés</v>
      </c>
      <c r="B27" s="268" t="str">
        <f>IF(OR('Etape 3-Métaux-MatPre'!B22=yes,'Etape 3-Métaux-MatPre'!B22=no,'Etape 3-Métaux-MatPre'!B22=que),'Etape 3-Métaux-MatPre'!B22,  pres)</f>
        <v>Présent ?</v>
      </c>
      <c r="C27" s="423">
        <f>'Etape 3-Métaux-MatPre'!C22</f>
        <v>0</v>
      </c>
      <c r="D27" s="263" t="str">
        <f>'Etape 3-Métaux-MatPre'!D22</f>
        <v>Or produit, kg/an</v>
      </c>
      <c r="E27" s="434" t="str">
        <f>IF('Insérer résultats IN2'!C34="",'Etape 3-Métaux-MatPre'!F22,'Insérer résultats IN2'!C34)</f>
        <v>Présent ?</v>
      </c>
      <c r="F27" s="424" t="str">
        <f>IF('Insérer résultats IN2'!D34="",'Etape 3-Métaux-MatPre'!G22,'Insérer résultats IN2'!D34)</f>
        <v>Présent ?</v>
      </c>
      <c r="G27" s="424" t="str">
        <f>IF('Insérer résultats IN2'!E34="",'Etape 3-Métaux-MatPre'!H22,'Insérer résultats IN2'!E34)</f>
        <v>Présent ?</v>
      </c>
      <c r="H27" s="424" t="str">
        <f>IF('Insérer résultats IN2'!F34="",'Etape 3-Métaux-MatPre'!I22,'Insérer résultats IN2'!F34)</f>
        <v>Présent ?</v>
      </c>
      <c r="I27" s="424" t="str">
        <f>IF('Insérer résultats IN2'!G34="",'Etape 3-Métaux-MatPre'!J22,'Insérer résultats IN2'!G34)</f>
        <v>Présent ?</v>
      </c>
      <c r="J27" s="424" t="str">
        <f>IF('Insérer résultats IN2'!H34="",'Etape 3-Métaux-MatPre'!K22,'Insérer résultats IN2'!H34)</f>
        <v>Présent ?</v>
      </c>
      <c r="K27" s="424" t="str">
        <f>IF('Insérer résultats IN2'!I34="",'Etape 3-Métaux-MatPre'!L22,'Insérer résultats IN2'!I34)</f>
        <v>Présent ?</v>
      </c>
      <c r="L27" s="263" t="str">
        <f>'Etape 3-Métaux-MatPre'!M22</f>
        <v>5.2.2</v>
      </c>
    </row>
    <row r="28" spans="1:12" ht="17.25" customHeight="1">
      <c r="A28" s="389" t="str">
        <f>'Etape 3-Métaux-MatPre'!A25</f>
        <v>Autres productions de matériaux</v>
      </c>
      <c r="B28" s="303"/>
      <c r="C28" s="421"/>
      <c r="D28" s="371"/>
      <c r="E28" s="371"/>
      <c r="F28" s="371"/>
      <c r="G28" s="371"/>
      <c r="H28" s="371"/>
      <c r="I28" s="371"/>
      <c r="J28" s="371"/>
      <c r="K28" s="371"/>
      <c r="L28" s="371"/>
    </row>
    <row r="29" spans="1:12">
      <c r="A29" s="263" t="s">
        <v>822</v>
      </c>
      <c r="B29" s="268" t="str">
        <f>IF(OR('Etape 3-Métaux-MatPre'!B26=yes,'Etape 3-Métaux-MatPre'!B26=no,'Etape 3-Métaux-MatPre'!B26=que),'Etape 3-Métaux-MatPre'!B26,  pres)</f>
        <v>Présent ?</v>
      </c>
      <c r="C29" s="423">
        <f>'Etape 3-Métaux-MatPre'!C26</f>
        <v>0</v>
      </c>
      <c r="D29" s="263" t="str">
        <f>'Etape 3-Métaux-MatPre'!D26</f>
        <v>Ciment produit, t/an</v>
      </c>
      <c r="E29" s="434" t="str">
        <f>IF('Insérer résultats IN2'!C36="",'Etape 3-Métaux-MatPre'!F26,'Insérer résultats IN2'!C36)</f>
        <v>Présent ?</v>
      </c>
      <c r="F29" s="424" t="str">
        <f>IF('Insérer résultats IN2'!D36="",'Etape 3-Métaux-MatPre'!G26,'Insérer résultats IN2'!D36)</f>
        <v>Présent ?</v>
      </c>
      <c r="G29" s="424" t="str">
        <f>IF('Insérer résultats IN2'!E36="",'Etape 3-Métaux-MatPre'!H26,'Insérer résultats IN2'!E36)</f>
        <v>Présent ?</v>
      </c>
      <c r="H29" s="424" t="str">
        <f>IF('Insérer résultats IN2'!F36="",'Etape 3-Métaux-MatPre'!I26,'Insérer résultats IN2'!F36)</f>
        <v>Présent ?</v>
      </c>
      <c r="I29" s="424" t="str">
        <f>IF('Insérer résultats IN2'!G36="",'Etape 3-Métaux-MatPre'!J26,'Insérer résultats IN2'!G36)</f>
        <v>Présent ?</v>
      </c>
      <c r="J29" s="424" t="str">
        <f>IF('Insérer résultats IN2'!H36="",'Etape 3-Métaux-MatPre'!K26,'Insérer résultats IN2'!H36)</f>
        <v>Présent ?</v>
      </c>
      <c r="K29" s="424" t="str">
        <f>IF('Insérer résultats IN2'!I36="",'Etape 3-Métaux-MatPre'!L26,'Insérer résultats IN2'!I36)</f>
        <v>Présent ?</v>
      </c>
      <c r="L29" s="263" t="str">
        <f>'Etape 3-Métaux-MatPre'!M26</f>
        <v>5.3.1</v>
      </c>
    </row>
    <row r="30" spans="1:12" ht="25">
      <c r="A30" s="263" t="str">
        <f>'Etape 3-Métaux-MatPre'!A31</f>
        <v>Production de pulpe et de papier</v>
      </c>
      <c r="B30" s="268" t="str">
        <f>IF(OR('Etape 3-Métaux-MatPre'!B31=yes,'Etape 3-Métaux-MatPre'!B31=no,'Etape 3-Métaux-MatPre'!B31=que),'Etape 3-Métaux-MatPre'!B31,  pres)</f>
        <v>Présent ?</v>
      </c>
      <c r="C30" s="423">
        <f>'Etape 3-Métaux-MatPre'!C31</f>
        <v>0</v>
      </c>
      <c r="D30" s="263" t="str">
        <f>'Etape 3-Métaux-MatPre'!D31</f>
        <v>Biomasse utilisée pour la production, t/an</v>
      </c>
      <c r="E30" s="434" t="str">
        <f>IF('Insérer résultats IN2'!C37="",'Etape 3-Métaux-MatPre'!F31,'Insérer résultats IN2'!C37)</f>
        <v>Présent ?</v>
      </c>
      <c r="F30" s="424" t="str">
        <f>IF('Insérer résultats IN2'!D37="",'Etape 3-Métaux-MatPre'!G31,'Insérer résultats IN2'!D37)</f>
        <v>Présent ?</v>
      </c>
      <c r="G30" s="424" t="str">
        <f>IF('Insérer résultats IN2'!E37="",'Etape 3-Métaux-MatPre'!H31,'Insérer résultats IN2'!E37)</f>
        <v>Présent ?</v>
      </c>
      <c r="H30" s="424" t="str">
        <f>IF('Insérer résultats IN2'!F37="",'Etape 3-Métaux-MatPre'!I31,'Insérer résultats IN2'!F37)</f>
        <v>Présent ?</v>
      </c>
      <c r="I30" s="424" t="str">
        <f>IF('Insérer résultats IN2'!G37="",'Etape 3-Métaux-MatPre'!J31,'Insérer résultats IN2'!G37)</f>
        <v>Présent ?</v>
      </c>
      <c r="J30" s="424" t="str">
        <f>IF('Insérer résultats IN2'!H37="",'Etape 3-Métaux-MatPre'!K31,'Insérer résultats IN2'!H37)</f>
        <v>Présent ?</v>
      </c>
      <c r="K30" s="424" t="str">
        <f>IF('Insérer résultats IN2'!I37="",'Etape 3-Métaux-MatPre'!L31,'Insérer résultats IN2'!I37)</f>
        <v>Présent ?</v>
      </c>
      <c r="L30" s="263" t="str">
        <f>'Etape 3-Métaux-MatPre'!M31</f>
        <v>5.3.2</v>
      </c>
    </row>
    <row r="31" spans="1:12" ht="13">
      <c r="A31" s="389" t="str">
        <f>'Etape 4-Utilis. Industrielle Hg'!A4</f>
        <v>Production de produits chimiques</v>
      </c>
      <c r="B31" s="303"/>
      <c r="C31" s="276"/>
      <c r="D31" s="304"/>
      <c r="E31" s="304"/>
      <c r="F31" s="432"/>
      <c r="G31" s="432"/>
      <c r="H31" s="432"/>
      <c r="I31" s="432"/>
      <c r="J31" s="432"/>
      <c r="K31" s="432"/>
      <c r="L31" s="305"/>
    </row>
    <row r="32" spans="1:12" ht="25">
      <c r="A32" s="263" t="str">
        <f>'Etape 4-Utilis. Industrielle Hg'!A5</f>
        <v>Production de chlore et de soude caustique avec cellules à mercure</v>
      </c>
      <c r="B32" s="268" t="str">
        <f>IF(OR('Etape 4-Utilis. Industrielle Hg'!B5=yes,'Etape 4-Utilis. Industrielle Hg'!B5=no,'Etape 4-Utilis. Industrielle Hg'!B5=que),'Etape 4-Utilis. Industrielle Hg'!B5,  pres)</f>
        <v>Présent ?</v>
      </c>
      <c r="C32" s="375">
        <f>'Etape 4-Utilis. Industrielle Hg'!C5</f>
        <v>0</v>
      </c>
      <c r="D32" s="273" t="str">
        <f>'Etape 4-Utilis. Industrielle Hg'!D5</f>
        <v>Cl2 produit, t/an</v>
      </c>
      <c r="E32" s="434" t="str">
        <f>IF('Insérer résultats IN2'!C39="",'Etape 4-Utilis. Industrielle Hg'!E5,'Insérer résultats IN2'!C39)</f>
        <v>Présent ?</v>
      </c>
      <c r="F32" s="424" t="str">
        <f>IF('Insérer résultats IN2'!D39="",'Etape 4-Utilis. Industrielle Hg'!F5,'Insérer résultats IN2'!D39)</f>
        <v>Présent ?</v>
      </c>
      <c r="G32" s="424" t="str">
        <f>IF('Insérer résultats IN2'!E39="",'Etape 4-Utilis. Industrielle Hg'!G5,'Insérer résultats IN2'!E39)</f>
        <v>Présent ?</v>
      </c>
      <c r="H32" s="424" t="str">
        <f>IF('Insérer résultats IN2'!F39="",'Etape 4-Utilis. Industrielle Hg'!H5,'Insérer résultats IN2'!F39)</f>
        <v>Présent ?</v>
      </c>
      <c r="I32" s="424" t="str">
        <f>IF('Insérer résultats IN2'!G39="",'Etape 4-Utilis. Industrielle Hg'!I5,'Insérer résultats IN2'!G39)</f>
        <v>Présent ?</v>
      </c>
      <c r="J32" s="424" t="str">
        <f>IF('Insérer résultats IN2'!H39="",'Etape 4-Utilis. Industrielle Hg'!J5,'Insérer résultats IN2'!H39)</f>
        <v>Présent ?</v>
      </c>
      <c r="K32" s="424" t="str">
        <f>IF('Insérer résultats IN2'!I39="",'Etape 4-Utilis. Industrielle Hg'!K5,'Insérer résultats IN2'!I39)</f>
        <v>Présent ?</v>
      </c>
      <c r="L32" s="272" t="str">
        <f>'Etape 4-Utilis. Industrielle Hg'!L5</f>
        <v>5.4.1</v>
      </c>
    </row>
    <row r="33" spans="1:13">
      <c r="A33" s="263" t="str">
        <f>'Etape 4-Utilis. Industrielle Hg'!A6</f>
        <v>Production de CVM avec catalyseur au mercure</v>
      </c>
      <c r="B33" s="268" t="str">
        <f>IF(OR('Etape 4-Utilis. Industrielle Hg'!B6=yes,'Etape 4-Utilis. Industrielle Hg'!B6=no,'Etape 4-Utilis. Industrielle Hg'!B6=que),'Etape 4-Utilis. Industrielle Hg'!B6,  pres)</f>
        <v>Présent ?</v>
      </c>
      <c r="C33" s="375">
        <f>'Etape 4-Utilis. Industrielle Hg'!C6</f>
        <v>0</v>
      </c>
      <c r="D33" s="273" t="str">
        <f>'Etape 4-Utilis. Industrielle Hg'!D6</f>
        <v>CVM produit, t/an</v>
      </c>
      <c r="E33" s="434" t="str">
        <f>IF('Insérer résultats IN2'!C40="",'Etape 4-Utilis. Industrielle Hg'!E6,'Insérer résultats IN2'!C40)</f>
        <v>Présent ?</v>
      </c>
      <c r="F33" s="424" t="str">
        <f>IF('Insérer résultats IN2'!D40="",'Etape 4-Utilis. Industrielle Hg'!F6,'Insérer résultats IN2'!D40)</f>
        <v>Présent ?</v>
      </c>
      <c r="G33" s="424" t="str">
        <f>IF('Insérer résultats IN2'!E40="",'Etape 4-Utilis. Industrielle Hg'!G6,'Insérer résultats IN2'!E40)</f>
        <v>Présent ?</v>
      </c>
      <c r="H33" s="424" t="str">
        <f>IF('Insérer résultats IN2'!F40="",'Etape 4-Utilis. Industrielle Hg'!H6,'Insérer résultats IN2'!F40)</f>
        <v>Présent ?</v>
      </c>
      <c r="I33" s="424" t="str">
        <f>IF('Insérer résultats IN2'!G40="",'Etape 4-Utilis. Industrielle Hg'!I6,'Insérer résultats IN2'!G40)</f>
        <v>Présent ?</v>
      </c>
      <c r="J33" s="424" t="str">
        <f>IF('Insérer résultats IN2'!H40="",'Etape 4-Utilis. Industrielle Hg'!J6,'Insérer résultats IN2'!H40)</f>
        <v>Présent ?</v>
      </c>
      <c r="K33" s="424" t="str">
        <f>IF('Insérer résultats IN2'!I40="",'Etape 4-Utilis. Industrielle Hg'!K6,'Insérer résultats IN2'!I40)</f>
        <v>Présent ?</v>
      </c>
      <c r="L33" s="272" t="str">
        <f>'Etape 4-Utilis. Industrielle Hg'!L6</f>
        <v>5.4.2</v>
      </c>
    </row>
    <row r="34" spans="1:13">
      <c r="A34" s="263" t="str">
        <f>'Etape 4-Utilis. Industrielle Hg'!A7</f>
        <v>Production d'acétaldéhyde avec catalyseur au mercure</v>
      </c>
      <c r="B34" s="268" t="str">
        <f>IF(OR('Etape 4-Utilis. Industrielle Hg'!B7=yes,'Etape 4-Utilis. Industrielle Hg'!B7=no,'Etape 4-Utilis. Industrielle Hg'!B7=que),'Etape 4-Utilis. Industrielle Hg'!B7,  pres)</f>
        <v>Présent ?</v>
      </c>
      <c r="C34" s="375">
        <f>'Etape 4-Utilis. Industrielle Hg'!C7</f>
        <v>0</v>
      </c>
      <c r="D34" s="273" t="str">
        <f>'Etape 4-Utilis. Industrielle Hg'!D7</f>
        <v>Acétaldéhyde produit, t/an</v>
      </c>
      <c r="E34" s="434" t="str">
        <f>IF('Insérer résultats IN2'!C41="",'Etape 4-Utilis. Industrielle Hg'!E7,'Insérer résultats IN2'!C41)</f>
        <v>Présent ?</v>
      </c>
      <c r="F34" s="424" t="str">
        <f>IF('Insérer résultats IN2'!D41="",'Etape 4-Utilis. Industrielle Hg'!F7,'Insérer résultats IN2'!D41)</f>
        <v>Présent ?</v>
      </c>
      <c r="G34" s="424" t="str">
        <f>IF('Insérer résultats IN2'!E41="",'Etape 4-Utilis. Industrielle Hg'!G7,'Insérer résultats IN2'!E41)</f>
        <v>Présent ?</v>
      </c>
      <c r="H34" s="424" t="str">
        <f>IF('Insérer résultats IN2'!F41="",'Etape 4-Utilis. Industrielle Hg'!H7,'Insérer résultats IN2'!F41)</f>
        <v>Présent ?</v>
      </c>
      <c r="I34" s="424" t="str">
        <f>IF('Insérer résultats IN2'!G41="",'Etape 4-Utilis. Industrielle Hg'!I7,'Insérer résultats IN2'!G41)</f>
        <v>Présent ?</v>
      </c>
      <c r="J34" s="424" t="str">
        <f>IF('Insérer résultats IN2'!H41="",'Etape 4-Utilis. Industrielle Hg'!J7,'Insérer résultats IN2'!H41)</f>
        <v>Présent ?</v>
      </c>
      <c r="K34" s="424" t="str">
        <f>IF('Insérer résultats IN2'!I41="",'Etape 4-Utilis. Industrielle Hg'!K7,'Insérer résultats IN2'!I41)</f>
        <v>Présent ?</v>
      </c>
      <c r="L34" s="272" t="str">
        <f>'Etape 4-Utilis. Industrielle Hg'!L7</f>
        <v>5.4.3</v>
      </c>
    </row>
    <row r="35" spans="1:13" ht="13">
      <c r="A35" s="389" t="s">
        <v>709</v>
      </c>
      <c r="B35" s="303"/>
      <c r="C35" s="276"/>
      <c r="D35" s="304"/>
      <c r="E35" s="304"/>
      <c r="F35" s="432"/>
      <c r="G35" s="432"/>
      <c r="H35" s="432"/>
      <c r="I35" s="432"/>
      <c r="J35" s="432"/>
      <c r="K35" s="432"/>
      <c r="L35" s="305"/>
    </row>
    <row r="36" spans="1:13" ht="25">
      <c r="A36" s="263" t="str">
        <f>'Etape 4-Utilis. Industrielle Hg'!A10</f>
        <v>Thermomètres au mercure (médical, air, laboratoire, industriel etc.)</v>
      </c>
      <c r="B36" s="268" t="str">
        <f>IF(OR('Etape 4-Utilis. Industrielle Hg'!B10=yes,'Etape 4-Utilis. Industrielle Hg'!B10=no,'Etape 4-Utilis. Industrielle Hg'!B10=que),'Etape 4-Utilis. Industrielle Hg'!B10,  pres)</f>
        <v>Présent ?</v>
      </c>
      <c r="C36" s="375">
        <f>'Etape 4-Utilis. Industrielle Hg'!C10</f>
        <v>0</v>
      </c>
      <c r="D36" s="273" t="str">
        <f>'Etape 4-Utilis. Industrielle Hg'!D10</f>
        <v>Mercure utilisé pour la production, kg/an</v>
      </c>
      <c r="E36" s="434" t="str">
        <f>IF('Insérer résultats IN2'!C43="",'Etape 4-Utilis. Industrielle Hg'!E10,'Insérer résultats IN2'!C43)</f>
        <v>Présent ?</v>
      </c>
      <c r="F36" s="424" t="str">
        <f>IF('Insérer résultats IN2'!D43="",'Etape 4-Utilis. Industrielle Hg'!F10,'Insérer résultats IN2'!D43)</f>
        <v>Présent ?</v>
      </c>
      <c r="G36" s="424" t="str">
        <f>IF('Insérer résultats IN2'!E43="",'Etape 4-Utilis. Industrielle Hg'!G10,'Insérer résultats IN2'!E43)</f>
        <v>Présent ?</v>
      </c>
      <c r="H36" s="424" t="str">
        <f>IF('Insérer résultats IN2'!F43="",'Etape 4-Utilis. Industrielle Hg'!H10,'Insérer résultats IN2'!F43)</f>
        <v>Présent ?</v>
      </c>
      <c r="I36" s="424" t="str">
        <f>IF('Insérer résultats IN2'!G43="",'Etape 4-Utilis. Industrielle Hg'!I10,'Insérer résultats IN2'!G43)</f>
        <v>Présent ?</v>
      </c>
      <c r="J36" s="424" t="str">
        <f>IF('Insérer résultats IN2'!H43="",'Etape 4-Utilis. Industrielle Hg'!J10,'Insérer résultats IN2'!H43)</f>
        <v>Présent ?</v>
      </c>
      <c r="K36" s="424" t="str">
        <f>IF('Insérer résultats IN2'!I43="",'Etape 4-Utilis. Industrielle Hg'!K10,'Insérer résultats IN2'!I43)</f>
        <v>Présent ?</v>
      </c>
      <c r="L36" s="279" t="str">
        <f>'Etape 4-Utilis. Industrielle Hg'!L10</f>
        <v>5.5.1</v>
      </c>
      <c r="M36" s="562"/>
    </row>
    <row r="37" spans="1:13">
      <c r="A37" s="263" t="str">
        <f>'Etape 4-Utilis. Industrielle Hg'!A11</f>
        <v>Commutateurs et relais électriques avec du mercure</v>
      </c>
      <c r="B37" s="268" t="str">
        <f>IF(OR('Etape 4-Utilis. Industrielle Hg'!B11=yes,'Etape 4-Utilis. Industrielle Hg'!B11=no,'Etape 4-Utilis. Industrielle Hg'!B11=que),'Etape 4-Utilis. Industrielle Hg'!B11,  pres)</f>
        <v>Présent ?</v>
      </c>
      <c r="C37" s="375">
        <f>'Etape 4-Utilis. Industrielle Hg'!C11</f>
        <v>0</v>
      </c>
      <c r="D37" s="273" t="str">
        <f>'Etape 4-Utilis. Industrielle Hg'!D11</f>
        <v>Mercure utilisé pour la production, kg/an</v>
      </c>
      <c r="E37" s="434" t="str">
        <f>IF('Insérer résultats IN2'!C44="",'Etape 4-Utilis. Industrielle Hg'!E11,'Insérer résultats IN2'!C44)</f>
        <v>Présent ?</v>
      </c>
      <c r="F37" s="424" t="str">
        <f>IF('Insérer résultats IN2'!D44="",'Etape 4-Utilis. Industrielle Hg'!F11,'Insérer résultats IN2'!D44)</f>
        <v>Présent ?</v>
      </c>
      <c r="G37" s="424" t="str">
        <f>IF('Insérer résultats IN2'!E44="",'Etape 4-Utilis. Industrielle Hg'!G11,'Insérer résultats IN2'!E44)</f>
        <v>Présent ?</v>
      </c>
      <c r="H37" s="424" t="str">
        <f>IF('Insérer résultats IN2'!F44="",'Etape 4-Utilis. Industrielle Hg'!H11,'Insérer résultats IN2'!F44)</f>
        <v>Présent ?</v>
      </c>
      <c r="I37" s="424" t="str">
        <f>IF('Insérer résultats IN2'!G44="",'Etape 4-Utilis. Industrielle Hg'!I11,'Insérer résultats IN2'!G44)</f>
        <v>Présent ?</v>
      </c>
      <c r="J37" s="424" t="str">
        <f>IF('Insérer résultats IN2'!H44="",'Etape 4-Utilis. Industrielle Hg'!J11,'Insérer résultats IN2'!H44)</f>
        <v>Présent ?</v>
      </c>
      <c r="K37" s="424" t="str">
        <f>IF('Insérer résultats IN2'!I44="",'Etape 4-Utilis. Industrielle Hg'!K11,'Insérer résultats IN2'!I44)</f>
        <v>Présent ?</v>
      </c>
      <c r="L37" s="279" t="str">
        <f>'Etape 4-Utilis. Industrielle Hg'!L11</f>
        <v>5.5.2</v>
      </c>
    </row>
    <row r="38" spans="1:13" ht="25">
      <c r="A38" s="263" t="str">
        <f>'Etape 4-Utilis. Industrielle Hg'!A12</f>
        <v>Sources de lumière au mercure (fluorescent, compact, autres : voir guide)</v>
      </c>
      <c r="B38" s="268" t="str">
        <f>IF(OR('Etape 4-Utilis. Industrielle Hg'!B12=yes,'Etape 4-Utilis. Industrielle Hg'!B12=no,'Etape 4-Utilis. Industrielle Hg'!B12=que),'Etape 4-Utilis. Industrielle Hg'!B12,  pres)</f>
        <v>Présent ?</v>
      </c>
      <c r="C38" s="375">
        <f>'Etape 4-Utilis. Industrielle Hg'!C12</f>
        <v>0</v>
      </c>
      <c r="D38" s="273" t="str">
        <f>'Etape 4-Utilis. Industrielle Hg'!D12</f>
        <v>Mercure utilisé pour la production, kg/an</v>
      </c>
      <c r="E38" s="434" t="str">
        <f>IF('Insérer résultats IN2'!C45="",'Etape 4-Utilis. Industrielle Hg'!E12,'Insérer résultats IN2'!C45)</f>
        <v>Présent ?</v>
      </c>
      <c r="F38" s="424" t="str">
        <f>IF('Insérer résultats IN2'!D45="",'Etape 4-Utilis. Industrielle Hg'!F12,'Insérer résultats IN2'!D45)</f>
        <v>Présent ?</v>
      </c>
      <c r="G38" s="424" t="str">
        <f>IF('Insérer résultats IN2'!E45="",'Etape 4-Utilis. Industrielle Hg'!G12,'Insérer résultats IN2'!E45)</f>
        <v>Présent ?</v>
      </c>
      <c r="H38" s="424" t="str">
        <f>IF('Insérer résultats IN2'!F45="",'Etape 4-Utilis. Industrielle Hg'!H12,'Insérer résultats IN2'!F45)</f>
        <v>Présent ?</v>
      </c>
      <c r="I38" s="424" t="str">
        <f>IF('Insérer résultats IN2'!G45="",'Etape 4-Utilis. Industrielle Hg'!I12,'Insérer résultats IN2'!G45)</f>
        <v>Présent ?</v>
      </c>
      <c r="J38" s="424" t="str">
        <f>IF('Insérer résultats IN2'!H45="",'Etape 4-Utilis. Industrielle Hg'!J12,'Insérer résultats IN2'!H45)</f>
        <v>Présent ?</v>
      </c>
      <c r="K38" s="424" t="str">
        <f>IF('Insérer résultats IN2'!I45="",'Etape 4-Utilis. Industrielle Hg'!K12,'Insérer résultats IN2'!I45)</f>
        <v>Présent ?</v>
      </c>
      <c r="L38" s="279" t="str">
        <f>'Etape 4-Utilis. Industrielle Hg'!L12</f>
        <v>5.5.3</v>
      </c>
      <c r="M38" s="559"/>
    </row>
    <row r="39" spans="1:13">
      <c r="A39" s="263" t="str">
        <f>'Etape 4-Utilis. Industrielle Hg'!A13</f>
        <v>Piles au mercure</v>
      </c>
      <c r="B39" s="268" t="str">
        <f>IF(OR('Etape 4-Utilis. Industrielle Hg'!B13=yes,'Etape 4-Utilis. Industrielle Hg'!B13=no,'Etape 4-Utilis. Industrielle Hg'!B13=que),'Etape 4-Utilis. Industrielle Hg'!B13,  pres)</f>
        <v>Présent ?</v>
      </c>
      <c r="C39" s="375">
        <f>'Etape 4-Utilis. Industrielle Hg'!C13</f>
        <v>0</v>
      </c>
      <c r="D39" s="273" t="str">
        <f>'Etape 4-Utilis. Industrielle Hg'!D13</f>
        <v>Mercure utilisé pour la production, kg/an</v>
      </c>
      <c r="E39" s="434" t="str">
        <f>IF('Insérer résultats IN2'!C46="",'Etape 4-Utilis. Industrielle Hg'!E13,'Insérer résultats IN2'!C46)</f>
        <v>Présent ?</v>
      </c>
      <c r="F39" s="424" t="str">
        <f>IF('Insérer résultats IN2'!D46="",'Etape 4-Utilis. Industrielle Hg'!F13,'Insérer résultats IN2'!D46)</f>
        <v>Présent ?</v>
      </c>
      <c r="G39" s="424" t="str">
        <f>IF('Insérer résultats IN2'!E46="",'Etape 4-Utilis. Industrielle Hg'!G13,'Insérer résultats IN2'!E46)</f>
        <v>Présent ?</v>
      </c>
      <c r="H39" s="424" t="str">
        <f>IF('Insérer résultats IN2'!F46="",'Etape 4-Utilis. Industrielle Hg'!H13,'Insérer résultats IN2'!F46)</f>
        <v>Présent ?</v>
      </c>
      <c r="I39" s="424" t="str">
        <f>IF('Insérer résultats IN2'!G46="",'Etape 4-Utilis. Industrielle Hg'!I13,'Insérer résultats IN2'!G46)</f>
        <v>Présent ?</v>
      </c>
      <c r="J39" s="424" t="str">
        <f>IF('Insérer résultats IN2'!H46="",'Etape 4-Utilis. Industrielle Hg'!J13,'Insérer résultats IN2'!H46)</f>
        <v>Présent ?</v>
      </c>
      <c r="K39" s="424" t="str">
        <f>IF('Insérer résultats IN2'!I46="",'Etape 4-Utilis. Industrielle Hg'!K13,'Insérer résultats IN2'!I46)</f>
        <v>Présent ?</v>
      </c>
      <c r="L39" s="279" t="str">
        <f>'Etape 4-Utilis. Industrielle Hg'!L13</f>
        <v>5.5.4</v>
      </c>
      <c r="M39" s="469"/>
    </row>
    <row r="40" spans="1:13">
      <c r="A40" s="263" t="str">
        <f>'Etape 4-Utilis. Industrielle Hg'!A14</f>
        <v>Manomètres et jauges au mercure</v>
      </c>
      <c r="B40" s="268" t="str">
        <f>IF(OR('Etape 4-Utilis. Industrielle Hg'!B14=yes,'Etape 4-Utilis. Industrielle Hg'!B14=no,'Etape 4-Utilis. Industrielle Hg'!B14=que),'Etape 4-Utilis. Industrielle Hg'!B14,  pres)</f>
        <v>Présent ?</v>
      </c>
      <c r="C40" s="375">
        <f>'Etape 4-Utilis. Industrielle Hg'!C14</f>
        <v>0</v>
      </c>
      <c r="D40" s="273" t="str">
        <f>'Etape 4-Utilis. Industrielle Hg'!D14</f>
        <v>Mercure utilisé pour la production, kg/an</v>
      </c>
      <c r="E40" s="434" t="str">
        <f>IF('Insérer résultats IN2'!C47="",'Etape 4-Utilis. Industrielle Hg'!E14,'Insérer résultats IN2'!C47)</f>
        <v>Présent ?</v>
      </c>
      <c r="F40" s="424" t="str">
        <f>IF('Insérer résultats IN2'!D47="",'Etape 4-Utilis. Industrielle Hg'!F14,'Insérer résultats IN2'!D47)</f>
        <v>Présent ?</v>
      </c>
      <c r="G40" s="424" t="str">
        <f>IF('Insérer résultats IN2'!E47="",'Etape 4-Utilis. Industrielle Hg'!G14,'Insérer résultats IN2'!E47)</f>
        <v>Présent ?</v>
      </c>
      <c r="H40" s="424" t="str">
        <f>IF('Insérer résultats IN2'!F47="",'Etape 4-Utilis. Industrielle Hg'!H14,'Insérer résultats IN2'!F47)</f>
        <v>Présent ?</v>
      </c>
      <c r="I40" s="424" t="str">
        <f>IF('Insérer résultats IN2'!G47="",'Etape 4-Utilis. Industrielle Hg'!I14,'Insérer résultats IN2'!G47)</f>
        <v>Présent ?</v>
      </c>
      <c r="J40" s="424" t="str">
        <f>IF('Insérer résultats IN2'!H47="",'Etape 4-Utilis. Industrielle Hg'!J14,'Insérer résultats IN2'!H47)</f>
        <v>Présent ?</v>
      </c>
      <c r="K40" s="424" t="str">
        <f>IF('Insérer résultats IN2'!I47="",'Etape 4-Utilis. Industrielle Hg'!K14,'Insérer résultats IN2'!I47)</f>
        <v>Présent ?</v>
      </c>
      <c r="L40" s="272" t="str">
        <f>'Etape 4-Utilis. Industrielle Hg'!L14</f>
        <v>5.6.2</v>
      </c>
    </row>
    <row r="41" spans="1:13">
      <c r="A41" s="263" t="str">
        <f>'Etape 4-Utilis. Industrielle Hg'!A15</f>
        <v>Biocides et pesticides au mercure</v>
      </c>
      <c r="B41" s="268" t="str">
        <f>IF(OR('Etape 4-Utilis. Industrielle Hg'!B15=yes,'Etape 4-Utilis. Industrielle Hg'!B15=no,'Etape 4-Utilis. Industrielle Hg'!B15=que),'Etape 4-Utilis. Industrielle Hg'!B15,  pres)</f>
        <v>Présent ?</v>
      </c>
      <c r="C41" s="375">
        <f>'Etape 4-Utilis. Industrielle Hg'!C15</f>
        <v>0</v>
      </c>
      <c r="D41" s="273" t="str">
        <f>'Etape 4-Utilis. Industrielle Hg'!D15</f>
        <v>Mercure utilisé pour la production, kg/an</v>
      </c>
      <c r="E41" s="434" t="str">
        <f>IF('Insérer résultats IN2'!C48="",'Etape 4-Utilis. Industrielle Hg'!E15,'Insérer résultats IN2'!C48)</f>
        <v>Présent ?</v>
      </c>
      <c r="F41" s="424" t="str">
        <f>IF('Insérer résultats IN2'!D48="",'Etape 4-Utilis. Industrielle Hg'!F15,'Insérer résultats IN2'!D48)</f>
        <v>Présent ?</v>
      </c>
      <c r="G41" s="424" t="str">
        <f>IF('Insérer résultats IN2'!E48="",'Etape 4-Utilis. Industrielle Hg'!G15,'Insérer résultats IN2'!E48)</f>
        <v>Présent ?</v>
      </c>
      <c r="H41" s="424" t="str">
        <f>IF('Insérer résultats IN2'!F48="",'Etape 4-Utilis. Industrielle Hg'!H15,'Insérer résultats IN2'!F48)</f>
        <v>Présent ?</v>
      </c>
      <c r="I41" s="424" t="str">
        <f>IF('Insérer résultats IN2'!G48="",'Etape 4-Utilis. Industrielle Hg'!I15,'Insérer résultats IN2'!G48)</f>
        <v>Présent ?</v>
      </c>
      <c r="J41" s="424" t="str">
        <f>IF('Insérer résultats IN2'!H48="",'Etape 4-Utilis. Industrielle Hg'!J15,'Insérer résultats IN2'!H48)</f>
        <v>Présent ?</v>
      </c>
      <c r="K41" s="424" t="str">
        <f>IF('Insérer résultats IN2'!I48="",'Etape 4-Utilis. Industrielle Hg'!K15,'Insérer résultats IN2'!I48)</f>
        <v>Présent ?</v>
      </c>
      <c r="L41" s="272" t="str">
        <f>'Etape 4-Utilis. Industrielle Hg'!L15</f>
        <v>5.5.5</v>
      </c>
    </row>
    <row r="42" spans="1:13">
      <c r="A42" s="263" t="str">
        <f>'Etape 4-Utilis. Industrielle Hg'!A16</f>
        <v>Peintures au mercure</v>
      </c>
      <c r="B42" s="268" t="str">
        <f>IF(OR('Etape 4-Utilis. Industrielle Hg'!B16=yes,'Etape 4-Utilis. Industrielle Hg'!B16=no,'Etape 4-Utilis. Industrielle Hg'!B16=que),'Etape 4-Utilis. Industrielle Hg'!B16,  pres)</f>
        <v>Présent ?</v>
      </c>
      <c r="C42" s="375">
        <f>'Etape 4-Utilis. Industrielle Hg'!C16</f>
        <v>0</v>
      </c>
      <c r="D42" s="273" t="str">
        <f>'Etape 4-Utilis. Industrielle Hg'!D16</f>
        <v>Mercure utilisé pour la production, kg/an</v>
      </c>
      <c r="E42" s="434" t="str">
        <f>IF('Insérer résultats IN2'!C49="",'Etape 4-Utilis. Industrielle Hg'!E16,'Insérer résultats IN2'!C49)</f>
        <v>Présent ?</v>
      </c>
      <c r="F42" s="424" t="str">
        <f>IF('Insérer résultats IN2'!D49="",'Etape 4-Utilis. Industrielle Hg'!F16,'Insérer résultats IN2'!D49)</f>
        <v>Présent ?</v>
      </c>
      <c r="G42" s="424" t="str">
        <f>IF('Insérer résultats IN2'!E49="",'Etape 4-Utilis. Industrielle Hg'!G16,'Insérer résultats IN2'!E49)</f>
        <v>Présent ?</v>
      </c>
      <c r="H42" s="424" t="str">
        <f>IF('Insérer résultats IN2'!F49="",'Etape 4-Utilis. Industrielle Hg'!H16,'Insérer résultats IN2'!F49)</f>
        <v>Présent ?</v>
      </c>
      <c r="I42" s="424" t="str">
        <f>IF('Insérer résultats IN2'!G49="",'Etape 4-Utilis. Industrielle Hg'!I16,'Insérer résultats IN2'!G49)</f>
        <v>Présent ?</v>
      </c>
      <c r="J42" s="424" t="str">
        <f>IF('Insérer résultats IN2'!H49="",'Etape 4-Utilis. Industrielle Hg'!J16,'Insérer résultats IN2'!H49)</f>
        <v>Présent ?</v>
      </c>
      <c r="K42" s="424" t="str">
        <f>IF('Insérer résultats IN2'!I49="",'Etape 4-Utilis. Industrielle Hg'!K16,'Insérer résultats IN2'!I49)</f>
        <v>Présent ?</v>
      </c>
      <c r="L42" s="272" t="str">
        <f>'Etape 4-Utilis. Industrielle Hg'!L16</f>
        <v>5.5.6</v>
      </c>
    </row>
    <row r="43" spans="1:13" ht="25">
      <c r="A43" s="263" t="str">
        <f>'Etape 4-Utilis. Industrielle Hg'!A17</f>
        <v>Crèmes et savons éclaircissants pour la peau contenant du mercure</v>
      </c>
      <c r="B43" s="268" t="str">
        <f>IF(OR('Etape 4-Utilis. Industrielle Hg'!B17=yes,'Etape 4-Utilis. Industrielle Hg'!B17=no,'Etape 4-Utilis. Industrielle Hg'!B17=que),'Etape 4-Utilis. Industrielle Hg'!B17,  pres)</f>
        <v>Présent ?</v>
      </c>
      <c r="C43" s="375">
        <f>'Etape 4-Utilis. Industrielle Hg'!C17</f>
        <v>0</v>
      </c>
      <c r="D43" s="273" t="str">
        <f>'Etape 4-Utilis. Industrielle Hg'!D17</f>
        <v>Mercure utilisé pour la production, kg/an</v>
      </c>
      <c r="E43" s="434" t="str">
        <f>IF('Insérer résultats IN2'!C50="",'Etape 4-Utilis. Industrielle Hg'!E17,'Insérer résultats IN2'!C50)</f>
        <v>Présent ?</v>
      </c>
      <c r="F43" s="424" t="str">
        <f>IF('Insérer résultats IN2'!D50="",'Etape 4-Utilis. Industrielle Hg'!F17,'Insérer résultats IN2'!D50)</f>
        <v>Présent ?</v>
      </c>
      <c r="G43" s="424" t="str">
        <f>IF('Insérer résultats IN2'!E50="",'Etape 4-Utilis. Industrielle Hg'!G17,'Insérer résultats IN2'!E50)</f>
        <v>Présent ?</v>
      </c>
      <c r="H43" s="424" t="str">
        <f>IF('Insérer résultats IN2'!F50="",'Etape 4-Utilis. Industrielle Hg'!H17,'Insérer résultats IN2'!F50)</f>
        <v>Présent ?</v>
      </c>
      <c r="I43" s="424" t="str">
        <f>IF('Insérer résultats IN2'!G50="",'Etape 4-Utilis. Industrielle Hg'!I17,'Insérer résultats IN2'!G50)</f>
        <v>Présent ?</v>
      </c>
      <c r="J43" s="424" t="str">
        <f>IF('Insérer résultats IN2'!H50="",'Etape 4-Utilis. Industrielle Hg'!J17,'Insérer résultats IN2'!H50)</f>
        <v>Présent ?</v>
      </c>
      <c r="K43" s="424" t="str">
        <f>IF('Insérer résultats IN2'!I50="",'Etape 4-Utilis. Industrielle Hg'!K17,'Insérer résultats IN2'!I50)</f>
        <v>Présent ?</v>
      </c>
      <c r="L43" s="272" t="str">
        <f>'Etape 4-Utilis. Industrielle Hg'!L17</f>
        <v>5.5.7</v>
      </c>
    </row>
    <row r="44" spans="1:13" ht="14.25" customHeight="1">
      <c r="A44" s="389" t="str">
        <f>'Etape6-Produits-substances Hg'!A6</f>
        <v>Utilisation et élimination de produits avec des teneurs en mercure</v>
      </c>
      <c r="B44" s="303"/>
      <c r="C44" s="276"/>
      <c r="D44" s="304"/>
      <c r="E44" s="304"/>
      <c r="F44" s="432"/>
      <c r="G44" s="432"/>
      <c r="H44" s="432"/>
      <c r="I44" s="432"/>
      <c r="J44" s="432"/>
      <c r="K44" s="432"/>
      <c r="L44" s="305"/>
    </row>
    <row r="45" spans="1:13">
      <c r="A45" s="263" t="str">
        <f>'Etape6-Produits-substances Hg'!A7</f>
        <v>Amalgames dentaires (obturation "argent")</v>
      </c>
      <c r="B45" s="268" t="str">
        <f>IF(OR('Etape6-Produits-substances Hg'!B7=yes,'Etape6-Produits-substances Hg'!B7=no,'Etape6-Produits-substances Hg'!B7=que),'Etape6-Produits-substances Hg'!B7,  pres)</f>
        <v>Présent ?</v>
      </c>
      <c r="C45" s="375">
        <f>'Etape6-Produits-substances Hg'!C8</f>
        <v>0</v>
      </c>
      <c r="D45" s="375" t="str">
        <f>'Etape6-Produits-substances Hg'!D8</f>
        <v>Nomdre d'habitants</v>
      </c>
      <c r="E45" s="434" t="str">
        <f>IF('Insérer résultats IN2'!C52="",'Etape6-Produits-substances Hg'!F7,'Insérer résultats IN2'!C52)</f>
        <v>Présent ?</v>
      </c>
      <c r="F45" s="424" t="str">
        <f>IF('Insérer résultats IN2'!D52="",'Etape6-Produits-substances Hg'!G7,'Insérer résultats IN2'!D52)</f>
        <v>Présent ?</v>
      </c>
      <c r="G45" s="424" t="str">
        <f>IF('Insérer résultats IN2'!E52="",'Etape6-Produits-substances Hg'!H7,'Insérer résultats IN2'!E52)</f>
        <v>Présent ?</v>
      </c>
      <c r="H45" s="424" t="str">
        <f>IF('Insérer résultats IN2'!F52="",'Etape6-Produits-substances Hg'!I7,'Insérer résultats IN2'!F52)</f>
        <v>Présent ?</v>
      </c>
      <c r="I45" s="424" t="str">
        <f>IF('Insérer résultats IN2'!G52="",'Etape6-Produits-substances Hg'!J7,'Insérer résultats IN2'!G52)</f>
        <v>Présent ?</v>
      </c>
      <c r="J45" s="424" t="str">
        <f>IF('Insérer résultats IN2'!H52="",'Etape6-Produits-substances Hg'!K7,'Insérer résultats IN2'!H52)</f>
        <v>Présent ?</v>
      </c>
      <c r="K45" s="424" t="str">
        <f>IF('Insérer résultats IN2'!I52="",'Etape6-Produits-substances Hg'!L7,'Insérer résultats IN2'!I52)</f>
        <v>Présent ?</v>
      </c>
      <c r="L45" s="272" t="str">
        <f>'Etape6-Produits-substances Hg'!M7</f>
        <v>5.6.1</v>
      </c>
    </row>
    <row r="46" spans="1:13">
      <c r="A46" s="263" t="str">
        <f>'Etape6-Produits-substances Hg'!A15</f>
        <v>Thermomètres</v>
      </c>
      <c r="B46" s="268" t="str">
        <f>IF(OR('Etape6-Produits-substances Hg'!B15=yes,'Etape6-Produits-substances Hg'!B15=no,'Etape6-Produits-substances Hg'!B15=que),'Etape6-Produits-substances Hg'!B15,  pres)</f>
        <v>Présent ?</v>
      </c>
      <c r="C46" s="375">
        <f>'Etape6-Produits-substances Hg'!C15</f>
        <v>0</v>
      </c>
      <c r="D46" s="375" t="str">
        <f>'Etape6-Produits-substances Hg'!D16</f>
        <v>articles vendus/an</v>
      </c>
      <c r="E46" s="434" t="str">
        <f>IF('Insérer résultats IN2'!C53="",'Etape6-Produits-substances Hg'!F15,'Insérer résultats IN2'!C53)</f>
        <v>Présent ?</v>
      </c>
      <c r="F46" s="424" t="str">
        <f>IF('Insérer résultats IN2'!D53="",'Etape6-Produits-substances Hg'!G15,'Insérer résultats IN2'!D53)</f>
        <v>Présent ?</v>
      </c>
      <c r="G46" s="424" t="str">
        <f>IF('Insérer résultats IN2'!E53="",'Etape6-Produits-substances Hg'!H15,'Insérer résultats IN2'!E53)</f>
        <v>Présent ?</v>
      </c>
      <c r="H46" s="424" t="str">
        <f>IF('Insérer résultats IN2'!F53="",'Etape6-Produits-substances Hg'!I15,'Insérer résultats IN2'!F53)</f>
        <v>Présent ?</v>
      </c>
      <c r="I46" s="424" t="str">
        <f>IF('Insérer résultats IN2'!G53="",'Etape6-Produits-substances Hg'!J15,'Insérer résultats IN2'!G53)</f>
        <v>Présent ?</v>
      </c>
      <c r="J46" s="424" t="str">
        <f>IF('Insérer résultats IN2'!H53="",'Etape6-Produits-substances Hg'!K15,'Insérer résultats IN2'!H53)</f>
        <v>Présent ?</v>
      </c>
      <c r="K46" s="424" t="str">
        <f>IF('Insérer résultats IN2'!I53="",'Etape6-Produits-substances Hg'!L15,'Insérer résultats IN2'!I53)</f>
        <v>Présent ?</v>
      </c>
      <c r="L46" s="272" t="str">
        <f>'Etape6-Produits-substances Hg'!M15</f>
        <v>5.5.1</v>
      </c>
      <c r="M46" s="559"/>
    </row>
    <row r="47" spans="1:13" ht="25">
      <c r="A47" s="263" t="str">
        <f>'Etape6-Produits-substances Hg'!A20</f>
        <v>Commutateurs et relais électriques contenant du mercure</v>
      </c>
      <c r="B47" s="268" t="str">
        <f>IF(OR('Etape6-Produits-substances Hg'!B20=yes,'Etape6-Produits-substances Hg'!B20=no,'Etape6-Produits-substances Hg'!B20=que),'Etape6-Produits-substances Hg'!B20,  pres)</f>
        <v>Présent ?</v>
      </c>
      <c r="C47" s="375">
        <f>'Etape6-Produits-substances Hg'!C20</f>
        <v>0</v>
      </c>
      <c r="D47" s="273" t="str">
        <f>'Etape6-Produits-substances Hg'!D20</f>
        <v>Nomdre d'habitants</v>
      </c>
      <c r="E47" s="434" t="str">
        <f>IF('Insérer résultats IN2'!C54="",'Etape6-Produits-substances Hg'!F20,'Insérer résultats IN2'!C54)</f>
        <v>Présent ?</v>
      </c>
      <c r="F47" s="424" t="str">
        <f>IF('Insérer résultats IN2'!D54="",'Etape6-Produits-substances Hg'!G20,'Insérer résultats IN2'!D54)</f>
        <v>Présent ?</v>
      </c>
      <c r="G47" s="424" t="str">
        <f>IF('Insérer résultats IN2'!E54="",'Etape6-Produits-substances Hg'!H20,'Insérer résultats IN2'!E54)</f>
        <v>Présent ?</v>
      </c>
      <c r="H47" s="424" t="str">
        <f>IF('Insérer résultats IN2'!F54="",'Etape6-Produits-substances Hg'!I20,'Insérer résultats IN2'!F54)</f>
        <v>Présent ?</v>
      </c>
      <c r="I47" s="424" t="str">
        <f>IF('Insérer résultats IN2'!G54="",'Etape6-Produits-substances Hg'!J20,'Insérer résultats IN2'!G54)</f>
        <v>Présent ?</v>
      </c>
      <c r="J47" s="424" t="str">
        <f>IF('Insérer résultats IN2'!H54="",'Etape6-Produits-substances Hg'!K20,'Insérer résultats IN2'!H54)</f>
        <v>Présent ?</v>
      </c>
      <c r="K47" s="424" t="str">
        <f>IF('Insérer résultats IN2'!I54="",'Etape6-Produits-substances Hg'!L20,'Insérer résultats IN2'!I54)</f>
        <v>Présent ?</v>
      </c>
      <c r="L47" s="272" t="str">
        <f>'Etape6-Produits-substances Hg'!M20</f>
        <v>5.5.2</v>
      </c>
    </row>
    <row r="48" spans="1:13">
      <c r="A48" s="263" t="str">
        <f>'Etape6-Produits-substances Hg'!A23</f>
        <v>Sources de lumière au mercure</v>
      </c>
      <c r="B48" s="268" t="str">
        <f>IF(OR('Etape6-Produits-substances Hg'!B23=yes,'Etape6-Produits-substances Hg'!B23=no,'Etape6-Produits-substances Hg'!B23=que),'Etape6-Produits-substances Hg'!B23,  pres)</f>
        <v>Présent ?</v>
      </c>
      <c r="C48" s="375">
        <f>'Etape6-Produits-substances Hg'!C23</f>
        <v>0</v>
      </c>
      <c r="D48" s="273" t="str">
        <f>'Etape6-Produits-substances Hg'!D23</f>
        <v>articles vendus/an</v>
      </c>
      <c r="E48" s="434" t="str">
        <f>IF('Insérer résultats IN2'!C55="",'Etape6-Produits-substances Hg'!F23,'Insérer résultats IN2'!C55)</f>
        <v>Présent ?</v>
      </c>
      <c r="F48" s="424" t="str">
        <f>IF('Insérer résultats IN2'!D55="",'Etape6-Produits-substances Hg'!G23,'Insérer résultats IN2'!D55)</f>
        <v>Présent ?</v>
      </c>
      <c r="G48" s="424" t="str">
        <f>IF('Insérer résultats IN2'!E55="",'Etape6-Produits-substances Hg'!H23,'Insérer résultats IN2'!E55)</f>
        <v>Présent ?</v>
      </c>
      <c r="H48" s="424" t="str">
        <f>IF('Insérer résultats IN2'!F55="",'Etape6-Produits-substances Hg'!I23,'Insérer résultats IN2'!F55)</f>
        <v>Présent ?</v>
      </c>
      <c r="I48" s="424" t="str">
        <f>IF('Insérer résultats IN2'!G55="",'Etape6-Produits-substances Hg'!J23,'Insérer résultats IN2'!G55)</f>
        <v>Présent ?</v>
      </c>
      <c r="J48" s="424" t="str">
        <f>IF('Insérer résultats IN2'!H55="",'Etape6-Produits-substances Hg'!K23,'Insérer résultats IN2'!H55)</f>
        <v>Présent ?</v>
      </c>
      <c r="K48" s="424" t="str">
        <f>IF('Insérer résultats IN2'!I55="",'Etape6-Produits-substances Hg'!L23,'Insérer résultats IN2'!I55)</f>
        <v>Présent ?</v>
      </c>
      <c r="L48" s="272" t="str">
        <f>'Etape6-Produits-substances Hg'!M23</f>
        <v>5.5.3</v>
      </c>
    </row>
    <row r="49" spans="1:12">
      <c r="A49" s="367" t="str">
        <f>'Etape6-Produits-substances Hg'!A28</f>
        <v>Piles contenant du mercure</v>
      </c>
      <c r="B49" s="268" t="str">
        <f>IF(OR('Etape6-Produits-substances Hg'!B28=yes,'Etape6-Produits-substances Hg'!B28=no,'Etape6-Produits-substances Hg'!B28=que),'Etape6-Produits-substances Hg'!B28,  pres)</f>
        <v>Présent ?</v>
      </c>
      <c r="C49" s="375">
        <f>'Etape6-Produits-substances Hg'!C28</f>
        <v>0</v>
      </c>
      <c r="D49" s="273" t="str">
        <f>'Etape6-Produits-substances Hg'!D28</f>
        <v>Piles vendues t/an</v>
      </c>
      <c r="E49" s="434" t="str">
        <f>IF('Insérer résultats IN2'!C56="",'Etape6-Produits-substances Hg'!F28,'Insérer résultats IN2'!C56)</f>
        <v>Présent ?</v>
      </c>
      <c r="F49" s="424" t="str">
        <f>IF('Insérer résultats IN2'!D56="",'Etape6-Produits-substances Hg'!G28,'Insérer résultats IN2'!D56)</f>
        <v>Présent ?</v>
      </c>
      <c r="G49" s="424" t="str">
        <f>IF('Insérer résultats IN2'!E56="",'Etape6-Produits-substances Hg'!H28,'Insérer résultats IN2'!E56)</f>
        <v>Présent ?</v>
      </c>
      <c r="H49" s="424" t="str">
        <f>IF('Insérer résultats IN2'!F56="",'Etape6-Produits-substances Hg'!I28,'Insérer résultats IN2'!F56)</f>
        <v>Présent ?</v>
      </c>
      <c r="I49" s="424" t="str">
        <f>IF('Insérer résultats IN2'!G56="",'Etape6-Produits-substances Hg'!J28,'Insérer résultats IN2'!G56)</f>
        <v>Présent ?</v>
      </c>
      <c r="J49" s="424" t="str">
        <f>IF('Insérer résultats IN2'!H56="",'Etape6-Produits-substances Hg'!K28,'Insérer résultats IN2'!H56)</f>
        <v>Présent ?</v>
      </c>
      <c r="K49" s="424" t="str">
        <f>IF('Insérer résultats IN2'!I56="",'Etape6-Produits-substances Hg'!L28,'Insérer résultats IN2'!I56)</f>
        <v>Présent ?</v>
      </c>
      <c r="L49" s="272" t="str">
        <f>'Etape6-Produits-substances Hg'!M28</f>
        <v>5.5.4</v>
      </c>
    </row>
    <row r="50" spans="1:12" ht="25">
      <c r="A50" s="263" t="str">
        <f>'Etape6-Produits-substances Hg'!A33</f>
        <v>Polyuréthane produit (PU, PUR) avec un catalyseur au mercure</v>
      </c>
      <c r="B50" s="268" t="str">
        <f>IF(OR('Etape6-Produits-substances Hg'!B33=yes,'Etape6-Produits-substances Hg'!B33=no,'Etape6-Produits-substances Hg'!B33=que),'Etape6-Produits-substances Hg'!B33,  pres)</f>
        <v>Présent ?</v>
      </c>
      <c r="C50" s="375">
        <f>'Etape6-Produits-substances Hg'!C33</f>
        <v>0</v>
      </c>
      <c r="D50" s="273" t="str">
        <f>'Etape6-Produits-substances Hg'!D33</f>
        <v>Nomdre d'habitants</v>
      </c>
      <c r="E50" s="434" t="str">
        <f>IF('Insérer résultats IN2'!C57="",'Etape6-Produits-substances Hg'!F33,'Insérer résultats IN2'!C57)</f>
        <v>Présent ?</v>
      </c>
      <c r="F50" s="424" t="str">
        <f>IF('Insérer résultats IN2'!D57="",'Etape6-Produits-substances Hg'!G33,'Insérer résultats IN2'!D57)</f>
        <v>Présent ?</v>
      </c>
      <c r="G50" s="424" t="str">
        <f>IF('Insérer résultats IN2'!E57="",'Etape6-Produits-substances Hg'!H33,'Insérer résultats IN2'!E57)</f>
        <v>Présent ?</v>
      </c>
      <c r="H50" s="424" t="str">
        <f>IF('Insérer résultats IN2'!F57="",'Etape6-Produits-substances Hg'!I33,'Insérer résultats IN2'!F57)</f>
        <v>Présent ?</v>
      </c>
      <c r="I50" s="424" t="str">
        <f>IF('Insérer résultats IN2'!G57="",'Etape6-Produits-substances Hg'!J33,'Insérer résultats IN2'!G57)</f>
        <v>Présent ?</v>
      </c>
      <c r="J50" s="424" t="str">
        <f>IF('Insérer résultats IN2'!H57="",'Etape6-Produits-substances Hg'!K33,'Insérer résultats IN2'!H57)</f>
        <v>Présent ?</v>
      </c>
      <c r="K50" s="424" t="str">
        <f>IF('Insérer résultats IN2'!I57="",'Etape6-Produits-substances Hg'!L33,'Insérer résultats IN2'!I57)</f>
        <v>Présent ?</v>
      </c>
      <c r="L50" s="272" t="str">
        <f>'Etape6-Produits-substances Hg'!M33</f>
        <v>5.5.5.</v>
      </c>
    </row>
    <row r="51" spans="1:12">
      <c r="A51" s="263" t="str">
        <f>'Etape6-Produits-substances Hg'!A36</f>
        <v>Peintures avec des conservateurs au mercure</v>
      </c>
      <c r="B51" s="268" t="str">
        <f>IF(OR('Etape6-Produits-substances Hg'!B36=yes,'Etape6-Produits-substances Hg'!B36=no,'Etape6-Produits-substances Hg'!B36=que),'Etape6-Produits-substances Hg'!B36,  pres)</f>
        <v>Présent ?</v>
      </c>
      <c r="C51" s="375">
        <f>'Etape6-Produits-substances Hg'!C36</f>
        <v>0</v>
      </c>
      <c r="D51" s="273" t="str">
        <f>'Etape6-Produits-substances Hg'!D36</f>
        <v>Peinture vendue, t/an</v>
      </c>
      <c r="E51" s="434" t="str">
        <f>IF('Insérer résultats IN2'!C58="",'Etape6-Produits-substances Hg'!F36,'Insérer résultats IN2'!C58)</f>
        <v>Présent ?</v>
      </c>
      <c r="F51" s="424" t="str">
        <f>IF('Insérer résultats IN2'!D58="",'Etape6-Produits-substances Hg'!G36,'Insérer résultats IN2'!D58)</f>
        <v>Présent ?</v>
      </c>
      <c r="G51" s="424" t="str">
        <f>IF('Insérer résultats IN2'!E58="",'Etape6-Produits-substances Hg'!H36,'Insérer résultats IN2'!E58)</f>
        <v>Présent ?</v>
      </c>
      <c r="H51" s="424" t="str">
        <f>IF('Insérer résultats IN2'!F58="",'Etape6-Produits-substances Hg'!I36,'Insérer résultats IN2'!F58)</f>
        <v>Présent ?</v>
      </c>
      <c r="I51" s="424" t="str">
        <f>IF('Insérer résultats IN2'!G58="",'Etape6-Produits-substances Hg'!J36,'Insérer résultats IN2'!G58)</f>
        <v>Présent ?</v>
      </c>
      <c r="J51" s="424" t="str">
        <f>IF('Insérer résultats IN2'!H58="",'Etape6-Produits-substances Hg'!K36,'Insérer résultats IN2'!H58)</f>
        <v>Présent ?</v>
      </c>
      <c r="K51" s="424" t="str">
        <f>IF('Insérer résultats IN2'!I58="",'Etape6-Produits-substances Hg'!L36,'Insérer résultats IN2'!I58)</f>
        <v>Présent ?</v>
      </c>
      <c r="L51" s="272" t="str">
        <f>'Etape6-Produits-substances Hg'!M36</f>
        <v>5.5.7</v>
      </c>
    </row>
    <row r="52" spans="1:12" ht="25">
      <c r="A52" s="263" t="str">
        <f>'Etape6-Produits-substances Hg'!A38</f>
        <v>Crèmes et savons éclaircissants pour la peau contenant du mercure</v>
      </c>
      <c r="B52" s="268" t="str">
        <f>IF(OR('Etape6-Produits-substances Hg'!B38=yes,'Etape6-Produits-substances Hg'!B38=no,'Etape6-Produits-substances Hg'!B38=que),'Etape6-Produits-substances Hg'!B38,  pres)</f>
        <v>Présent ?</v>
      </c>
      <c r="C52" s="375">
        <f>'Etape6-Produits-substances Hg'!C38</f>
        <v>0</v>
      </c>
      <c r="D52" s="273" t="str">
        <f>'Etape6-Produits-substances Hg'!D38</f>
        <v>Crèmes et savons vendus, t/an</v>
      </c>
      <c r="E52" s="434" t="str">
        <f>IF('Insérer résultats IN2'!C59="",'Etape6-Produits-substances Hg'!F38,'Insérer résultats IN2'!C59)</f>
        <v>Présent ?</v>
      </c>
      <c r="F52" s="424" t="str">
        <f>IF('Insérer résultats IN2'!D59="",'Etape6-Produits-substances Hg'!G38,'Insérer résultats IN2'!D59)</f>
        <v>Présent ?</v>
      </c>
      <c r="G52" s="424" t="str">
        <f>IF('Insérer résultats IN2'!E59="",'Etape6-Produits-substances Hg'!H38,'Insérer résultats IN2'!E59)</f>
        <v>Présent ?</v>
      </c>
      <c r="H52" s="424" t="str">
        <f>IF('Insérer résultats IN2'!F59="",'Etape6-Produits-substances Hg'!I38,'Insérer résultats IN2'!F59)</f>
        <v>Présent ?</v>
      </c>
      <c r="I52" s="424" t="str">
        <f>IF('Insérer résultats IN2'!G59="",'Etape6-Produits-substances Hg'!J38,'Insérer résultats IN2'!G59)</f>
        <v>Présent ?</v>
      </c>
      <c r="J52" s="424" t="str">
        <f>IF('Insérer résultats IN2'!H59="",'Etape6-Produits-substances Hg'!K38,'Insérer résultats IN2'!H59)</f>
        <v>Présent ?</v>
      </c>
      <c r="K52" s="424" t="str">
        <f>IF('Insérer résultats IN2'!I59="",'Etape6-Produits-substances Hg'!L38,'Insérer résultats IN2'!I59)</f>
        <v>Présent ?</v>
      </c>
      <c r="L52" s="272" t="str">
        <f>'Etape6-Produits-substances Hg'!M38</f>
        <v>5.5.8</v>
      </c>
    </row>
    <row r="53" spans="1:12" ht="29.25" customHeight="1">
      <c r="A53" s="263" t="str">
        <f>'Etape6-Produits-substances Hg'!A40</f>
        <v>Appareil médical servant à mesurer la pression sanguine (tensiomètre au mercure)</v>
      </c>
      <c r="B53" s="268" t="str">
        <f>IF(OR('Etape6-Produits-substances Hg'!B40=yes,'Etape6-Produits-substances Hg'!B40=no,'Etape6-Produits-substances Hg'!B40=que),'Etape6-Produits-substances Hg'!B40,  pres)</f>
        <v>Présent ?</v>
      </c>
      <c r="C53" s="375">
        <f>'Etape6-Produits-substances Hg'!C40</f>
        <v>0</v>
      </c>
      <c r="D53" s="273" t="str">
        <f>'Etape6-Produits-substances Hg'!D40</f>
        <v>articles vendus/an</v>
      </c>
      <c r="E53" s="434" t="str">
        <f>IF('Insérer résultats IN2'!C60="",'Etape6-Produits-substances Hg'!F40,'Insérer résultats IN2'!C60)</f>
        <v>Présent ?</v>
      </c>
      <c r="F53" s="424" t="str">
        <f>IF('Insérer résultats IN2'!D60="",'Etape6-Produits-substances Hg'!G40,'Insérer résultats IN2'!D60)</f>
        <v>Présent ?</v>
      </c>
      <c r="G53" s="424" t="str">
        <f>IF('Insérer résultats IN2'!E60="",'Etape6-Produits-substances Hg'!H40,'Insérer résultats IN2'!E60)</f>
        <v>Présent ?</v>
      </c>
      <c r="H53" s="424" t="str">
        <f>IF('Insérer résultats IN2'!F60="",'Etape6-Produits-substances Hg'!I40,'Insérer résultats IN2'!F60)</f>
        <v>Présent ?</v>
      </c>
      <c r="I53" s="424" t="str">
        <f>IF('Insérer résultats IN2'!G60="",'Etape6-Produits-substances Hg'!J40,'Insérer résultats IN2'!G60)</f>
        <v>Présent ?</v>
      </c>
      <c r="J53" s="424" t="str">
        <f>IF('Insérer résultats IN2'!H60="",'Etape6-Produits-substances Hg'!K40,'Insérer résultats IN2'!H60)</f>
        <v>Présent ?</v>
      </c>
      <c r="K53" s="424" t="str">
        <f>IF('Insérer résultats IN2'!I60="",'Etape6-Produits-substances Hg'!L40,'Insérer résultats IN2'!I60)</f>
        <v>Présent ?</v>
      </c>
      <c r="L53" s="272" t="str">
        <f>'Etape6-Produits-substances Hg'!M40</f>
        <v>5.6.2</v>
      </c>
    </row>
    <row r="54" spans="1:12">
      <c r="A54" s="263" t="str">
        <f>'Etape6-Produits-substances Hg'!A42</f>
        <v>Autres manomètres et jauges contenant du mercure</v>
      </c>
      <c r="B54" s="268" t="str">
        <f>IF(OR('Etape6-Produits-substances Hg'!B42=yes,'Etape6-Produits-substances Hg'!B42=no,'Etape6-Produits-substances Hg'!B42=que),'Etape6-Produits-substances Hg'!B42,  pres)</f>
        <v>Présent ?</v>
      </c>
      <c r="C54" s="375">
        <f>'Etape6-Produits-substances Hg'!C42</f>
        <v>0</v>
      </c>
      <c r="D54" s="273" t="str">
        <f>'Etape6-Produits-substances Hg'!D42</f>
        <v>Nomdre d'habitants</v>
      </c>
      <c r="E54" s="434" t="str">
        <f>IF('Insérer résultats IN2'!C61="",'Etape6-Produits-substances Hg'!F42,'Insérer résultats IN2'!C61)</f>
        <v>Présent ?</v>
      </c>
      <c r="F54" s="424" t="str">
        <f>IF('Insérer résultats IN2'!D61="",'Etape6-Produits-substances Hg'!G42,'Insérer résultats IN2'!D61)</f>
        <v>Présent ?</v>
      </c>
      <c r="G54" s="424" t="str">
        <f>IF('Insérer résultats IN2'!E61="",'Etape6-Produits-substances Hg'!H42,'Insérer résultats IN2'!E61)</f>
        <v>Présent ?</v>
      </c>
      <c r="H54" s="424" t="str">
        <f>IF('Insérer résultats IN2'!F61="",'Etape6-Produits-substances Hg'!I42,'Insérer résultats IN2'!F61)</f>
        <v>Présent ?</v>
      </c>
      <c r="I54" s="424" t="str">
        <f>IF('Insérer résultats IN2'!G61="",'Etape6-Produits-substances Hg'!J42,'Insérer résultats IN2'!G61)</f>
        <v>Présent ?</v>
      </c>
      <c r="J54" s="424" t="str">
        <f>IF('Insérer résultats IN2'!H61="",'Etape6-Produits-substances Hg'!K42,'Insérer résultats IN2'!H61)</f>
        <v>Présent ?</v>
      </c>
      <c r="K54" s="424" t="str">
        <f>IF('Insérer résultats IN2'!I61="",'Etape6-Produits-substances Hg'!L42,'Insérer résultats IN2'!I61)</f>
        <v>Présent ?</v>
      </c>
      <c r="L54" s="272" t="str">
        <f>'Etape6-Produits-substances Hg'!M42</f>
        <v>5.6.2</v>
      </c>
    </row>
    <row r="55" spans="1:12">
      <c r="A55" s="263" t="str">
        <f>'Etape6-Produits-substances Hg'!A45</f>
        <v>Produits chimiques de laboratoire</v>
      </c>
      <c r="B55" s="268" t="str">
        <f>IF(OR('Etape6-Produits-substances Hg'!B45=yes,'Etape6-Produits-substances Hg'!B45=no,'Etape6-Produits-substances Hg'!B45=que),'Etape6-Produits-substances Hg'!B45,  pres)</f>
        <v>Présent ?</v>
      </c>
      <c r="C55" s="375">
        <f>'Etape6-Produits-substances Hg'!C45</f>
        <v>0</v>
      </c>
      <c r="D55" s="273" t="str">
        <f>'Etape6-Produits-substances Hg'!D45</f>
        <v>Nomdre d'habitants</v>
      </c>
      <c r="E55" s="434" t="str">
        <f>IF('Insérer résultats IN2'!C62="",'Etape6-Produits-substances Hg'!F45,'Insérer résultats IN2'!C62)</f>
        <v>Présent ?</v>
      </c>
      <c r="F55" s="424" t="str">
        <f>IF('Insérer résultats IN2'!D62="",'Etape6-Produits-substances Hg'!G45,'Insérer résultats IN2'!D62)</f>
        <v>Présent ?</v>
      </c>
      <c r="G55" s="424" t="str">
        <f>IF('Insérer résultats IN2'!E62="",'Etape6-Produits-substances Hg'!H45,'Insérer résultats IN2'!E62)</f>
        <v>Présent ?</v>
      </c>
      <c r="H55" s="424" t="str">
        <f>IF('Insérer résultats IN2'!F62="",'Etape6-Produits-substances Hg'!I45,'Insérer résultats IN2'!F62)</f>
        <v>Présent ?</v>
      </c>
      <c r="I55" s="424" t="str">
        <f>IF('Insérer résultats IN2'!G62="",'Etape6-Produits-substances Hg'!J45,'Insérer résultats IN2'!G62)</f>
        <v>Présent ?</v>
      </c>
      <c r="J55" s="424" t="str">
        <f>IF('Insérer résultats IN2'!H62="",'Etape6-Produits-substances Hg'!K45,'Insérer résultats IN2'!H62)</f>
        <v>Présent ?</v>
      </c>
      <c r="K55" s="424" t="str">
        <f>IF('Insérer résultats IN2'!I62="",'Etape6-Produits-substances Hg'!L45,'Insérer résultats IN2'!I62)</f>
        <v>Présent ?</v>
      </c>
      <c r="L55" s="272" t="str">
        <f>'Etape6-Produits-substances Hg'!M45</f>
        <v>5.6.3</v>
      </c>
    </row>
    <row r="56" spans="1:12" ht="25">
      <c r="A56" s="263" t="str">
        <f>'Etape6-Produits-substances Hg'!A48</f>
        <v>Autres équipements de laboratoire et médical contenant du mercure</v>
      </c>
      <c r="B56" s="268" t="str">
        <f>IF(OR('Etape6-Produits-substances Hg'!B48=yes,'Etape6-Produits-substances Hg'!B48=no,'Etape6-Produits-substances Hg'!B48=que),'Etape6-Produits-substances Hg'!B48,  pres)</f>
        <v>Présent ?</v>
      </c>
      <c r="C56" s="375">
        <f>'Etape6-Produits-substances Hg'!C48</f>
        <v>0</v>
      </c>
      <c r="D56" s="273" t="str">
        <f>'Etape6-Produits-substances Hg'!D48</f>
        <v>Nomdre d'habitants</v>
      </c>
      <c r="E56" s="434" t="str">
        <f>IF('Insérer résultats IN2'!C63="",'Etape6-Produits-substances Hg'!F48,'Insérer résultats IN2'!C63)</f>
        <v>Présent ?</v>
      </c>
      <c r="F56" s="424" t="str">
        <f>IF('Insérer résultats IN2'!D63="",'Etape6-Produits-substances Hg'!G48,'Insérer résultats IN2'!D63)</f>
        <v>Présent ?</v>
      </c>
      <c r="G56" s="424" t="str">
        <f>IF('Insérer résultats IN2'!E63="",'Etape6-Produits-substances Hg'!H48,'Insérer résultats IN2'!E63)</f>
        <v>Présent ?</v>
      </c>
      <c r="H56" s="424" t="str">
        <f>IF('Insérer résultats IN2'!F63="",'Etape6-Produits-substances Hg'!I48,'Insérer résultats IN2'!F63)</f>
        <v>Présent ?</v>
      </c>
      <c r="I56" s="424" t="str">
        <f>IF('Insérer résultats IN2'!G63="",'Etape6-Produits-substances Hg'!J48,'Insérer résultats IN2'!G63)</f>
        <v>Présent ?</v>
      </c>
      <c r="J56" s="424" t="str">
        <f>IF('Insérer résultats IN2'!H63="",'Etape6-Produits-substances Hg'!K48,'Insérer résultats IN2'!H63)</f>
        <v>Présent ?</v>
      </c>
      <c r="K56" s="424" t="str">
        <f>IF('Insérer résultats IN2'!I63="",'Etape6-Produits-substances Hg'!L48,'Insérer résultats IN2'!I63)</f>
        <v>Présent ?</v>
      </c>
      <c r="L56" s="272" t="str">
        <f>'Etape6-Produits-substances Hg'!M48</f>
        <v>5.6.3, 5.6.5</v>
      </c>
    </row>
    <row r="57" spans="1:12" ht="13">
      <c r="A57" s="389" t="str">
        <f>'Etape5-Trait.+recyclage déchets'!A8</f>
        <v>Production de métal recyclé</v>
      </c>
      <c r="B57" s="303"/>
      <c r="C57" s="276"/>
      <c r="D57" s="304"/>
      <c r="E57" s="304"/>
      <c r="F57" s="432"/>
      <c r="G57" s="432"/>
      <c r="H57" s="432"/>
      <c r="I57" s="432"/>
      <c r="J57" s="432"/>
      <c r="K57" s="432"/>
      <c r="L57" s="305"/>
    </row>
    <row r="58" spans="1:12">
      <c r="A58" s="263" t="str">
        <f>'Etape5-Trait.+recyclage déchets'!A9</f>
        <v>Production de mercure recyclé ("production secondaire”)</v>
      </c>
      <c r="B58" s="268" t="str">
        <f>IF(OR('Etape5-Trait.+recyclage déchets'!B9=yes,'Etape5-Trait.+recyclage déchets'!B9=no,'Etape5-Trait.+recyclage déchets'!B9=que),'Etape5-Trait.+recyclage déchets'!B9,  pres)</f>
        <v>Présent ?</v>
      </c>
      <c r="C58" s="375">
        <f>'Etape5-Trait.+recyclage déchets'!C9</f>
        <v>0</v>
      </c>
      <c r="D58" s="273" t="str">
        <f>'Etape5-Trait.+recyclage déchets'!D9</f>
        <v>Mercure produit, kg/an</v>
      </c>
      <c r="E58" s="434" t="str">
        <f>IF('Insérer résultats IN2'!C65="",'Etape5-Trait.+recyclage déchets'!F9,'Insérer résultats IN2'!C65)</f>
        <v>Présent ?</v>
      </c>
      <c r="F58" s="424" t="str">
        <f>IF('Insérer résultats IN2'!D65="",'Etape5-Trait.+recyclage déchets'!G9,'Insérer résultats IN2'!D65)</f>
        <v>Présent ?</v>
      </c>
      <c r="G58" s="424" t="str">
        <f>IF('Insérer résultats IN2'!E65="",'Etape5-Trait.+recyclage déchets'!H9,'Insérer résultats IN2'!E65)</f>
        <v>Présent ?</v>
      </c>
      <c r="H58" s="424" t="str">
        <f>IF('Insérer résultats IN2'!F65="",'Etape5-Trait.+recyclage déchets'!I9,'Insérer résultats IN2'!F65)</f>
        <v>Présent ?</v>
      </c>
      <c r="I58" s="424" t="str">
        <f>IF('Insérer résultats IN2'!G65="",'Etape5-Trait.+recyclage déchets'!J9,'Insérer résultats IN2'!G65)</f>
        <v>Présent ?</v>
      </c>
      <c r="J58" s="424" t="str">
        <f>IF('Insérer résultats IN2'!H65="",'Etape5-Trait.+recyclage déchets'!K9,'Insérer résultats IN2'!H65)</f>
        <v>Présent ?</v>
      </c>
      <c r="K58" s="424" t="str">
        <f>IF('Insérer résultats IN2'!I65="",'Etape5-Trait.+recyclage déchets'!L9,'Insérer résultats IN2'!I65)</f>
        <v>Présent ?</v>
      </c>
      <c r="L58" s="272" t="str">
        <f>'Etape5-Trait.+recyclage déchets'!M9</f>
        <v>5.7.1</v>
      </c>
    </row>
    <row r="59" spans="1:12">
      <c r="A59" s="263" t="str">
        <f>'Etape5-Trait.+recyclage déchets'!A10</f>
        <v>Production de métaux ferreux recyclés (fer et acier)</v>
      </c>
      <c r="B59" s="268" t="str">
        <f>IF(OR('Etape5-Trait.+recyclage déchets'!B10=yes,'Etape5-Trait.+recyclage déchets'!B10=no,'Etape5-Trait.+recyclage déchets'!B10=que),'Etape5-Trait.+recyclage déchets'!B10,  pres)</f>
        <v>Présent ?</v>
      </c>
      <c r="C59" s="375">
        <f>'Etape5-Trait.+recyclage déchets'!C10</f>
        <v>0</v>
      </c>
      <c r="D59" s="273" t="str">
        <f>'Etape5-Trait.+recyclage déchets'!D10</f>
        <v>Nombre de véhicules recyclés/an</v>
      </c>
      <c r="E59" s="434" t="str">
        <f>IF('Insérer résultats IN2'!C66="",'Etape5-Trait.+recyclage déchets'!F10,'Insérer résultats IN2'!C66)</f>
        <v>Présent ?</v>
      </c>
      <c r="F59" s="424" t="str">
        <f>IF('Insérer résultats IN2'!D66="",'Etape5-Trait.+recyclage déchets'!G10,'Insérer résultats IN2'!D66)</f>
        <v>Présent ?</v>
      </c>
      <c r="G59" s="424" t="str">
        <f>IF('Insérer résultats IN2'!E66="",'Etape5-Trait.+recyclage déchets'!H10,'Insérer résultats IN2'!E66)</f>
        <v>Présent ?</v>
      </c>
      <c r="H59" s="424" t="str">
        <f>IF('Insérer résultats IN2'!F66="",'Etape5-Trait.+recyclage déchets'!I10,'Insérer résultats IN2'!F66)</f>
        <v>Présent ?</v>
      </c>
      <c r="I59" s="424" t="str">
        <f>IF('Insérer résultats IN2'!G66="",'Etape5-Trait.+recyclage déchets'!J10,'Insérer résultats IN2'!G66)</f>
        <v>Présent ?</v>
      </c>
      <c r="J59" s="424" t="str">
        <f>IF('Insérer résultats IN2'!H66="",'Etape5-Trait.+recyclage déchets'!K10,'Insérer résultats IN2'!H66)</f>
        <v>Présent ?</v>
      </c>
      <c r="K59" s="424" t="str">
        <f>IF('Insérer résultats IN2'!I66="",'Etape5-Trait.+recyclage déchets'!L10,'Insérer résultats IN2'!I66)</f>
        <v>Présent ?</v>
      </c>
      <c r="L59" s="272" t="str">
        <f>'Etape5-Trait.+recyclage déchets'!M10</f>
        <v>5.7.2</v>
      </c>
    </row>
    <row r="60" spans="1:12" ht="13">
      <c r="A60" s="389" t="str">
        <f>'Etape5-Trait.+recyclage déchets'!A12</f>
        <v>Incinération des déchets</v>
      </c>
      <c r="B60" s="303"/>
      <c r="C60" s="276"/>
      <c r="D60" s="304"/>
      <c r="E60" s="434"/>
      <c r="F60" s="432"/>
      <c r="G60" s="432"/>
      <c r="H60" s="432"/>
      <c r="I60" s="432"/>
      <c r="J60" s="432"/>
      <c r="K60" s="432"/>
      <c r="L60" s="305"/>
    </row>
    <row r="61" spans="1:12">
      <c r="A61" s="367" t="s">
        <v>461</v>
      </c>
      <c r="B61" s="268" t="str">
        <f>IF(OR('Etape5-Trait.+recyclage déchets'!B13=yes,'Etape5-Trait.+recyclage déchets'!B13=no,'Etape5-Trait.+recyclage déchets'!B13=que),'Etape5-Trait.+recyclage déchets'!B13,  pres)</f>
        <v>Présent ?</v>
      </c>
      <c r="C61" s="375">
        <f>'Etape5-Trait.+recyclage déchets'!C13</f>
        <v>0</v>
      </c>
      <c r="D61" s="273" t="str">
        <f>'Etape5-Trait.+recyclage déchets'!D13</f>
        <v xml:space="preserve">Déchets incinérés, t/an </v>
      </c>
      <c r="E61" s="434" t="str">
        <f>IF('Insérer résultats IN2'!C68="",'Etape5-Trait.+recyclage déchets'!F13,'Insérer résultats IN2'!C68)</f>
        <v>Présent ?</v>
      </c>
      <c r="F61" s="424" t="str">
        <f>IF('Insérer résultats IN2'!D68="",'Etape5-Trait.+recyclage déchets'!G13,'Insérer résultats IN2'!D68)</f>
        <v>Présent ?</v>
      </c>
      <c r="G61" s="424" t="str">
        <f>IF('Insérer résultats IN2'!E68="",'Etape5-Trait.+recyclage déchets'!H13,'Insérer résultats IN2'!E68)</f>
        <v>Présent ?</v>
      </c>
      <c r="H61" s="424" t="str">
        <f>IF('Insérer résultats IN2'!F68="",'Etape5-Trait.+recyclage déchets'!I13,'Insérer résultats IN2'!F68)</f>
        <v>Présent ?</v>
      </c>
      <c r="I61" s="424" t="str">
        <f>IF('Insérer résultats IN2'!G68="",'Etape5-Trait.+recyclage déchets'!J13,'Insérer résultats IN2'!G68)</f>
        <v>Présent ?</v>
      </c>
      <c r="J61" s="424" t="str">
        <f>IF('Insérer résultats IN2'!H68="",'Etape5-Trait.+recyclage déchets'!K13,'Insérer résultats IN2'!H68)</f>
        <v>Présent ?</v>
      </c>
      <c r="K61" s="424" t="str">
        <f>IF('Insérer résultats IN2'!I68="",'Etape5-Trait.+recyclage déchets'!L13,'Insérer résultats IN2'!I68)</f>
        <v>Présent ?</v>
      </c>
      <c r="L61" s="272" t="str">
        <f>'Etape5-Trait.+recyclage déchets'!M13</f>
        <v>5.8.1</v>
      </c>
    </row>
    <row r="62" spans="1:12">
      <c r="A62" s="367" t="s">
        <v>462</v>
      </c>
      <c r="B62" s="268" t="str">
        <f>IF(OR('Etape5-Trait.+recyclage déchets'!B16=yes,'Etape5-Trait.+recyclage déchets'!B16=no,'Etape5-Trait.+recyclage déchets'!B16=que),'Etape5-Trait.+recyclage déchets'!B16,  pres)</f>
        <v>Présent ?</v>
      </c>
      <c r="C62" s="375">
        <f>'Etape5-Trait.+recyclage déchets'!C16</f>
        <v>0</v>
      </c>
      <c r="D62" s="273" t="str">
        <f>'Etape5-Trait.+recyclage déchets'!D16</f>
        <v xml:space="preserve">Déchets incinérés, t/an </v>
      </c>
      <c r="E62" s="434" t="str">
        <f>IF('Insérer résultats IN2'!C69="",'Etape5-Trait.+recyclage déchets'!F16,'Insérer résultats IN2'!C69)</f>
        <v>Présent ?</v>
      </c>
      <c r="F62" s="424" t="str">
        <f>IF('Insérer résultats IN2'!D69="",'Etape5-Trait.+recyclage déchets'!G16,'Insérer résultats IN2'!D69)</f>
        <v>Présent ?</v>
      </c>
      <c r="G62" s="424" t="str">
        <f>IF('Insérer résultats IN2'!E69="",'Etape5-Trait.+recyclage déchets'!H16,'Insérer résultats IN2'!E69)</f>
        <v>Présent ?</v>
      </c>
      <c r="H62" s="424" t="str">
        <f>IF('Insérer résultats IN2'!F69="",'Etape5-Trait.+recyclage déchets'!I16,'Insérer résultats IN2'!F69)</f>
        <v>Présent ?</v>
      </c>
      <c r="I62" s="424" t="str">
        <f>IF('Insérer résultats IN2'!G69="",'Etape5-Trait.+recyclage déchets'!J16,'Insérer résultats IN2'!G69)</f>
        <v>Présent ?</v>
      </c>
      <c r="J62" s="424" t="str">
        <f>IF('Insérer résultats IN2'!H69="",'Etape5-Trait.+recyclage déchets'!K16,'Insérer résultats IN2'!H69)</f>
        <v>Présent ?</v>
      </c>
      <c r="K62" s="424" t="str">
        <f>IF('Insérer résultats IN2'!I69="",'Etape5-Trait.+recyclage déchets'!L16,'Insérer résultats IN2'!I69)</f>
        <v>Présent ?</v>
      </c>
      <c r="L62" s="272" t="str">
        <f>'Etape5-Trait.+recyclage déchets'!M16</f>
        <v>5.8.2</v>
      </c>
    </row>
    <row r="63" spans="1:12">
      <c r="A63" s="367" t="s">
        <v>703</v>
      </c>
      <c r="B63" s="268" t="str">
        <f>IF(OR('Etape5-Trait.+recyclage déchets'!B19=yes,'Etape5-Trait.+recyclage déchets'!B19=no,'Etape5-Trait.+recyclage déchets'!B19=que),'Etape5-Trait.+recyclage déchets'!B19,  pres)</f>
        <v>Présent ?</v>
      </c>
      <c r="C63" s="375">
        <f>'Etape5-Trait.+recyclage déchets'!C19</f>
        <v>0</v>
      </c>
      <c r="D63" s="273" t="str">
        <f>'Etape5-Trait.+recyclage déchets'!D19</f>
        <v xml:space="preserve">Déchets incinérés, t/an </v>
      </c>
      <c r="E63" s="434" t="str">
        <f>IF('Insérer résultats IN2'!C70="",'Etape5-Trait.+recyclage déchets'!F19,'Insérer résultats IN2'!C70)</f>
        <v>Présent ?</v>
      </c>
      <c r="F63" s="424" t="str">
        <f>IF('Insérer résultats IN2'!D70="",'Etape5-Trait.+recyclage déchets'!G19,'Insérer résultats IN2'!D70)</f>
        <v>Présent ?</v>
      </c>
      <c r="G63" s="424" t="str">
        <f>IF('Insérer résultats IN2'!E70="",'Etape5-Trait.+recyclage déchets'!H19,'Insérer résultats IN2'!E70)</f>
        <v>Présent ?</v>
      </c>
      <c r="H63" s="424" t="str">
        <f>IF('Insérer résultats IN2'!F70="",'Etape5-Trait.+recyclage déchets'!I19,'Insérer résultats IN2'!F70)</f>
        <v>Présent ?</v>
      </c>
      <c r="I63" s="424" t="str">
        <f>IF('Insérer résultats IN2'!G70="",'Etape5-Trait.+recyclage déchets'!J19,'Insérer résultats IN2'!G70)</f>
        <v>Présent ?</v>
      </c>
      <c r="J63" s="424" t="str">
        <f>IF('Insérer résultats IN2'!H70="",'Etape5-Trait.+recyclage déchets'!K19,'Insérer résultats IN2'!H70)</f>
        <v>Présent ?</v>
      </c>
      <c r="K63" s="424" t="str">
        <f>IF('Insérer résultats IN2'!I70="",'Etape5-Trait.+recyclage déchets'!L19,'Insérer résultats IN2'!I70)</f>
        <v>Présent ?</v>
      </c>
      <c r="L63" s="272" t="str">
        <f>'Etape5-Trait.+recyclage déchets'!M19</f>
        <v>5.8.3</v>
      </c>
    </row>
    <row r="64" spans="1:12">
      <c r="A64" s="367" t="s">
        <v>464</v>
      </c>
      <c r="B64" s="268" t="str">
        <f>IF(OR('Etape5-Trait.+recyclage déchets'!B22=yes,'Etape5-Trait.+recyclage déchets'!B22=no,'Etape5-Trait.+recyclage déchets'!B22=que),'Etape5-Trait.+recyclage déchets'!B22,  pres)</f>
        <v>Présent ?</v>
      </c>
      <c r="C64" s="375">
        <f>'Etape5-Trait.+recyclage déchets'!C22</f>
        <v>0</v>
      </c>
      <c r="D64" s="273" t="str">
        <f>'Etape5-Trait.+recyclage déchets'!D22</f>
        <v xml:space="preserve">Déchets incinérés, t/an </v>
      </c>
      <c r="E64" s="434" t="str">
        <f>IF('Insérer résultats IN2'!C71="",'Etape5-Trait.+recyclage déchets'!F22,'Insérer résultats IN2'!C71)</f>
        <v>Présent ?</v>
      </c>
      <c r="F64" s="424" t="str">
        <f>IF('Insérer résultats IN2'!D71="",'Etape5-Trait.+recyclage déchets'!G22,'Insérer résultats IN2'!D71)</f>
        <v>Présent ?</v>
      </c>
      <c r="G64" s="424" t="str">
        <f>IF('Insérer résultats IN2'!E71="",'Etape5-Trait.+recyclage déchets'!H22,'Insérer résultats IN2'!E71)</f>
        <v>Présent ?</v>
      </c>
      <c r="H64" s="424" t="str">
        <f>IF('Insérer résultats IN2'!F71="",'Etape5-Trait.+recyclage déchets'!I22,'Insérer résultats IN2'!F71)</f>
        <v>Présent ?</v>
      </c>
      <c r="I64" s="424" t="str">
        <f>IF('Insérer résultats IN2'!G71="",'Etape5-Trait.+recyclage déchets'!J22,'Insérer résultats IN2'!G71)</f>
        <v>Présent ?</v>
      </c>
      <c r="J64" s="424" t="str">
        <f>IF('Insérer résultats IN2'!H71="",'Etape5-Trait.+recyclage déchets'!K22,'Insérer résultats IN2'!H71)</f>
        <v>Présent ?</v>
      </c>
      <c r="K64" s="424" t="str">
        <f>IF('Insérer résultats IN2'!I71="",'Etape5-Trait.+recyclage déchets'!L22,'Insérer résultats IN2'!I71)</f>
        <v>Présent ?</v>
      </c>
      <c r="L64" s="272" t="str">
        <f>'Etape5-Trait.+recyclage déchets'!M22</f>
        <v>5.8.4</v>
      </c>
    </row>
    <row r="65" spans="1:13">
      <c r="A65" s="367" t="s">
        <v>465</v>
      </c>
      <c r="B65" s="268" t="str">
        <f>IF(OR('Etape5-Trait.+recyclage déchets'!B23=yes,'Etape5-Trait.+recyclage déchets'!B23=no,'Etape5-Trait.+recyclage déchets'!B23=que),'Etape5-Trait.+recyclage déchets'!B23,  pres)</f>
        <v>Présent ?</v>
      </c>
      <c r="C65" s="375">
        <f>'Etape5-Trait.+recyclage déchets'!C23</f>
        <v>0</v>
      </c>
      <c r="D65" s="273" t="str">
        <f>'Etape5-Trait.+recyclage déchets'!D23</f>
        <v xml:space="preserve">Déchets brûlés, t/an </v>
      </c>
      <c r="E65" s="434" t="str">
        <f>IF('Insérer résultats IN2'!C72="",'Etape5-Trait.+recyclage déchets'!F23,'Insérer résultats IN2'!C72)</f>
        <v>Présent ?</v>
      </c>
      <c r="F65" s="424" t="str">
        <f>IF('Insérer résultats IN2'!D72="",'Etape5-Trait.+recyclage déchets'!G23,'Insérer résultats IN2'!D72)</f>
        <v>Présent ?</v>
      </c>
      <c r="G65" s="424" t="str">
        <f>IF('Insérer résultats IN2'!E72="",'Etape5-Trait.+recyclage déchets'!H23,'Insérer résultats IN2'!E72)</f>
        <v>Présent ?</v>
      </c>
      <c r="H65" s="424" t="str">
        <f>IF('Insérer résultats IN2'!F72="",'Etape5-Trait.+recyclage déchets'!I23,'Insérer résultats IN2'!F72)</f>
        <v>Présent ?</v>
      </c>
      <c r="I65" s="424" t="str">
        <f>IF('Insérer résultats IN2'!G72="",'Etape5-Trait.+recyclage déchets'!J23,'Insérer résultats IN2'!G72)</f>
        <v>Présent ?</v>
      </c>
      <c r="J65" s="424" t="str">
        <f>IF('Insérer résultats IN2'!H72="",'Etape5-Trait.+recyclage déchets'!K23,'Insérer résultats IN2'!H72)</f>
        <v>Présent ?</v>
      </c>
      <c r="K65" s="424" t="str">
        <f>IF('Insérer résultats IN2'!I72="",'Etape5-Trait.+recyclage déchets'!L23,'Insérer résultats IN2'!I72)</f>
        <v>Présent ?</v>
      </c>
      <c r="L65" s="272" t="str">
        <f>'Etape5-Trait.+recyclage déchets'!M23</f>
        <v>5.8.5</v>
      </c>
    </row>
    <row r="66" spans="1:13" ht="26">
      <c r="A66" s="389" t="str">
        <f>'Etape5-Trait.+recyclage déchets'!A25</f>
        <v>Dépôt/décharge de déchets et traitement des eaux usées</v>
      </c>
      <c r="B66" s="303"/>
      <c r="C66" s="276"/>
      <c r="D66" s="304"/>
      <c r="E66" s="304"/>
      <c r="F66" s="432"/>
      <c r="G66" s="432"/>
      <c r="H66" s="432"/>
      <c r="I66" s="432"/>
      <c r="J66" s="432"/>
      <c r="K66" s="432"/>
      <c r="L66" s="305"/>
    </row>
    <row r="67" spans="1:13">
      <c r="A67" s="367" t="s">
        <v>447</v>
      </c>
      <c r="B67" s="268" t="str">
        <f>IF(OR('Etape5-Trait.+recyclage déchets'!B26=yes,'Etape5-Trait.+recyclage déchets'!B26=no,'Etape5-Trait.+recyclage déchets'!B26=que),'Etape5-Trait.+recyclage déchets'!B26,  pres)</f>
        <v>Présent ?</v>
      </c>
      <c r="C67" s="375">
        <f>'Etape5-Trait.+recyclage déchets'!C26</f>
        <v>0</v>
      </c>
      <c r="D67" s="273" t="str">
        <f>'Etape5-Trait.+recyclage déchets'!D26</f>
        <v>Déchets ensevelis, t/an</v>
      </c>
      <c r="E67" s="434" t="str">
        <f>IF('Insérer résultats IN2'!C74="",'Etape5-Trait.+recyclage déchets'!F26,'Insérer résultats IN2'!C74)</f>
        <v>Présent ?</v>
      </c>
      <c r="F67" s="424" t="str">
        <f>IF('Insérer résultats IN2'!D74="",'Etape5-Trait.+recyclage déchets'!G26,'Insérer résultats IN2'!D74)</f>
        <v>Présent ?</v>
      </c>
      <c r="G67" s="424" t="str">
        <f>IF('Insérer résultats IN2'!E74="",'Etape5-Trait.+recyclage déchets'!H26,'Insérer résultats IN2'!E74)</f>
        <v>Présent ?</v>
      </c>
      <c r="H67" s="424" t="str">
        <f>IF('Insérer résultats IN2'!F74="",'Etape5-Trait.+recyclage déchets'!I26,'Insérer résultats IN2'!F74)</f>
        <v>Présent ?</v>
      </c>
      <c r="I67" s="424" t="str">
        <f>IF('Insérer résultats IN2'!G74="",'Etape5-Trait.+recyclage déchets'!J26,'Insérer résultats IN2'!G74)</f>
        <v>Présent ?</v>
      </c>
      <c r="J67" s="424" t="str">
        <f>IF('Insérer résultats IN2'!H74="",'Etape5-Trait.+recyclage déchets'!K26,'Insérer résultats IN2'!H74)</f>
        <v>Présent ?</v>
      </c>
      <c r="K67" s="424" t="str">
        <f>IF('Insérer résultats IN2'!I74="",'Etape5-Trait.+recyclage déchets'!L26,'Insérer résultats IN2'!I74)</f>
        <v>Présent ?</v>
      </c>
      <c r="L67" s="272" t="str">
        <f>'Etape5-Trait.+recyclage déchets'!M26</f>
        <v>5.9.1</v>
      </c>
    </row>
    <row r="68" spans="1:13">
      <c r="A68" s="367" t="s">
        <v>460</v>
      </c>
      <c r="B68" s="268" t="str">
        <f>IF(OR('Etape5-Trait.+recyclage déchets'!B27=yes,'Etape5-Trait.+recyclage déchets'!B27=no,'Etape5-Trait.+recyclage déchets'!B27=que),'Etape5-Trait.+recyclage déchets'!B27,  pres)</f>
        <v>Présent ?</v>
      </c>
      <c r="C68" s="375">
        <f>'Etape5-Trait.+recyclage déchets'!C27</f>
        <v>0</v>
      </c>
      <c r="D68" s="273" t="str">
        <f>'Etape5-Trait.+recyclage déchets'!D27</f>
        <v>Déchets jetés, t/an</v>
      </c>
      <c r="E68" s="434" t="str">
        <f>IF('Insérer résultats IN2'!C75="",'Etape5-Trait.+recyclage déchets'!F27,'Insérer résultats IN2'!C75)</f>
        <v>Présent ?</v>
      </c>
      <c r="F68" s="424" t="str">
        <f>IF('Insérer résultats IN2'!D75="",'Etape5-Trait.+recyclage déchets'!G27,'Insérer résultats IN2'!D75)</f>
        <v>Présent ?</v>
      </c>
      <c r="G68" s="424" t="str">
        <f>IF('Insérer résultats IN2'!E75="",'Etape5-Trait.+recyclage déchets'!H27,'Insérer résultats IN2'!E75)</f>
        <v>Présent ?</v>
      </c>
      <c r="H68" s="424" t="str">
        <f>IF('Insérer résultats IN2'!F75="",'Etape5-Trait.+recyclage déchets'!I27,'Insérer résultats IN2'!F75)</f>
        <v>Présent ?</v>
      </c>
      <c r="I68" s="424" t="str">
        <f>IF('Insérer résultats IN2'!G75="",'Etape5-Trait.+recyclage déchets'!J27,'Insérer résultats IN2'!G75)</f>
        <v>Présent ?</v>
      </c>
      <c r="J68" s="424" t="str">
        <f>IF('Insérer résultats IN2'!H75="",'Etape5-Trait.+recyclage déchets'!K27,'Insérer résultats IN2'!H75)</f>
        <v>Présent ?</v>
      </c>
      <c r="K68" s="424" t="str">
        <f>IF('Insérer résultats IN2'!I75="",'Etape5-Trait.+recyclage déchets'!L27,'Insérer résultats IN2'!I75)</f>
        <v>Présent ?</v>
      </c>
      <c r="L68" s="272" t="str">
        <f>'Etape5-Trait.+recyclage déchets'!M27</f>
        <v>5.9.4</v>
      </c>
    </row>
    <row r="69" spans="1:13">
      <c r="A69" s="367" t="s">
        <v>446</v>
      </c>
      <c r="B69" s="268" t="str">
        <f>IF(OR('Etape5-Trait.+recyclage déchets'!B29=yes,'Etape5-Trait.+recyclage déchets'!B29=no,'Etape5-Trait.+recyclage déchets'!B29=que),'Etape5-Trait.+recyclage déchets'!B29,  pres)</f>
        <v>Présent ?</v>
      </c>
      <c r="C69" s="375">
        <f>'Etape5-Trait.+recyclage déchets'!C29</f>
        <v>0</v>
      </c>
      <c r="D69" s="273" t="str">
        <f>'Etape5-Trait.+recyclage déchets'!D29</f>
        <v>Eaux usées, m3/an</v>
      </c>
      <c r="E69" s="434" t="str">
        <f>IF('Insérer résultats IN2'!C76="",'Etape5-Trait.+recyclage déchets'!F29,'Insérer résultats IN2'!C76)</f>
        <v>Présent ?</v>
      </c>
      <c r="F69" s="424" t="str">
        <f>IF('Insérer résultats IN2'!D76="",'Etape5-Trait.+recyclage déchets'!G29,'Insérer résultats IN2'!D76)</f>
        <v>Présent ?</v>
      </c>
      <c r="G69" s="424" t="str">
        <f>IF('Insérer résultats IN2'!E76="",'Etape5-Trait.+recyclage déchets'!H29,'Insérer résultats IN2'!E76)</f>
        <v>Présent ?</v>
      </c>
      <c r="H69" s="424" t="str">
        <f>IF('Insérer résultats IN2'!F76="",'Etape5-Trait.+recyclage déchets'!I29,'Insérer résultats IN2'!F76)</f>
        <v>Présent ?</v>
      </c>
      <c r="I69" s="424" t="str">
        <f>IF('Insérer résultats IN2'!G76="",'Etape5-Trait.+recyclage déchets'!J29,'Insérer résultats IN2'!G76)</f>
        <v>Présent ?</v>
      </c>
      <c r="J69" s="424" t="str">
        <f>IF('Insérer résultats IN2'!H76="",'Etape5-Trait.+recyclage déchets'!K29,'Insérer résultats IN2'!H76)</f>
        <v>Présent ?</v>
      </c>
      <c r="K69" s="424" t="str">
        <f>IF('Insérer résultats IN2'!I76="",'Etape5-Trait.+recyclage déchets'!L29,'Insérer résultats IN2'!I76)</f>
        <v>Présent ?</v>
      </c>
      <c r="L69" s="272" t="str">
        <f>'Etape5-Trait.+recyclage déchets'!M29</f>
        <v>5.9.5</v>
      </c>
    </row>
    <row r="70" spans="1:13" ht="13">
      <c r="A70" s="389" t="str">
        <f>'Etape7-Crématoriums-cimetières'!A4</f>
        <v>Crématoriums and cimetières</v>
      </c>
      <c r="B70" s="303"/>
      <c r="C70" s="276"/>
      <c r="D70" s="304"/>
      <c r="E70" s="304"/>
      <c r="F70" s="432"/>
      <c r="G70" s="432"/>
      <c r="H70" s="432"/>
      <c r="I70" s="432"/>
      <c r="J70" s="432"/>
      <c r="K70" s="432"/>
      <c r="L70" s="305"/>
    </row>
    <row r="71" spans="1:13">
      <c r="A71" s="263" t="str">
        <f>'Etape7-Crématoriums-cimetières'!A5</f>
        <v>Crématoriums</v>
      </c>
      <c r="B71" s="268" t="str">
        <f>IF(OR('Etape7-Crématoriums-cimetières'!B5=yes,'Etape7-Crématoriums-cimetières'!B5=no,'Etape7-Crématoriums-cimetières'!B5=que),'Etape7-Crématoriums-cimetières'!B5,  pres)</f>
        <v>Présent ?</v>
      </c>
      <c r="C71" s="375">
        <f>'Etape7-Crématoriums-cimetières'!C5</f>
        <v>0</v>
      </c>
      <c r="D71" s="273" t="str">
        <f>'Etape7-Crématoriums-cimetières'!D5</f>
        <v>Corps incinérés/an</v>
      </c>
      <c r="E71" s="434" t="str">
        <f>IF('Insérer résultats IN2'!C78="",'Etape7-Crématoriums-cimetières'!E5,'Insérer résultats IN2'!C78)</f>
        <v>Présent ?</v>
      </c>
      <c r="F71" s="424" t="str">
        <f>IF('Insérer résultats IN2'!D78="",'Etape7-Crématoriums-cimetières'!F5,'Insérer résultats IN2'!D78)</f>
        <v>Présent ?</v>
      </c>
      <c r="G71" s="424" t="str">
        <f>IF('Insérer résultats IN2'!E78="",'Etape7-Crématoriums-cimetières'!G5,'Insérer résultats IN2'!E78)</f>
        <v>Présent ?</v>
      </c>
      <c r="H71" s="424" t="str">
        <f>IF('Insérer résultats IN2'!F78="",'Etape7-Crématoriums-cimetières'!H5,'Insérer résultats IN2'!F78)</f>
        <v>Présent ?</v>
      </c>
      <c r="I71" s="424" t="str">
        <f>IF('Insérer résultats IN2'!G78="",'Etape7-Crématoriums-cimetières'!I5,'Insérer résultats IN2'!G78)</f>
        <v>Présent ?</v>
      </c>
      <c r="J71" s="424" t="str">
        <f>IF('Insérer résultats IN2'!H78="",'Etape7-Crématoriums-cimetières'!J5,'Insérer résultats IN2'!H78)</f>
        <v>Présent ?</v>
      </c>
      <c r="K71" s="424" t="str">
        <f>IF('Insérer résultats IN2'!I78="",'Etape7-Crématoriums-cimetières'!K5,'Insérer résultats IN2'!I78)</f>
        <v>Présent ?</v>
      </c>
      <c r="L71" s="272" t="str">
        <f>'Etape7-Crématoriums-cimetières'!L5</f>
        <v>5.10.1</v>
      </c>
    </row>
    <row r="72" spans="1:13">
      <c r="A72" s="263" t="str">
        <f>'Etape7-Crématoriums-cimetières'!A6</f>
        <v>Cimetières</v>
      </c>
      <c r="B72" s="268" t="str">
        <f>IF(OR('Etape7-Crématoriums-cimetières'!B6=yes,'Etape7-Crématoriums-cimetières'!B6=no,'Etape7-Crématoriums-cimetières'!B6=que),'Etape7-Crématoriums-cimetières'!B6,  pres)</f>
        <v>Présent ?</v>
      </c>
      <c r="C72" s="375">
        <f>'Etape7-Crématoriums-cimetières'!C6</f>
        <v>0</v>
      </c>
      <c r="D72" s="273" t="str">
        <f>'Etape7-Crématoriums-cimetières'!D6</f>
        <v>Corps ensevelis/an</v>
      </c>
      <c r="E72" s="434" t="str">
        <f>IF('Insérer résultats IN2'!C79="",'Etape7-Crématoriums-cimetières'!E6,'Insérer résultats IN2'!C79)</f>
        <v>Présent ?</v>
      </c>
      <c r="F72" s="424" t="str">
        <f>IF('Insérer résultats IN2'!D79="",'Etape7-Crématoriums-cimetières'!F6,'Insérer résultats IN2'!D79)</f>
        <v>Présent ?</v>
      </c>
      <c r="G72" s="424" t="str">
        <f>IF('Insérer résultats IN2'!E79="",'Etape7-Crématoriums-cimetières'!G6,'Insérer résultats IN2'!E79)</f>
        <v>Présent ?</v>
      </c>
      <c r="H72" s="424" t="str">
        <f>IF('Insérer résultats IN2'!F79="",'Etape7-Crématoriums-cimetières'!H6,'Insérer résultats IN2'!F79)</f>
        <v>Présent ?</v>
      </c>
      <c r="I72" s="424" t="str">
        <f>IF('Insérer résultats IN2'!G79="",'Etape7-Crématoriums-cimetières'!I6,'Insérer résultats IN2'!G79)</f>
        <v>Présent ?</v>
      </c>
      <c r="J72" s="424" t="str">
        <f>IF('Insérer résultats IN2'!H79="",'Etape7-Crématoriums-cimetières'!J6,'Insérer résultats IN2'!H79)</f>
        <v>Présent ?</v>
      </c>
      <c r="K72" s="424" t="str">
        <f>IF('Insérer résultats IN2'!I79="",'Etape7-Crématoriums-cimetières'!K6,'Insérer résultats IN2'!I79)</f>
        <v>Présent ?</v>
      </c>
      <c r="L72" s="272" t="str">
        <f>'Etape7-Crématoriums-cimetières'!L6</f>
        <v>5.10.2</v>
      </c>
    </row>
    <row r="73" spans="1:13" s="355" customFormat="1" ht="13">
      <c r="A73" s="265" t="s">
        <v>821</v>
      </c>
      <c r="B73" s="425"/>
      <c r="C73" s="375"/>
      <c r="D73" s="374"/>
      <c r="E73" s="427">
        <f>ROUND((SUM(E5:E72)-0.9*(SUM(E61:E61)+SUM(E62:E62)+SUM(E63:E63)+SUM(E64:E64)+SUM(E65:E65)+SUM(E67:E67)+SUM(E68:E68))-IF(OR(E69=0,E69=que),0,SUM(E69:E69))+(-IF(OR(E36=0,E36=que),0,SUM(E36:E36))+SUM(F36:K36))+(-IF(OR(E37=0,E37=que),0,SUM(E37:E37))+SUM(F37:K37))+(-IF(OR(E38=0,E38=que),0,SUM(E38:E38))+SUM(F38:K38))+(-IF(OR(E39=0,E39=que),0,SUM(E39:E39))+SUM(F39:K39))+(-IF(OR(E40=0,E40=que),0,SUM(E40:E40))+SUM(F40:K40))+(-IF(OR(E41=0,E41=que),0,SUM(E41:E41))+SUM(F41:K41))+(-IF(OR(E42=0,E42=que),0,SUM(E42:E42))+SUM(F42:K42))+(-IF(OR(E43=0,E43=que),0,SUM(E43:E43))+SUM(F43:K43))+(-IF(OR(E15=0,E15=que),0,SUM(E15:E15))+SUM(F15:K15))+(-IF(OR(E16=0,E16=que),0,SUM(E16:E16))+SUM(F16:K16))+(-IF(OR(E17=0,E17=que),0,SUM(E17:E17))+SUM(F17:K17))-(IF(OR(E29=0,E29=que),0,SUM('5-3 Other min + mat'!AG6:AG6)))),-1)</f>
        <v>0</v>
      </c>
      <c r="F73" s="433">
        <f>ROUND(SUM(F5:F72)-(IF(OR(E29=0,E29=que,E29=pres, E29="-"),0,'5-3 Other min + mat'!AH6)),-1)</f>
        <v>0</v>
      </c>
      <c r="G73" s="433" t="e">
        <f>ROUND(SUM(G5:G72)-IF(OR(G69="-",G69=que),0,G69)-(IF(OR(E29=0,E29=que,E29=pres, E29="-"),0,'5-3 Other min + mat'!AI6)),-1)</f>
        <v>#VALUE!</v>
      </c>
      <c r="H73" s="433" t="e">
        <f>ROUND(SUM(H5:H72)-IF(OR(H68="-",H68=que),0,H68)-(IF(OR(E29=0,E29=que,E29=pres, E29="-"),0,'5-3 Other min + mat'!AJ6)),-1)</f>
        <v>#VALUE!</v>
      </c>
      <c r="I73" s="433">
        <f>ROUND(SUM(I5:I72)-(IF(OR(E29=0,E29=que,E29=pres, E29="-"),0,'5-3 Other min + mat'!AK6)),-1)</f>
        <v>0</v>
      </c>
      <c r="J73" s="433">
        <f>ROUND(SUM(J5:J72)-(IF(OR(E29=0,E29=que,E29=pres, E29="-"),0,'5-3 Other min + mat'!AL6)),-1)</f>
        <v>0</v>
      </c>
      <c r="K73" s="433">
        <f>ROUND(SUM(K5:K72)-(IF(OR(E29=0,E29=que,E29=pres, E29="-"),0,'5-3 Other min + mat'!AM6)),-1)</f>
        <v>0</v>
      </c>
      <c r="L73" s="374"/>
      <c r="M73" s="809"/>
    </row>
    <row r="74" spans="1:13">
      <c r="A74" s="620" t="s">
        <v>1227</v>
      </c>
      <c r="B74" s="358"/>
      <c r="E74" s="3"/>
      <c r="F74" s="469"/>
    </row>
    <row r="75" spans="1:13">
      <c r="A75" s="322" t="s">
        <v>1097</v>
      </c>
    </row>
    <row r="76" spans="1:13">
      <c r="A76" s="338" t="s">
        <v>1098</v>
      </c>
    </row>
    <row r="77" spans="1:13">
      <c r="A77" s="338" t="s">
        <v>1099</v>
      </c>
    </row>
    <row r="78" spans="1:13">
      <c r="A78" s="338" t="s">
        <v>1100</v>
      </c>
    </row>
    <row r="79" spans="1:13">
      <c r="A79" s="322" t="s">
        <v>1068</v>
      </c>
    </row>
    <row r="80" spans="1:13">
      <c r="A80" s="322" t="s">
        <v>1101</v>
      </c>
    </row>
    <row r="81" spans="1:1">
      <c r="A81" s="322" t="s">
        <v>1102</v>
      </c>
    </row>
    <row r="82" spans="1:1">
      <c r="A82" s="322" t="s">
        <v>1109</v>
      </c>
    </row>
    <row r="83" spans="1:1">
      <c r="A83" s="620" t="s">
        <v>1223</v>
      </c>
    </row>
    <row r="85" spans="1:1">
      <c r="A85" s="619" t="s">
        <v>1110</v>
      </c>
    </row>
    <row r="86" spans="1:1">
      <c r="A86" s="619" t="s">
        <v>1111</v>
      </c>
    </row>
  </sheetData>
  <sheetProtection algorithmName="SHA-512" hashValue="GFGgE8pKwa5PVzgE/JRCFTVugOV7HO0L1ltZFsVhlnLGCxqW1e8K/+zqFiFZtbayer4+HoUgo8UavO1x2xLIdw==" saltValue="EeYq/o1sKMc3APL35rVtIQ==" spinCount="100000" sheet="1" objects="1" scenarios="1"/>
  <mergeCells count="1">
    <mergeCell ref="F2:K2"/>
  </mergeCells>
  <pageMargins left="0.39370078740157483" right="0.39370078740157483" top="0.74803149606299213" bottom="0.74803149606299213" header="0.31496062992125984" footer="0.31496062992125984"/>
  <pageSetup paperSize="9" scale="86" fitToHeight="2"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6" stopIfTrue="1" id="{38038F7B-76CB-41A7-8003-A795F54220A9}">
            <xm:f>'Insérer résultats IN2'!C12&lt;&gt;""</xm:f>
            <x14:dxf>
              <font>
                <color rgb="FF00B050"/>
              </font>
            </x14:dxf>
          </x14:cfRule>
          <xm:sqref>E58:E65 E15:K17 E19:K27 E29:K30 E32:K34 E36:K43 E45:K56 F58:K59 F61:K65 E67:K69 E71:K72 E5:K6</xm:sqref>
        </x14:conditionalFormatting>
        <x14:conditionalFormatting xmlns:xm="http://schemas.microsoft.com/office/excel/2006/main">
          <x14:cfRule type="expression" priority="42" stopIfTrue="1" id="{38038F7B-76CB-41A7-8003-A795F54220A9}">
            <xm:f>'Insérer résultats IN2'!C13&lt;&gt;""</xm:f>
            <x14:dxf>
              <font>
                <color rgb="FF00B050"/>
              </font>
            </x14:dxf>
          </x14:cfRule>
          <xm:sqref>E7:K13</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52"/>
  <sheetViews>
    <sheetView workbookViewId="0"/>
  </sheetViews>
  <sheetFormatPr defaultColWidth="9.1796875" defaultRowHeight="12.5"/>
  <cols>
    <col min="1" max="1" width="96.81640625" style="208" customWidth="1"/>
    <col min="2" max="16384" width="9.1796875" style="203"/>
  </cols>
  <sheetData>
    <row r="1" spans="1:1" ht="18">
      <c r="A1" s="210" t="s">
        <v>376</v>
      </c>
    </row>
    <row r="2" spans="1:1" ht="63">
      <c r="A2" s="204" t="s">
        <v>3</v>
      </c>
    </row>
    <row r="4" spans="1:1" ht="25.5">
      <c r="A4" s="204" t="s">
        <v>4</v>
      </c>
    </row>
    <row r="6" spans="1:1" ht="25.5">
      <c r="A6" s="204" t="s">
        <v>5</v>
      </c>
    </row>
    <row r="7" spans="1:1" ht="13">
      <c r="A7" s="204"/>
    </row>
    <row r="8" spans="1:1" ht="13">
      <c r="A8" s="213" t="s">
        <v>26</v>
      </c>
    </row>
    <row r="9" spans="1:1" ht="62.5">
      <c r="A9" s="214" t="s">
        <v>27</v>
      </c>
    </row>
    <row r="10" spans="1:1" ht="37.5">
      <c r="A10" s="214" t="s">
        <v>28</v>
      </c>
    </row>
    <row r="12" spans="1:1" ht="15.5">
      <c r="A12" s="211" t="s">
        <v>0</v>
      </c>
    </row>
    <row r="13" spans="1:1" ht="13">
      <c r="A13" s="204" t="s">
        <v>6</v>
      </c>
    </row>
    <row r="15" spans="1:1" ht="13">
      <c r="A15" s="204" t="s">
        <v>7</v>
      </c>
    </row>
    <row r="17" spans="1:1" ht="25.5">
      <c r="A17" s="205" t="s">
        <v>8</v>
      </c>
    </row>
    <row r="19" spans="1:1" ht="38">
      <c r="A19" s="205" t="s">
        <v>9</v>
      </c>
    </row>
    <row r="20" spans="1:1" ht="37.5">
      <c r="A20" s="206" t="s">
        <v>10</v>
      </c>
    </row>
    <row r="22" spans="1:1" s="207" customFormat="1" ht="25.5">
      <c r="A22" s="205" t="s">
        <v>11</v>
      </c>
    </row>
    <row r="24" spans="1:1" ht="63">
      <c r="A24" s="204" t="s">
        <v>12</v>
      </c>
    </row>
    <row r="26" spans="1:1" ht="50.5">
      <c r="A26" s="204" t="s">
        <v>13</v>
      </c>
    </row>
    <row r="28" spans="1:1" ht="100.5">
      <c r="A28" s="204" t="s">
        <v>14</v>
      </c>
    </row>
    <row r="30" spans="1:1" ht="50.5">
      <c r="A30" s="204" t="s">
        <v>15</v>
      </c>
    </row>
    <row r="32" spans="1:1" ht="50.5">
      <c r="A32" s="204" t="s">
        <v>16</v>
      </c>
    </row>
    <row r="33" spans="1:1" ht="100">
      <c r="A33" s="209" t="s">
        <v>2</v>
      </c>
    </row>
    <row r="34" spans="1:1">
      <c r="A34" s="209"/>
    </row>
    <row r="35" spans="1:1" ht="100.5">
      <c r="A35" s="204" t="s">
        <v>17</v>
      </c>
    </row>
    <row r="37" spans="1:1" ht="63">
      <c r="A37" s="204" t="s">
        <v>18</v>
      </c>
    </row>
    <row r="39" spans="1:1" ht="38">
      <c r="A39" s="204" t="s">
        <v>19</v>
      </c>
    </row>
    <row r="41" spans="1:1" ht="14">
      <c r="A41" s="212" t="s">
        <v>1</v>
      </c>
    </row>
    <row r="42" spans="1:1" ht="50.5">
      <c r="A42" s="204" t="s">
        <v>20</v>
      </c>
    </row>
    <row r="44" spans="1:1" ht="75.5">
      <c r="A44" s="204" t="s">
        <v>21</v>
      </c>
    </row>
    <row r="46" spans="1:1" ht="63">
      <c r="A46" s="204" t="s">
        <v>22</v>
      </c>
    </row>
    <row r="48" spans="1:1" ht="50.5">
      <c r="A48" s="204" t="s">
        <v>23</v>
      </c>
    </row>
    <row r="50" spans="1:1" ht="50.5">
      <c r="A50" s="204" t="s">
        <v>24</v>
      </c>
    </row>
    <row r="52" spans="1:1" ht="50.5">
      <c r="A52" s="204" t="s">
        <v>25</v>
      </c>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E74"/>
  <sheetViews>
    <sheetView zoomScale="70" zoomScaleNormal="70" workbookViewId="0">
      <selection activeCell="F42" sqref="F42"/>
    </sheetView>
  </sheetViews>
  <sheetFormatPr defaultColWidth="8.81640625" defaultRowHeight="12.5"/>
  <cols>
    <col min="1" max="1" width="4.81640625" customWidth="1"/>
    <col min="2" max="2" width="7.1796875" customWidth="1"/>
    <col min="3" max="3" width="56.453125" customWidth="1"/>
    <col min="4" max="4" width="9.1796875" style="44"/>
    <col min="5" max="5" width="12.6328125" customWidth="1"/>
    <col min="8" max="8" width="11" customWidth="1"/>
    <col min="10" max="10" width="22.36328125" customWidth="1"/>
    <col min="11" max="11" width="109.36328125" style="9" customWidth="1"/>
  </cols>
  <sheetData>
    <row r="1" spans="1:31" ht="18">
      <c r="A1" s="1" t="s">
        <v>34</v>
      </c>
      <c r="L1" s="48"/>
    </row>
    <row r="2" spans="1:31" ht="18">
      <c r="A2" s="1" t="s">
        <v>29</v>
      </c>
      <c r="L2" s="48"/>
    </row>
    <row r="3" spans="1:31">
      <c r="A3" t="s">
        <v>30</v>
      </c>
    </row>
    <row r="4" spans="1:31">
      <c r="A4" s="3"/>
      <c r="B4" s="2"/>
      <c r="C4" s="2"/>
    </row>
    <row r="5" spans="1:31">
      <c r="A5" t="s">
        <v>303</v>
      </c>
    </row>
    <row r="6" spans="1:31">
      <c r="A6" s="3"/>
      <c r="B6" s="2"/>
      <c r="C6" s="2"/>
    </row>
    <row r="7" spans="1:31">
      <c r="A7" s="6" t="s">
        <v>315</v>
      </c>
    </row>
    <row r="8" spans="1:31">
      <c r="A8" s="3"/>
      <c r="B8" s="2"/>
      <c r="C8" s="2"/>
    </row>
    <row r="9" spans="1:31" ht="26">
      <c r="A9" s="56" t="s">
        <v>52</v>
      </c>
      <c r="B9" s="56" t="s">
        <v>322</v>
      </c>
      <c r="C9" s="57" t="s">
        <v>314</v>
      </c>
      <c r="D9" s="215" t="s">
        <v>153</v>
      </c>
      <c r="E9" s="82" t="s">
        <v>54</v>
      </c>
      <c r="F9" s="80"/>
      <c r="G9" s="80"/>
      <c r="H9" s="81"/>
      <c r="I9" s="81"/>
      <c r="J9" s="83"/>
      <c r="K9" s="216" t="s">
        <v>87</v>
      </c>
    </row>
    <row r="10" spans="1:31" ht="38.25" customHeight="1">
      <c r="A10" s="58"/>
      <c r="B10" s="58"/>
      <c r="C10" s="58"/>
      <c r="D10" s="77"/>
      <c r="E10" s="78" t="s">
        <v>38</v>
      </c>
      <c r="F10" s="78" t="s">
        <v>39</v>
      </c>
      <c r="G10" s="78" t="s">
        <v>40</v>
      </c>
      <c r="H10" s="79" t="s">
        <v>358</v>
      </c>
      <c r="I10" s="79" t="s">
        <v>42</v>
      </c>
      <c r="J10" s="79" t="s">
        <v>228</v>
      </c>
      <c r="K10" s="217"/>
      <c r="M10" s="48"/>
      <c r="N10" s="48"/>
      <c r="O10" s="48"/>
      <c r="P10" s="48"/>
      <c r="Q10" s="48"/>
      <c r="R10" s="48"/>
      <c r="S10" s="48"/>
      <c r="T10" s="48"/>
      <c r="U10" s="48"/>
      <c r="V10" s="48"/>
      <c r="W10" s="48"/>
      <c r="X10" s="48"/>
      <c r="Y10" s="48"/>
      <c r="Z10" s="48"/>
      <c r="AA10" s="48"/>
      <c r="AB10" s="48"/>
      <c r="AC10" s="48"/>
      <c r="AD10" s="48"/>
      <c r="AE10" s="48"/>
    </row>
    <row r="11" spans="1:31" ht="13">
      <c r="A11" s="57" t="str">
        <f>'5-1 Fuels'!A5</f>
        <v>5.1</v>
      </c>
      <c r="B11" s="57"/>
      <c r="C11" s="57" t="str">
        <f>'5-1 Fuels'!C5</f>
        <v>Source category: Extraction and use of fuels/energy sources</v>
      </c>
      <c r="D11" s="77"/>
      <c r="E11" s="77"/>
      <c r="F11" s="77"/>
      <c r="G11" s="77"/>
      <c r="H11" s="77"/>
      <c r="I11" s="77"/>
      <c r="J11" s="77"/>
      <c r="K11" s="217"/>
      <c r="M11" s="48"/>
      <c r="N11" s="48"/>
      <c r="O11" s="48"/>
      <c r="P11" s="48"/>
      <c r="Q11" s="48"/>
      <c r="R11" s="48"/>
      <c r="S11" s="48"/>
      <c r="T11" s="48"/>
      <c r="U11" s="48"/>
      <c r="V11" s="48"/>
      <c r="W11" s="48"/>
      <c r="X11" s="48"/>
      <c r="Y11" s="48"/>
      <c r="Z11" s="48"/>
      <c r="AA11" s="48"/>
      <c r="AB11" s="48"/>
      <c r="AC11" s="48"/>
      <c r="AD11" s="48"/>
      <c r="AE11" s="48"/>
    </row>
    <row r="12" spans="1:31" ht="13">
      <c r="A12" s="57"/>
      <c r="B12" s="280" t="str">
        <f>'5-1 Fuels'!B6</f>
        <v>5.1.1</v>
      </c>
      <c r="C12" s="280" t="str">
        <f>'5-1 Fuels'!C6</f>
        <v>Coal combustion in large power plants</v>
      </c>
      <c r="D12" s="77">
        <f>'5-1 Fuels'!D6</f>
        <v>0</v>
      </c>
      <c r="E12" s="87">
        <f>'5-1 Fuels'!V6</f>
        <v>0</v>
      </c>
      <c r="F12" s="85">
        <f>'5-1 Fuels'!W6</f>
        <v>0</v>
      </c>
      <c r="G12" s="85">
        <f>'5-1 Fuels'!X6</f>
        <v>0</v>
      </c>
      <c r="H12" s="85">
        <f>'5-1 Fuels'!Y6</f>
        <v>0</v>
      </c>
      <c r="I12" s="87">
        <f>'5-1 Fuels'!Z6</f>
        <v>0</v>
      </c>
      <c r="J12" s="85">
        <f>'5-1 Fuels'!AA6</f>
        <v>0</v>
      </c>
      <c r="K12" s="217"/>
      <c r="M12" s="48"/>
      <c r="N12" s="48"/>
      <c r="O12" s="48"/>
      <c r="P12" s="48"/>
      <c r="Q12" s="48"/>
      <c r="R12" s="48"/>
      <c r="S12" s="48"/>
      <c r="T12" s="48"/>
      <c r="U12" s="48"/>
      <c r="V12" s="48"/>
      <c r="W12" s="48"/>
      <c r="X12" s="48"/>
      <c r="Y12" s="48"/>
      <c r="Z12" s="48"/>
      <c r="AA12" s="48"/>
      <c r="AB12" s="48"/>
      <c r="AC12" s="48"/>
      <c r="AD12" s="48"/>
      <c r="AE12" s="48"/>
    </row>
    <row r="13" spans="1:31" ht="13">
      <c r="A13" s="57"/>
      <c r="B13" s="280" t="str">
        <f>'5-1 Fuels'!B16</f>
        <v>5.1.2.1</v>
      </c>
      <c r="C13" s="280" t="str">
        <f>'5-1 Fuels'!C16</f>
        <v>Coal combustion in coal fired industrial boilers</v>
      </c>
      <c r="D13" s="77">
        <f>'5-1 Fuels'!D16</f>
        <v>0</v>
      </c>
      <c r="E13" s="85">
        <f>'5-1 Fuels'!V16</f>
        <v>0</v>
      </c>
      <c r="F13" s="85">
        <f>'5-1 Fuels'!W16</f>
        <v>0</v>
      </c>
      <c r="G13" s="85">
        <f>'5-1 Fuels'!X16</f>
        <v>0</v>
      </c>
      <c r="H13" s="85">
        <f>'5-1 Fuels'!Y16</f>
        <v>0</v>
      </c>
      <c r="I13" s="85">
        <f>'5-1 Fuels'!Z16</f>
        <v>0</v>
      </c>
      <c r="J13" s="85">
        <f>'5-1 Fuels'!AA16</f>
        <v>0</v>
      </c>
      <c r="K13" s="217"/>
      <c r="M13" s="48"/>
      <c r="N13" s="48"/>
      <c r="O13" s="48"/>
      <c r="P13" s="48"/>
      <c r="Q13" s="48"/>
      <c r="R13" s="48"/>
      <c r="S13" s="48"/>
      <c r="T13" s="48"/>
      <c r="U13" s="48"/>
      <c r="V13" s="48"/>
      <c r="W13" s="48"/>
      <c r="X13" s="48"/>
      <c r="Y13" s="48"/>
      <c r="Z13" s="48"/>
      <c r="AA13" s="48"/>
      <c r="AB13" s="48"/>
      <c r="AC13" s="48"/>
      <c r="AD13" s="48"/>
      <c r="AE13" s="48"/>
    </row>
    <row r="14" spans="1:31" ht="13">
      <c r="A14" s="57"/>
      <c r="B14" s="280" t="str">
        <f>'5-1 Fuels'!B34</f>
        <v>5.1.3</v>
      </c>
      <c r="C14" s="280" t="str">
        <f>'5-1 Fuels'!C34</f>
        <v>Mineral oils - extraction, refining and use</v>
      </c>
      <c r="D14" s="77">
        <f>'5-1 Fuels'!D34</f>
        <v>0</v>
      </c>
      <c r="E14" s="85">
        <f>'5-1 Fuels'!V34</f>
        <v>0</v>
      </c>
      <c r="F14" s="85">
        <f>'5-1 Fuels'!W34</f>
        <v>0</v>
      </c>
      <c r="G14" s="85">
        <f>'5-1 Fuels'!X34</f>
        <v>0</v>
      </c>
      <c r="H14" s="85">
        <f>'5-1 Fuels'!Y34</f>
        <v>0</v>
      </c>
      <c r="I14" s="85">
        <f>'5-1 Fuels'!Z34</f>
        <v>0</v>
      </c>
      <c r="J14" s="85">
        <f>'5-1 Fuels'!AA34</f>
        <v>0</v>
      </c>
      <c r="K14" s="217"/>
      <c r="M14" s="48"/>
      <c r="N14" s="48"/>
      <c r="O14" s="48"/>
      <c r="P14" s="48"/>
      <c r="Q14" s="48"/>
      <c r="R14" s="48"/>
      <c r="S14" s="48"/>
      <c r="T14" s="48"/>
      <c r="U14" s="48"/>
      <c r="V14" s="48"/>
      <c r="W14" s="48"/>
      <c r="X14" s="48"/>
      <c r="Y14" s="48"/>
      <c r="Z14" s="48"/>
      <c r="AA14" s="48"/>
      <c r="AB14" s="48"/>
      <c r="AC14" s="48"/>
      <c r="AD14" s="48"/>
      <c r="AE14" s="48"/>
    </row>
    <row r="15" spans="1:31" ht="13">
      <c r="A15" s="57"/>
      <c r="B15" s="280" t="str">
        <f>'5-1 Fuels'!B49</f>
        <v>5.1.4</v>
      </c>
      <c r="C15" s="280" t="str">
        <f>'5-1 Fuels'!C49</f>
        <v>Natural gas - extraction, refining and use</v>
      </c>
      <c r="D15" s="77">
        <f>'5-1 Fuels'!D49</f>
        <v>0</v>
      </c>
      <c r="E15" s="85">
        <f>'5-1 Fuels'!V49</f>
        <v>0</v>
      </c>
      <c r="F15" s="85">
        <f>'5-1 Fuels'!W49</f>
        <v>0</v>
      </c>
      <c r="G15" s="85">
        <f>'5-1 Fuels'!X49</f>
        <v>0</v>
      </c>
      <c r="H15" s="85">
        <f>'5-1 Fuels'!Y49</f>
        <v>0</v>
      </c>
      <c r="I15" s="85">
        <f>'5-1 Fuels'!Z49</f>
        <v>0</v>
      </c>
      <c r="J15" s="85">
        <f>'5-1 Fuels'!AA49</f>
        <v>0</v>
      </c>
      <c r="K15" s="217"/>
      <c r="M15" s="48"/>
      <c r="N15" s="48"/>
      <c r="O15" s="48"/>
      <c r="P15" s="48"/>
      <c r="Q15" s="48"/>
      <c r="R15" s="48"/>
      <c r="S15" s="48"/>
      <c r="T15" s="48"/>
      <c r="U15" s="48"/>
      <c r="V15" s="48"/>
      <c r="W15" s="48"/>
      <c r="X15" s="48"/>
      <c r="Y15" s="48"/>
      <c r="Z15" s="48"/>
      <c r="AA15" s="48"/>
      <c r="AB15" s="48"/>
      <c r="AC15" s="48"/>
      <c r="AD15" s="48"/>
      <c r="AE15" s="48"/>
    </row>
    <row r="16" spans="1:31" ht="13">
      <c r="A16" s="57"/>
      <c r="B16" s="280" t="str">
        <f>'5-1 Fuels'!B56</f>
        <v>5.1.5</v>
      </c>
      <c r="C16" s="280" t="str">
        <f>'5-1 Fuels'!C56</f>
        <v>Other fossil fuels - extraction and use</v>
      </c>
      <c r="D16" s="77">
        <f>'5-1 Fuels'!D56</f>
        <v>0</v>
      </c>
      <c r="E16" s="85">
        <f>'5-1 Fuels'!V56</f>
        <v>0</v>
      </c>
      <c r="F16" s="85">
        <f>'5-1 Fuels'!W56</f>
        <v>0</v>
      </c>
      <c r="G16" s="85">
        <f>'5-1 Fuels'!X56</f>
        <v>0</v>
      </c>
      <c r="H16" s="85">
        <f>'5-1 Fuels'!Y56</f>
        <v>0</v>
      </c>
      <c r="I16" s="85">
        <f>'5-1 Fuels'!Z56</f>
        <v>0</v>
      </c>
      <c r="J16" s="85">
        <f>'5-1 Fuels'!AA56</f>
        <v>0</v>
      </c>
      <c r="K16" s="217"/>
      <c r="M16" s="48"/>
      <c r="N16" s="48"/>
      <c r="O16" s="48"/>
      <c r="P16" s="48"/>
      <c r="Q16" s="48"/>
      <c r="R16" s="48"/>
      <c r="S16" s="48"/>
      <c r="T16" s="48"/>
      <c r="U16" s="48"/>
      <c r="V16" s="48"/>
      <c r="W16" s="48"/>
      <c r="X16" s="48"/>
      <c r="Y16" s="48"/>
      <c r="Z16" s="48"/>
      <c r="AA16" s="48"/>
      <c r="AB16" s="48"/>
      <c r="AC16" s="48"/>
      <c r="AD16" s="48"/>
      <c r="AE16" s="48"/>
    </row>
    <row r="17" spans="1:31" ht="13">
      <c r="A17" s="57"/>
      <c r="B17" s="280" t="str">
        <f>'5-1 Fuels'!B62</f>
        <v>5.1.6</v>
      </c>
      <c r="C17" s="280" t="str">
        <f>'5-1 Fuels'!C62</f>
        <v>Biomass fired power and heat production</v>
      </c>
      <c r="D17" s="77">
        <f>'5-1 Fuels'!D62</f>
        <v>0</v>
      </c>
      <c r="E17" s="85">
        <f>'5-1 Fuels'!V62</f>
        <v>0</v>
      </c>
      <c r="F17" s="85">
        <f>'5-1 Fuels'!W62</f>
        <v>0</v>
      </c>
      <c r="G17" s="85">
        <f>'5-1 Fuels'!X62</f>
        <v>0</v>
      </c>
      <c r="H17" s="85">
        <f>'5-1 Fuels'!Y62</f>
        <v>0</v>
      </c>
      <c r="I17" s="85">
        <f>'5-1 Fuels'!Z62</f>
        <v>0</v>
      </c>
      <c r="J17" s="85">
        <f>'5-1 Fuels'!AA62</f>
        <v>0</v>
      </c>
      <c r="K17" s="217"/>
      <c r="M17" s="48"/>
      <c r="N17" s="48"/>
      <c r="O17" s="48"/>
      <c r="P17" s="48"/>
      <c r="Q17" s="48"/>
      <c r="R17" s="48"/>
      <c r="S17" s="48"/>
      <c r="T17" s="48"/>
      <c r="U17" s="48"/>
      <c r="V17" s="48"/>
      <c r="W17" s="48"/>
      <c r="X17" s="48"/>
      <c r="Y17" s="48"/>
      <c r="Z17" s="48"/>
      <c r="AA17" s="48"/>
      <c r="AB17" s="48"/>
      <c r="AC17" s="48"/>
      <c r="AD17" s="48"/>
      <c r="AE17" s="48"/>
    </row>
    <row r="18" spans="1:31" s="55" customFormat="1" ht="13">
      <c r="A18" s="57"/>
      <c r="B18" s="280" t="str">
        <f>'5-1 Fuels'!B65</f>
        <v>5.1.7</v>
      </c>
      <c r="C18" s="280" t="str">
        <f>'5-1 Fuels'!C65</f>
        <v>Geothermal power production</v>
      </c>
      <c r="D18" s="77">
        <f>'5-1 Fuels'!D65</f>
        <v>0</v>
      </c>
      <c r="E18" s="85">
        <f>'5-1 Fuels'!V65</f>
        <v>0</v>
      </c>
      <c r="F18" s="85">
        <f>'5-1 Fuels'!W65</f>
        <v>0</v>
      </c>
      <c r="G18" s="85">
        <f>'5-1 Fuels'!X65</f>
        <v>0</v>
      </c>
      <c r="H18" s="85">
        <f>'5-1 Fuels'!Y65</f>
        <v>0</v>
      </c>
      <c r="I18" s="85">
        <f>'5-1 Fuels'!Z65</f>
        <v>0</v>
      </c>
      <c r="J18" s="85">
        <f>'5-1 Fuels'!AA65</f>
        <v>0</v>
      </c>
      <c r="K18" s="217"/>
      <c r="L18" s="13"/>
      <c r="M18" s="48"/>
      <c r="N18" s="48"/>
      <c r="O18" s="48"/>
      <c r="P18" s="48"/>
      <c r="Q18" s="48"/>
      <c r="R18" s="48"/>
      <c r="S18" s="48"/>
      <c r="T18" s="48"/>
      <c r="U18" s="48"/>
      <c r="V18" s="48"/>
      <c r="W18" s="48"/>
      <c r="X18" s="48"/>
      <c r="Y18" s="48"/>
      <c r="Z18" s="48"/>
      <c r="AA18" s="48"/>
      <c r="AB18" s="48"/>
      <c r="AC18" s="48"/>
      <c r="AD18" s="48"/>
      <c r="AE18" s="48"/>
    </row>
    <row r="19" spans="1:31" ht="13">
      <c r="A19" s="56" t="str">
        <f>'5-2 Prim metal'!A5</f>
        <v>5.2</v>
      </c>
      <c r="B19" s="56"/>
      <c r="C19" s="57" t="str">
        <f>'5-2 Prim metal'!C5</f>
        <v>Source category: Primary (virgin) metal production</v>
      </c>
      <c r="D19" s="77"/>
      <c r="E19" s="85"/>
      <c r="F19" s="85"/>
      <c r="G19" s="85"/>
      <c r="H19" s="85"/>
      <c r="I19" s="85"/>
      <c r="J19" s="85"/>
      <c r="K19" s="218"/>
      <c r="L19" s="13"/>
      <c r="M19" s="48"/>
      <c r="N19" s="48"/>
      <c r="O19" s="48"/>
      <c r="P19" s="48"/>
      <c r="Q19" s="48"/>
      <c r="R19" s="48"/>
      <c r="S19" s="48"/>
      <c r="T19" s="48"/>
      <c r="U19" s="48"/>
      <c r="V19" s="48"/>
      <c r="W19" s="48"/>
      <c r="X19" s="48"/>
      <c r="Y19" s="48"/>
      <c r="Z19" s="48"/>
      <c r="AA19" s="48"/>
      <c r="AB19" s="48"/>
      <c r="AC19" s="48"/>
      <c r="AD19" s="48"/>
      <c r="AE19" s="48"/>
    </row>
    <row r="20" spans="1:31" ht="13">
      <c r="A20" s="56"/>
      <c r="B20" s="113" t="str">
        <f>'5-2 Prim metal'!B6</f>
        <v>5.2.1</v>
      </c>
      <c r="C20" s="280" t="str">
        <f>'5-2 Prim metal'!C6</f>
        <v>Mercury (primary) extraction and initial processing</v>
      </c>
      <c r="D20" s="77">
        <f>'5-2 Prim metal'!D6</f>
        <v>0</v>
      </c>
      <c r="E20" s="85">
        <f>'5-2 Prim metal'!V6</f>
        <v>0</v>
      </c>
      <c r="F20" s="85">
        <f>'5-2 Prim metal'!W6</f>
        <v>0</v>
      </c>
      <c r="G20" s="85">
        <f>'5-2 Prim metal'!X6</f>
        <v>0</v>
      </c>
      <c r="H20" s="85">
        <f>'5-2 Prim metal'!Y6</f>
        <v>0</v>
      </c>
      <c r="I20" s="85">
        <f>'5-2 Prim metal'!Z6</f>
        <v>0</v>
      </c>
      <c r="J20" s="85">
        <f>'5-2 Prim metal'!AA6</f>
        <v>0</v>
      </c>
      <c r="K20" s="219"/>
    </row>
    <row r="21" spans="1:31" ht="13">
      <c r="A21" s="56"/>
      <c r="B21" s="113" t="str">
        <f>'5-2 Prim metal'!B8</f>
        <v>5.2.2</v>
      </c>
      <c r="C21" s="280" t="str">
        <f>'5-2 Prim metal'!C8</f>
        <v>Gold and silver extraction with mercury amalgamation processes</v>
      </c>
      <c r="D21" s="77">
        <f>'5-2 Prim metal'!D8</f>
        <v>0</v>
      </c>
      <c r="E21" s="85">
        <f>'5-2 Prim metal'!V8</f>
        <v>0</v>
      </c>
      <c r="F21" s="85">
        <f>'5-2 Prim metal'!W8</f>
        <v>0</v>
      </c>
      <c r="G21" s="85">
        <f>'5-2 Prim metal'!X8</f>
        <v>0</v>
      </c>
      <c r="H21" s="85">
        <f>'5-2 Prim metal'!Y8</f>
        <v>0</v>
      </c>
      <c r="I21" s="85">
        <f>'5-2 Prim metal'!Z8</f>
        <v>0</v>
      </c>
      <c r="J21" s="85">
        <f>'5-2 Prim metal'!AA8</f>
        <v>0</v>
      </c>
      <c r="K21" s="219"/>
    </row>
    <row r="22" spans="1:31" ht="13">
      <c r="A22" s="56"/>
      <c r="B22" s="113" t="str">
        <f>'5-2 Prim metal'!B14</f>
        <v>5.3.3</v>
      </c>
      <c r="C22" s="280" t="str">
        <f>'5-2 Prim metal'!C14</f>
        <v>Zinc extraction and initial processing</v>
      </c>
      <c r="D22" s="77">
        <f>'5-2 Prim metal'!D14</f>
        <v>0</v>
      </c>
      <c r="E22" s="85">
        <f>'5-2 Prim metal'!V14</f>
        <v>0</v>
      </c>
      <c r="F22" s="85">
        <f>'5-2 Prim metal'!W14</f>
        <v>0</v>
      </c>
      <c r="G22" s="85">
        <f>'5-2 Prim metal'!X14</f>
        <v>0</v>
      </c>
      <c r="H22" s="85">
        <f>'5-2 Prim metal'!Y14</f>
        <v>0</v>
      </c>
      <c r="I22" s="85">
        <f>'5-2 Prim metal'!Z14</f>
        <v>0</v>
      </c>
      <c r="J22" s="85">
        <f>'5-2 Prim metal'!AA14</f>
        <v>0</v>
      </c>
      <c r="K22" s="219"/>
    </row>
    <row r="23" spans="1:31" ht="13">
      <c r="A23" s="56"/>
      <c r="B23" s="113" t="str">
        <f>'5-2 Prim metal'!B21</f>
        <v>5.3.4</v>
      </c>
      <c r="C23" s="280" t="str">
        <f>'5-2 Prim metal'!C21</f>
        <v>Copper extraction and initial processing</v>
      </c>
      <c r="D23" s="77">
        <f>'5-2 Prim metal'!D21</f>
        <v>0</v>
      </c>
      <c r="E23" s="85">
        <f>'5-2 Prim metal'!V21</f>
        <v>0</v>
      </c>
      <c r="F23" s="85">
        <f>'5-2 Prim metal'!W21</f>
        <v>0</v>
      </c>
      <c r="G23" s="85">
        <f>'5-2 Prim metal'!X21</f>
        <v>0</v>
      </c>
      <c r="H23" s="85">
        <f>'5-2 Prim metal'!Y21</f>
        <v>0</v>
      </c>
      <c r="I23" s="85">
        <f>'5-2 Prim metal'!Z21</f>
        <v>0</v>
      </c>
      <c r="J23" s="85">
        <f>'5-2 Prim metal'!AA21</f>
        <v>0</v>
      </c>
      <c r="K23" s="219"/>
    </row>
    <row r="24" spans="1:31" ht="13">
      <c r="A24" s="56"/>
      <c r="B24" s="113" t="str">
        <f>'5-2 Prim metal'!B28</f>
        <v>5.3.5</v>
      </c>
      <c r="C24" s="280" t="str">
        <f>'5-2 Prim metal'!C28</f>
        <v>Lead extraction and initial processing</v>
      </c>
      <c r="D24" s="77">
        <f>'5-2 Prim metal'!D28</f>
        <v>0</v>
      </c>
      <c r="E24" s="85">
        <f>'5-2 Prim metal'!V28</f>
        <v>0</v>
      </c>
      <c r="F24" s="85">
        <f>'5-2 Prim metal'!W28</f>
        <v>0</v>
      </c>
      <c r="G24" s="85">
        <f>'5-2 Prim metal'!X28</f>
        <v>0</v>
      </c>
      <c r="H24" s="85">
        <f>'5-2 Prim metal'!Y28</f>
        <v>0</v>
      </c>
      <c r="I24" s="85">
        <f>'5-2 Prim metal'!Z28</f>
        <v>0</v>
      </c>
      <c r="J24" s="85">
        <f>'5-2 Prim metal'!AA28</f>
        <v>0</v>
      </c>
      <c r="K24" s="219"/>
    </row>
    <row r="25" spans="1:31" ht="25.5">
      <c r="A25" s="56"/>
      <c r="B25" s="113" t="str">
        <f>'5-2 Prim metal'!B35</f>
        <v>5.3.6</v>
      </c>
      <c r="C25" s="280" t="str">
        <f>'5-2 Prim metal'!C35</f>
        <v>Gold extraction and initial processing by methods other than mercury amalgamation (a</v>
      </c>
      <c r="D25" s="77">
        <f>'5-2 Prim metal'!D35</f>
        <v>0</v>
      </c>
      <c r="E25" s="85">
        <f>'5-2 Prim metal'!V35</f>
        <v>0</v>
      </c>
      <c r="F25" s="85">
        <f>'5-2 Prim metal'!W35</f>
        <v>0</v>
      </c>
      <c r="G25" s="85">
        <f>'5-2 Prim metal'!X35</f>
        <v>0</v>
      </c>
      <c r="H25" s="85">
        <f>'5-2 Prim metal'!Y35</f>
        <v>0</v>
      </c>
      <c r="I25" s="85">
        <f>'5-2 Prim metal'!Z35</f>
        <v>0</v>
      </c>
      <c r="J25" s="85">
        <f>'5-2 Prim metal'!AA35</f>
        <v>0</v>
      </c>
      <c r="K25" s="219"/>
    </row>
    <row r="26" spans="1:31" ht="13">
      <c r="A26" s="56"/>
      <c r="B26" s="113" t="str">
        <f>'5-2 Prim metal'!B37</f>
        <v>5.3.7</v>
      </c>
      <c r="C26" s="280" t="str">
        <f>'5-2 Prim metal'!C37</f>
        <v>Aliminium extraction and initial processing</v>
      </c>
      <c r="D26" s="77">
        <f>'5-2 Prim metal'!D37</f>
        <v>0</v>
      </c>
      <c r="E26" s="85">
        <f>'5-2 Prim metal'!V37</f>
        <v>0</v>
      </c>
      <c r="F26" s="85">
        <f>'5-2 Prim metal'!W37</f>
        <v>0</v>
      </c>
      <c r="G26" s="85">
        <f>'5-2 Prim metal'!X37</f>
        <v>0</v>
      </c>
      <c r="H26" s="85">
        <f>'5-2 Prim metal'!Y37</f>
        <v>0</v>
      </c>
      <c r="I26" s="85">
        <f>'5-2 Prim metal'!Z37</f>
        <v>0</v>
      </c>
      <c r="J26" s="85">
        <f>'5-2 Prim metal'!AA37</f>
        <v>0</v>
      </c>
      <c r="K26" s="219"/>
    </row>
    <row r="27" spans="1:31" ht="13">
      <c r="A27" s="56"/>
      <c r="B27" s="113" t="str">
        <f>'5-2 Prim metal'!B41</f>
        <v>5.3.8</v>
      </c>
      <c r="C27" s="280" t="str">
        <f>'5-2 Prim metal'!C41</f>
        <v>Other non-ferrous metals - extraction and processing</v>
      </c>
      <c r="D27" s="77">
        <f>'5-2 Prim metal'!D41</f>
        <v>0</v>
      </c>
      <c r="E27" s="85">
        <f>'5-2 Prim metal'!V41</f>
        <v>0</v>
      </c>
      <c r="F27" s="85">
        <f>'5-2 Prim metal'!W41</f>
        <v>0</v>
      </c>
      <c r="G27" s="85">
        <f>'5-2 Prim metal'!X41</f>
        <v>0</v>
      </c>
      <c r="H27" s="85">
        <f>'5-2 Prim metal'!Y41</f>
        <v>0</v>
      </c>
      <c r="I27" s="85">
        <f>'5-2 Prim metal'!Z41</f>
        <v>0</v>
      </c>
      <c r="J27" s="85">
        <f>'5-2 Prim metal'!AA41</f>
        <v>0</v>
      </c>
      <c r="K27" s="219"/>
    </row>
    <row r="28" spans="1:31" ht="13">
      <c r="A28" s="56"/>
      <c r="B28" s="113" t="str">
        <f>'5-2 Prim metal'!B43</f>
        <v>5.3.9</v>
      </c>
      <c r="C28" s="280" t="str">
        <f>'5-2 Prim metal'!C43</f>
        <v>Primary ferrous metal production</v>
      </c>
      <c r="D28" s="77">
        <f>'5-2 Prim metal'!D43</f>
        <v>0</v>
      </c>
      <c r="E28" s="85">
        <f>'5-2 Prim metal'!V43</f>
        <v>0</v>
      </c>
      <c r="F28" s="85">
        <f>'5-2 Prim metal'!W43</f>
        <v>0</v>
      </c>
      <c r="G28" s="85">
        <f>'5-2 Prim metal'!X43</f>
        <v>0</v>
      </c>
      <c r="H28" s="85">
        <f>'5-2 Prim metal'!Y43</f>
        <v>0</v>
      </c>
      <c r="I28" s="85">
        <f>'5-2 Prim metal'!Z43</f>
        <v>0</v>
      </c>
      <c r="J28" s="85">
        <f>'5-2 Prim metal'!AA43</f>
        <v>0</v>
      </c>
      <c r="K28" s="219"/>
    </row>
    <row r="29" spans="1:31" ht="26">
      <c r="A29" s="56" t="str">
        <f>'5-3 Other min + mat'!A5</f>
        <v>5.3</v>
      </c>
      <c r="B29" s="56"/>
      <c r="C29" s="57" t="str">
        <f>'5-3 Other min + mat'!C5</f>
        <v>Source category: Production of other minerals and materials with mercury impurities</v>
      </c>
      <c r="D29" s="77"/>
      <c r="E29" s="85"/>
      <c r="F29" s="85"/>
      <c r="G29" s="85"/>
      <c r="H29" s="85"/>
      <c r="I29" s="85"/>
      <c r="J29" s="85"/>
      <c r="K29" s="218"/>
    </row>
    <row r="30" spans="1:31" ht="13">
      <c r="A30" s="56"/>
      <c r="B30" s="113" t="str">
        <f>'5-3 Other min + mat'!B6</f>
        <v>5.3.1</v>
      </c>
      <c r="C30" s="280" t="str">
        <f>'5-3 Other min + mat'!C6</f>
        <v>Cement production</v>
      </c>
      <c r="D30" s="77">
        <f>'5-3 Other min + mat'!D6</f>
        <v>0</v>
      </c>
      <c r="E30" s="85">
        <f>'5-3 Other min + mat'!V6</f>
        <v>0</v>
      </c>
      <c r="F30" s="85">
        <f>'5-3 Other min + mat'!W6</f>
        <v>0</v>
      </c>
      <c r="G30" s="85">
        <f>'5-3 Other min + mat'!X6</f>
        <v>0</v>
      </c>
      <c r="H30" s="85">
        <f>'5-3 Other min + mat'!Y6</f>
        <v>0</v>
      </c>
      <c r="I30" s="85">
        <f>'5-3 Other min + mat'!Z6</f>
        <v>0</v>
      </c>
      <c r="J30" s="85">
        <f>'5-3 Other min + mat'!AA6</f>
        <v>0</v>
      </c>
      <c r="K30" s="218"/>
    </row>
    <row r="31" spans="1:31" ht="13">
      <c r="A31" s="56"/>
      <c r="B31" s="113" t="str">
        <f>'5-3 Other min + mat'!B31</f>
        <v>5.3.2</v>
      </c>
      <c r="C31" s="280" t="str">
        <f>'5-3 Other min + mat'!C31</f>
        <v>Pulp and paper production</v>
      </c>
      <c r="D31" s="77">
        <f>'5-3 Other min + mat'!D31</f>
        <v>0</v>
      </c>
      <c r="E31" s="85">
        <f>'5-3 Other min + mat'!V31</f>
        <v>0</v>
      </c>
      <c r="F31" s="85">
        <f>'5-3 Other min + mat'!W31</f>
        <v>0</v>
      </c>
      <c r="G31" s="85">
        <f>'5-3 Other min + mat'!X31</f>
        <v>0</v>
      </c>
      <c r="H31" s="85">
        <f>'5-3 Other min + mat'!Y31</f>
        <v>0</v>
      </c>
      <c r="I31" s="85">
        <f>'5-3 Other min + mat'!Z31</f>
        <v>0</v>
      </c>
      <c r="J31" s="85">
        <f>'5-3 Other min + mat'!AA31</f>
        <v>0</v>
      </c>
      <c r="K31" s="218"/>
    </row>
    <row r="32" spans="1:31" ht="13">
      <c r="A32" s="56"/>
      <c r="B32" s="113" t="str">
        <f>'5-3 Other min + mat'!B34</f>
        <v>5.3.3</v>
      </c>
      <c r="C32" s="280" t="str">
        <f>'5-3 Other min + mat'!C34</f>
        <v>Production of lime and light weight aggregates</v>
      </c>
      <c r="D32" s="77">
        <f>'5-3 Other min + mat'!D34</f>
        <v>0</v>
      </c>
      <c r="E32" s="85">
        <f>'5-3 Other min + mat'!V34</f>
        <v>0</v>
      </c>
      <c r="F32" s="85">
        <f>'5-3 Other min + mat'!W34</f>
        <v>0</v>
      </c>
      <c r="G32" s="85">
        <f>'5-3 Other min + mat'!X34</f>
        <v>0</v>
      </c>
      <c r="H32" s="85">
        <f>'5-3 Other min + mat'!Y34</f>
        <v>0</v>
      </c>
      <c r="I32" s="85">
        <f>'5-3 Other min + mat'!Z34</f>
        <v>0</v>
      </c>
      <c r="J32" s="85">
        <f>'5-3 Other min + mat'!AA34</f>
        <v>0</v>
      </c>
      <c r="K32" s="218"/>
    </row>
    <row r="33" spans="1:11" ht="26">
      <c r="A33" s="56" t="str">
        <f>'5-4 Int Hg in Industry'!A5</f>
        <v>5.4</v>
      </c>
      <c r="B33" s="56"/>
      <c r="C33" s="57" t="str">
        <f>'5-4 Int Hg in Industry'!C5</f>
        <v>Source category: Intentional use of mercury in industrial processes</v>
      </c>
      <c r="D33" s="77"/>
      <c r="E33" s="85"/>
      <c r="F33" s="85"/>
      <c r="G33" s="85"/>
      <c r="H33" s="85"/>
      <c r="I33" s="85"/>
      <c r="J33" s="85"/>
      <c r="K33" s="218"/>
    </row>
    <row r="34" spans="1:11" ht="13">
      <c r="A34" s="56"/>
      <c r="B34" s="113" t="str">
        <f>'5-4 Int Hg in Industry'!B6</f>
        <v>5.4.1</v>
      </c>
      <c r="C34" s="280" t="str">
        <f>'5-4 Int Hg in Industry'!C6</f>
        <v>Chlor-alkali production with mercury-technology</v>
      </c>
      <c r="D34" s="77">
        <f>'5-4 Int Hg in Industry'!D6</f>
        <v>0</v>
      </c>
      <c r="E34" s="85">
        <f>'5-4 Int Hg in Industry'!V6</f>
        <v>0</v>
      </c>
      <c r="F34" s="85">
        <f>'5-4 Int Hg in Industry'!W6</f>
        <v>0</v>
      </c>
      <c r="G34" s="85">
        <f>'5-4 Int Hg in Industry'!X6</f>
        <v>0</v>
      </c>
      <c r="H34" s="85">
        <f>'5-4 Int Hg in Industry'!Y6</f>
        <v>0</v>
      </c>
      <c r="I34" s="85">
        <f>'5-4 Int Hg in Industry'!Z6</f>
        <v>0</v>
      </c>
      <c r="J34" s="85">
        <f>'5-4 Int Hg in Industry'!AA6</f>
        <v>0</v>
      </c>
      <c r="K34" s="218"/>
    </row>
    <row r="35" spans="1:11" ht="13">
      <c r="A35" s="56"/>
      <c r="B35" s="113" t="str">
        <f>'5-4 Int Hg in Industry'!B10</f>
        <v>5.4.2</v>
      </c>
      <c r="C35" s="280" t="str">
        <f>'5-4 Int Hg in Industry'!C10</f>
        <v>VCM production with mercury catalyst</v>
      </c>
      <c r="D35" s="77">
        <f>'5-4 Int Hg in Industry'!D10</f>
        <v>0</v>
      </c>
      <c r="E35" s="85">
        <f>'5-4 Int Hg in Industry'!V10</f>
        <v>0</v>
      </c>
      <c r="F35" s="85">
        <f>'5-4 Int Hg in Industry'!W10</f>
        <v>0</v>
      </c>
      <c r="G35" s="85">
        <f>'5-4 Int Hg in Industry'!X10</f>
        <v>0</v>
      </c>
      <c r="H35" s="85">
        <f>'5-4 Int Hg in Industry'!Y10</f>
        <v>0</v>
      </c>
      <c r="I35" s="85">
        <f>'5-4 Int Hg in Industry'!Z10</f>
        <v>0</v>
      </c>
      <c r="J35" s="85">
        <f>'5-4 Int Hg in Industry'!AA10</f>
        <v>0</v>
      </c>
      <c r="K35" s="218"/>
    </row>
    <row r="36" spans="1:11" ht="13">
      <c r="A36" s="56"/>
      <c r="B36" s="113" t="str">
        <f>'5-4 Int Hg in Industry'!B12</f>
        <v>5.4.3</v>
      </c>
      <c r="C36" s="280" t="str">
        <f>'5-4 Int Hg in Industry'!C12</f>
        <v>Acetaldehyde production with mercury catalyst</v>
      </c>
      <c r="D36" s="77">
        <f>'5-4 Int Hg in Industry'!D12</f>
        <v>0</v>
      </c>
      <c r="E36" s="85">
        <f>'5-4 Int Hg in Industry'!V12</f>
        <v>0</v>
      </c>
      <c r="F36" s="85">
        <f>'5-4 Int Hg in Industry'!W12</f>
        <v>0</v>
      </c>
      <c r="G36" s="85">
        <f>'5-4 Int Hg in Industry'!X12</f>
        <v>0</v>
      </c>
      <c r="H36" s="85">
        <f>'5-4 Int Hg in Industry'!Y12</f>
        <v>0</v>
      </c>
      <c r="I36" s="85">
        <f>'5-4 Int Hg in Industry'!Z12</f>
        <v>0</v>
      </c>
      <c r="J36" s="85">
        <f>'5-4 Int Hg in Industry'!AA12</f>
        <v>0</v>
      </c>
      <c r="K36" s="218"/>
    </row>
    <row r="37" spans="1:11" ht="13">
      <c r="A37" s="56"/>
      <c r="B37" s="113" t="str">
        <f>'5-4 Int Hg in Industry'!B14</f>
        <v>5.4.4</v>
      </c>
      <c r="C37" s="280" t="str">
        <f>'5-4 Int Hg in Industry'!C14</f>
        <v>Other production of chemicals and polymers with mercury</v>
      </c>
      <c r="D37" s="77">
        <f>'5-4 Int Hg in Industry'!D14</f>
        <v>0</v>
      </c>
      <c r="E37" s="85" t="e">
        <f>'5-4 Int Hg in Industry'!V14</f>
        <v>#VALUE!</v>
      </c>
      <c r="F37" s="85" t="e">
        <f>'5-4 Int Hg in Industry'!W14</f>
        <v>#VALUE!</v>
      </c>
      <c r="G37" s="85" t="e">
        <f>'5-4 Int Hg in Industry'!X14</f>
        <v>#VALUE!</v>
      </c>
      <c r="H37" s="85" t="e">
        <f>'5-4 Int Hg in Industry'!Y14</f>
        <v>#VALUE!</v>
      </c>
      <c r="I37" s="85" t="e">
        <f>'5-4 Int Hg in Industry'!Z14</f>
        <v>#VALUE!</v>
      </c>
      <c r="J37" s="85" t="e">
        <f>'5-4 Int Hg in Industry'!AA14</f>
        <v>#VALUE!</v>
      </c>
      <c r="K37" s="218"/>
    </row>
    <row r="38" spans="1:11" ht="26">
      <c r="A38" s="57" t="str">
        <f>'5-5 Cons prod'!A5</f>
        <v>5.5</v>
      </c>
      <c r="B38" s="57"/>
      <c r="C38" s="57" t="str">
        <f>'5-5 Cons prod'!C5</f>
        <v>Source category: Consumer products with intentional use of mercury</v>
      </c>
      <c r="D38" s="77"/>
      <c r="E38" s="85"/>
      <c r="F38" s="85"/>
      <c r="G38" s="85"/>
      <c r="H38" s="86"/>
      <c r="I38" s="85"/>
      <c r="J38" s="85"/>
      <c r="K38" s="218"/>
    </row>
    <row r="39" spans="1:11" ht="13">
      <c r="A39" s="57"/>
      <c r="B39" s="280" t="str">
        <f>'5-5 Cons prod'!B6</f>
        <v>5.5.1</v>
      </c>
      <c r="C39" s="280" t="str">
        <f>'5-5 Cons prod'!C6</f>
        <v>Thermometers with mercury</v>
      </c>
      <c r="D39" s="77">
        <f>'5-5 Cons prod'!D6</f>
        <v>0</v>
      </c>
      <c r="E39" s="85">
        <f>'5-5 Cons prod'!V6</f>
        <v>0</v>
      </c>
      <c r="F39" s="85">
        <f>'5-5 Cons prod'!W6</f>
        <v>0</v>
      </c>
      <c r="G39" s="85">
        <f>'5-5 Cons prod'!X6</f>
        <v>0</v>
      </c>
      <c r="H39" s="86" t="s">
        <v>273</v>
      </c>
      <c r="I39" s="85">
        <f>'5-5 Cons prod'!Z6</f>
        <v>0</v>
      </c>
      <c r="J39" s="85">
        <f>'5-5 Cons prod'!AA6</f>
        <v>0</v>
      </c>
      <c r="K39" s="218"/>
    </row>
    <row r="40" spans="1:11" ht="13">
      <c r="A40" s="57"/>
      <c r="B40" s="280" t="str">
        <f>'5-5 Cons prod'!B18</f>
        <v>5.5.2</v>
      </c>
      <c r="C40" s="280" t="str">
        <f>'5-5 Cons prod'!C18</f>
        <v>Electrical switches and relays with mercury</v>
      </c>
      <c r="D40" s="77">
        <f>'5-5 Cons prod'!D18</f>
        <v>0</v>
      </c>
      <c r="E40" s="85">
        <f>'5-5 Cons prod'!V18</f>
        <v>0</v>
      </c>
      <c r="F40" s="85">
        <f>'5-5 Cons prod'!W18</f>
        <v>0</v>
      </c>
      <c r="G40" s="85">
        <f>'5-5 Cons prod'!X18</f>
        <v>0</v>
      </c>
      <c r="H40" s="86" t="s">
        <v>273</v>
      </c>
      <c r="I40" s="85">
        <f>'5-5 Cons prod'!Z18</f>
        <v>0</v>
      </c>
      <c r="J40" s="85">
        <f>'5-5 Cons prod'!AA18</f>
        <v>0</v>
      </c>
      <c r="K40" s="218"/>
    </row>
    <row r="41" spans="1:11" ht="13">
      <c r="A41" s="57"/>
      <c r="B41" s="280" t="str">
        <f>'5-5 Cons prod'!B25</f>
        <v>5.5.3</v>
      </c>
      <c r="C41" s="280" t="str">
        <f>'5-5 Cons prod'!C25</f>
        <v>Light sources with mercury</v>
      </c>
      <c r="D41" s="77">
        <f>'5-5 Cons prod'!D25</f>
        <v>0</v>
      </c>
      <c r="E41" s="85">
        <f>'5-5 Cons prod'!V25</f>
        <v>0</v>
      </c>
      <c r="F41" s="85">
        <f>'5-5 Cons prod'!W25</f>
        <v>0</v>
      </c>
      <c r="G41" s="85">
        <f>'5-5 Cons prod'!X25</f>
        <v>0</v>
      </c>
      <c r="H41" s="86" t="s">
        <v>273</v>
      </c>
      <c r="I41" s="85">
        <f>'5-5 Cons prod'!Z25</f>
        <v>0</v>
      </c>
      <c r="J41" s="85">
        <f>'5-5 Cons prod'!AA25</f>
        <v>0</v>
      </c>
      <c r="K41" s="218"/>
    </row>
    <row r="42" spans="1:11" ht="13">
      <c r="A42" s="57"/>
      <c r="B42" s="280" t="str">
        <f>'5-5 Cons prod'!B35</f>
        <v>5.5.4</v>
      </c>
      <c r="C42" s="280" t="str">
        <f>'5-5 Cons prod'!C35</f>
        <v>Batteries with mercury</v>
      </c>
      <c r="D42" s="77">
        <f>'5-5 Cons prod'!D35</f>
        <v>0</v>
      </c>
      <c r="E42" s="85">
        <f>'5-5 Cons prod'!V35</f>
        <v>0</v>
      </c>
      <c r="F42" s="85">
        <f>'5-5 Cons prod'!W35</f>
        <v>0</v>
      </c>
      <c r="G42" s="85">
        <f>'5-5 Cons prod'!X35</f>
        <v>0</v>
      </c>
      <c r="H42" s="86" t="s">
        <v>273</v>
      </c>
      <c r="I42" s="85">
        <f>'5-5 Cons prod'!Z35</f>
        <v>0</v>
      </c>
      <c r="J42" s="85">
        <f>'5-5 Cons prod'!AA35</f>
        <v>0</v>
      </c>
      <c r="K42" s="218"/>
    </row>
    <row r="43" spans="1:11" ht="13">
      <c r="A43" s="57"/>
      <c r="B43" s="280" t="str">
        <f>'5-5 Cons prod'!B55</f>
        <v>5.5.6</v>
      </c>
      <c r="C43" s="280" t="str">
        <f>'5-5 Cons prod'!C55</f>
        <v>Biocides and pesticides with mercury</v>
      </c>
      <c r="D43" s="77">
        <f>'5-5 Cons prod'!D55</f>
        <v>0</v>
      </c>
      <c r="E43" s="85">
        <f>'5-5 Cons prod'!V55</f>
        <v>0</v>
      </c>
      <c r="F43" s="85">
        <f>'5-5 Cons prod'!W55</f>
        <v>0</v>
      </c>
      <c r="G43" s="85">
        <f>'5-5 Cons prod'!X55</f>
        <v>0</v>
      </c>
      <c r="H43" s="86" t="s">
        <v>273</v>
      </c>
      <c r="I43" s="85">
        <f>'5-5 Cons prod'!Z55</f>
        <v>0</v>
      </c>
      <c r="J43" s="85">
        <f>'5-5 Cons prod'!AA55</f>
        <v>0</v>
      </c>
      <c r="K43" s="218"/>
    </row>
    <row r="44" spans="1:11" ht="13">
      <c r="A44" s="57"/>
      <c r="B44" s="280" t="str">
        <f>'5-5 Cons prod'!B59</f>
        <v>5.5.7</v>
      </c>
      <c r="C44" s="280" t="str">
        <f>'5-5 Cons prod'!C59</f>
        <v>Paints with mercury</v>
      </c>
      <c r="D44" s="77">
        <f>'5-5 Cons prod'!D59</f>
        <v>0</v>
      </c>
      <c r="E44" s="85">
        <f>'5-5 Cons prod'!V59</f>
        <v>0</v>
      </c>
      <c r="F44" s="85">
        <f>'5-5 Cons prod'!W59</f>
        <v>0</v>
      </c>
      <c r="G44" s="85">
        <f>'5-5 Cons prod'!X59</f>
        <v>0</v>
      </c>
      <c r="H44" s="86" t="s">
        <v>273</v>
      </c>
      <c r="I44" s="85">
        <f>'5-5 Cons prod'!Z59</f>
        <v>0</v>
      </c>
      <c r="J44" s="85">
        <f>'5-5 Cons prod'!AA59</f>
        <v>0</v>
      </c>
      <c r="K44" s="218"/>
    </row>
    <row r="45" spans="1:11" ht="13">
      <c r="A45" s="57"/>
      <c r="B45" s="280" t="str">
        <f>'5-5 Cons prod'!B63</f>
        <v>5.5.8</v>
      </c>
      <c r="C45" s="280" t="str">
        <f>'5-5 Cons prod'!C63</f>
        <v>Cosmetics and related products with mercury</v>
      </c>
      <c r="D45" s="77">
        <f>'5-5 Cons prod'!D63</f>
        <v>0</v>
      </c>
      <c r="E45" s="85">
        <f>'5-5 Cons prod'!V63</f>
        <v>0</v>
      </c>
      <c r="F45" s="85">
        <f>'5-5 Cons prod'!W63</f>
        <v>0</v>
      </c>
      <c r="G45" s="85">
        <f>'5-5 Cons prod'!X63</f>
        <v>0</v>
      </c>
      <c r="H45" s="86" t="s">
        <v>273</v>
      </c>
      <c r="I45" s="85">
        <f>'5-5 Cons prod'!Z63</f>
        <v>0</v>
      </c>
      <c r="J45" s="85">
        <f>'5-5 Cons prod'!AA63</f>
        <v>0</v>
      </c>
      <c r="K45" s="218"/>
    </row>
    <row r="46" spans="1:11" ht="13">
      <c r="A46" s="57" t="str">
        <f>'5-6 Other int use'!A5</f>
        <v>5.6</v>
      </c>
      <c r="B46" s="57"/>
      <c r="C46" s="57" t="str">
        <f>'5-6 Other int use'!C5</f>
        <v>Source category: Other intentional product/process use</v>
      </c>
      <c r="D46" s="77"/>
      <c r="E46" s="85"/>
      <c r="F46" s="85"/>
      <c r="G46" s="85"/>
      <c r="H46" s="85"/>
      <c r="I46" s="85"/>
      <c r="J46" s="85"/>
      <c r="K46" s="218"/>
    </row>
    <row r="47" spans="1:11" ht="13">
      <c r="A47" s="57"/>
      <c r="B47" s="280" t="str">
        <f>'5-6 Other int use'!B6</f>
        <v>5.6.1</v>
      </c>
      <c r="C47" s="280" t="str">
        <f>'5-6 Other int use'!C6</f>
        <v>Dental mercury-amalgam fillings (b</v>
      </c>
      <c r="D47" s="77">
        <f>'5-6 Other int use'!D6</f>
        <v>0</v>
      </c>
      <c r="E47" s="85">
        <f>'5-6 Other int use'!V6</f>
        <v>0</v>
      </c>
      <c r="F47" s="85">
        <f>'5-6 Other int use'!W6</f>
        <v>0</v>
      </c>
      <c r="G47" s="85">
        <f>'5-6 Other int use'!X6</f>
        <v>0</v>
      </c>
      <c r="H47" s="85">
        <f>'5-6 Other int use'!Y6</f>
        <v>0</v>
      </c>
      <c r="I47" s="85">
        <f>'5-6 Other int use'!Z6</f>
        <v>0</v>
      </c>
      <c r="J47" s="85">
        <f>'5-6 Other int use'!AA6</f>
        <v>0</v>
      </c>
      <c r="K47" s="218"/>
    </row>
    <row r="48" spans="1:11" ht="13">
      <c r="A48" s="57"/>
      <c r="B48" s="280" t="str">
        <f>'5-6 Other int use'!B13</f>
        <v>5.6.2</v>
      </c>
      <c r="C48" s="280" t="str">
        <f>'5-6 Other int use'!C13</f>
        <v>Manometers and gauges with mercury</v>
      </c>
      <c r="D48" s="77">
        <f>'5-6 Other int use'!D13</f>
        <v>0</v>
      </c>
      <c r="E48" s="85">
        <f>'5-6 Other int use'!V13</f>
        <v>0</v>
      </c>
      <c r="F48" s="85">
        <f>'5-6 Other int use'!W13</f>
        <v>0</v>
      </c>
      <c r="G48" s="85">
        <f>'5-6 Other int use'!X13</f>
        <v>0</v>
      </c>
      <c r="H48" s="85">
        <f>'5-6 Other int use'!Y13</f>
        <v>0</v>
      </c>
      <c r="I48" s="85">
        <f>'5-6 Other int use'!Z13</f>
        <v>0</v>
      </c>
      <c r="J48" s="85">
        <f>'5-6 Other int use'!AA13</f>
        <v>0</v>
      </c>
      <c r="K48" s="218"/>
    </row>
    <row r="49" spans="1:11" ht="13">
      <c r="A49" s="57"/>
      <c r="B49" s="280" t="str">
        <f>'5-6 Other int use'!B35</f>
        <v>5.6.3</v>
      </c>
      <c r="C49" s="280" t="str">
        <f>'5-6 Other int use'!C35</f>
        <v>Laboratory chemicals and equipment with mercury</v>
      </c>
      <c r="D49" s="77">
        <f>'5-6 Other int use'!D35</f>
        <v>0</v>
      </c>
      <c r="E49" s="85">
        <f>'5-6 Other int use'!V35</f>
        <v>0</v>
      </c>
      <c r="F49" s="85">
        <f>'5-6 Other int use'!W35</f>
        <v>0</v>
      </c>
      <c r="G49" s="85">
        <f>'5-6 Other int use'!X35</f>
        <v>0</v>
      </c>
      <c r="H49" s="85">
        <f>'5-6 Other int use'!Y35</f>
        <v>0</v>
      </c>
      <c r="I49" s="85">
        <f>'5-6 Other int use'!Z35</f>
        <v>0</v>
      </c>
      <c r="J49" s="85">
        <f>'5-6 Other int use'!AA35</f>
        <v>0</v>
      </c>
      <c r="K49" s="218"/>
    </row>
    <row r="50" spans="1:11" ht="13">
      <c r="A50" s="57"/>
      <c r="B50" s="280" t="str">
        <f>'5-6 Other int use'!B51</f>
        <v>5.6.4</v>
      </c>
      <c r="C50" s="280" t="str">
        <f>'5-6 Other int use'!C51</f>
        <v>Mercury metal use in religious rituals and folklore medicine</v>
      </c>
      <c r="D50" s="77">
        <f>'5-6 Other int use'!D51</f>
        <v>0</v>
      </c>
      <c r="E50" s="85">
        <f>'5-6 Other int use'!V51</f>
        <v>0</v>
      </c>
      <c r="F50" s="85">
        <f>'5-6 Other int use'!W51</f>
        <v>0</v>
      </c>
      <c r="G50" s="85">
        <f>'5-6 Other int use'!X51</f>
        <v>0</v>
      </c>
      <c r="H50" s="85">
        <f>'5-6 Other int use'!Y51</f>
        <v>0</v>
      </c>
      <c r="I50" s="85">
        <f>'5-6 Other int use'!Z51</f>
        <v>0</v>
      </c>
      <c r="J50" s="85">
        <f>'5-6 Other int use'!AA51</f>
        <v>0</v>
      </c>
      <c r="K50" s="218"/>
    </row>
    <row r="51" spans="1:11" ht="13">
      <c r="A51" s="57"/>
      <c r="B51" s="280" t="str">
        <f>'5-6 Other int use'!B53</f>
        <v>5.6.5</v>
      </c>
      <c r="C51" s="280" t="str">
        <f>'5-6 Other int use'!C53</f>
        <v>Miscellaneous product uses, mercury metal uses, and other sources</v>
      </c>
      <c r="D51" s="77">
        <f>'5-6 Other int use'!D53</f>
        <v>0</v>
      </c>
      <c r="E51" s="85">
        <f>'5-6 Other int use'!V53</f>
        <v>0</v>
      </c>
      <c r="F51" s="85">
        <f>'5-6 Other int use'!W53</f>
        <v>0</v>
      </c>
      <c r="G51" s="85">
        <f>'5-6 Other int use'!X53</f>
        <v>0</v>
      </c>
      <c r="H51" s="85">
        <f>'5-6 Other int use'!Y53</f>
        <v>0</v>
      </c>
      <c r="I51" s="85">
        <f>'5-6 Other int use'!Z53</f>
        <v>0</v>
      </c>
      <c r="J51" s="85">
        <f>'5-6 Other int use'!AA53</f>
        <v>0</v>
      </c>
      <c r="K51" s="218"/>
    </row>
    <row r="52" spans="1:11" ht="26">
      <c r="A52" s="56" t="str">
        <f>'5-7 Recycl metals'!A5</f>
        <v>5.7</v>
      </c>
      <c r="B52" s="56"/>
      <c r="C52" s="57" t="str">
        <f>'5-7 Recycl metals'!C5</f>
        <v>Source category: Production of recycled metals ("secondary" metal production)</v>
      </c>
      <c r="D52" s="77"/>
      <c r="E52" s="85"/>
      <c r="F52" s="85"/>
      <c r="G52" s="85"/>
      <c r="H52" s="85"/>
      <c r="I52" s="85"/>
      <c r="J52" s="85"/>
      <c r="K52" s="218"/>
    </row>
    <row r="53" spans="1:11" ht="13">
      <c r="A53" s="56"/>
      <c r="B53" s="113" t="str">
        <f>'5-7 Recycl metals'!B6</f>
        <v>5.7.1</v>
      </c>
      <c r="C53" s="280" t="str">
        <f>'5-7 Recycl metals'!C6</f>
        <v>Production of recycled mercury ("secondary production”)</v>
      </c>
      <c r="D53" s="77">
        <f>'5-7 Recycl metals'!D6</f>
        <v>0</v>
      </c>
      <c r="E53" s="85">
        <f>'5-7 Recycl metals'!V6</f>
        <v>0</v>
      </c>
      <c r="F53" s="85">
        <f>'5-7 Recycl metals'!W6</f>
        <v>0</v>
      </c>
      <c r="G53" s="85">
        <f>'5-7 Recycl metals'!X6</f>
        <v>0</v>
      </c>
      <c r="H53" s="85" t="str">
        <f>'5-7 Recycl metals'!Y6</f>
        <v>-</v>
      </c>
      <c r="I53" s="85">
        <f>'5-7 Recycl metals'!Z6</f>
        <v>0</v>
      </c>
      <c r="J53" s="85">
        <f>'5-7 Recycl metals'!AA6</f>
        <v>0</v>
      </c>
      <c r="K53" s="218"/>
    </row>
    <row r="54" spans="1:11" ht="13">
      <c r="A54" s="56"/>
      <c r="B54" s="113" t="str">
        <f>'5-7 Recycl metals'!B8</f>
        <v>5.4.2</v>
      </c>
      <c r="C54" s="280" t="str">
        <f>'5-7 Recycl metals'!C8</f>
        <v>Production of recycled ferrous metals (iron and steel)</v>
      </c>
      <c r="D54" s="77">
        <f>'5-7 Recycl metals'!D8</f>
        <v>0</v>
      </c>
      <c r="E54" s="85">
        <f>'5-7 Recycl metals'!V8</f>
        <v>0</v>
      </c>
      <c r="F54" s="85">
        <f>'5-7 Recycl metals'!W8</f>
        <v>0</v>
      </c>
      <c r="G54" s="85">
        <f>'5-7 Recycl metals'!X8</f>
        <v>0</v>
      </c>
      <c r="H54" s="85">
        <f>'5-7 Recycl metals'!Y8</f>
        <v>0</v>
      </c>
      <c r="I54" s="85">
        <f>'5-7 Recycl metals'!Z8</f>
        <v>0</v>
      </c>
      <c r="J54" s="85">
        <f>'5-7 Recycl metals'!AA8</f>
        <v>0</v>
      </c>
      <c r="K54" s="218"/>
    </row>
    <row r="55" spans="1:11" ht="13">
      <c r="A55" s="56"/>
      <c r="B55" s="113" t="str">
        <f>'5-7 Recycl metals'!B10</f>
        <v>5.4.2</v>
      </c>
      <c r="C55" s="280" t="str">
        <f>'5-7 Recycl metals'!C10</f>
        <v>Production of other recycled metals</v>
      </c>
      <c r="D55" s="77">
        <f>'5-7 Recycl metals'!D10</f>
        <v>0</v>
      </c>
      <c r="E55" s="85">
        <f>'5-7 Recycl metals'!V10</f>
        <v>0</v>
      </c>
      <c r="F55" s="85">
        <f>'5-7 Recycl metals'!W10</f>
        <v>0</v>
      </c>
      <c r="G55" s="85">
        <f>'5-7 Recycl metals'!X10</f>
        <v>0</v>
      </c>
      <c r="H55" s="85">
        <f>'5-7 Recycl metals'!Y10</f>
        <v>0</v>
      </c>
      <c r="I55" s="85">
        <f>'5-7 Recycl metals'!Z10</f>
        <v>0</v>
      </c>
      <c r="J55" s="85">
        <f>'5-7 Recycl metals'!AA10</f>
        <v>0</v>
      </c>
      <c r="K55" s="218"/>
    </row>
    <row r="56" spans="1:11" ht="13">
      <c r="A56" s="56" t="str">
        <f>'5-8 Waste incin'!A5</f>
        <v>5.8</v>
      </c>
      <c r="B56" s="56"/>
      <c r="C56" s="56" t="str">
        <f>'5-8 Waste incin'!C5</f>
        <v>Source category: Waste incineration</v>
      </c>
      <c r="D56" s="77"/>
      <c r="E56" s="85"/>
      <c r="F56" s="85"/>
      <c r="G56" s="85"/>
      <c r="H56" s="85"/>
      <c r="I56" s="85"/>
      <c r="J56" s="85"/>
      <c r="K56" s="218"/>
    </row>
    <row r="57" spans="1:11" ht="13">
      <c r="A57" s="56"/>
      <c r="B57" s="113" t="str">
        <f>'5-8 Waste incin'!B6</f>
        <v>5.8.1</v>
      </c>
      <c r="C57" s="113" t="str">
        <f>'5-8 Waste incin'!C6</f>
        <v>Incineration of municipal/general waste</v>
      </c>
      <c r="D57" s="77">
        <f>'5-8 Waste incin'!D6</f>
        <v>0</v>
      </c>
      <c r="E57" s="85">
        <f>'5-8 Waste incin'!V6</f>
        <v>0</v>
      </c>
      <c r="F57" s="85">
        <f>'5-8 Waste incin'!W6</f>
        <v>0</v>
      </c>
      <c r="G57" s="85">
        <f>'5-8 Waste incin'!X6</f>
        <v>0</v>
      </c>
      <c r="H57" s="85">
        <f>'5-8 Waste incin'!Y6</f>
        <v>0</v>
      </c>
      <c r="I57" s="85">
        <f>'5-8 Waste incin'!Z6</f>
        <v>0</v>
      </c>
      <c r="J57" s="85">
        <f>'5-8 Waste incin'!AA6</f>
        <v>0</v>
      </c>
      <c r="K57" s="218"/>
    </row>
    <row r="58" spans="1:11" ht="13">
      <c r="A58" s="56"/>
      <c r="B58" s="113" t="str">
        <f>'5-8 Waste incin'!B12</f>
        <v>5.8.2</v>
      </c>
      <c r="C58" s="113" t="str">
        <f>'5-8 Waste incin'!C12</f>
        <v>Incineration of hazardous waste</v>
      </c>
      <c r="D58" s="77">
        <f>'5-8 Waste incin'!D12</f>
        <v>0</v>
      </c>
      <c r="E58" s="85">
        <f>'5-8 Waste incin'!V12</f>
        <v>0</v>
      </c>
      <c r="F58" s="85">
        <f>'5-8 Waste incin'!W12</f>
        <v>0</v>
      </c>
      <c r="G58" s="85">
        <f>'5-8 Waste incin'!X12</f>
        <v>0</v>
      </c>
      <c r="H58" s="85">
        <f>'5-8 Waste incin'!Y12</f>
        <v>0</v>
      </c>
      <c r="I58" s="85">
        <f>'5-8 Waste incin'!Z12</f>
        <v>0</v>
      </c>
      <c r="J58" s="85">
        <f>'5-8 Waste incin'!AA12</f>
        <v>0</v>
      </c>
      <c r="K58" s="218"/>
    </row>
    <row r="59" spans="1:11" ht="13">
      <c r="A59" s="56"/>
      <c r="B59" s="113" t="str">
        <f>'5-8 Waste incin'!B18</f>
        <v>5.8.3</v>
      </c>
      <c r="C59" s="113" t="str">
        <f>'5-8 Waste incin'!C18</f>
        <v>Incineration of medical waste</v>
      </c>
      <c r="D59" s="77">
        <f>'5-8 Waste incin'!D18</f>
        <v>0</v>
      </c>
      <c r="E59" s="85">
        <f>'5-8 Waste incin'!V18</f>
        <v>0</v>
      </c>
      <c r="F59" s="85">
        <f>'5-8 Waste incin'!W18</f>
        <v>0</v>
      </c>
      <c r="G59" s="85">
        <f>'5-8 Waste incin'!X18</f>
        <v>0</v>
      </c>
      <c r="H59" s="85">
        <f>'5-8 Waste incin'!Y18</f>
        <v>0</v>
      </c>
      <c r="I59" s="85">
        <f>'5-8 Waste incin'!Z18</f>
        <v>0</v>
      </c>
      <c r="J59" s="85">
        <f>'5-8 Waste incin'!AA18</f>
        <v>0</v>
      </c>
      <c r="K59" s="218"/>
    </row>
    <row r="60" spans="1:11" ht="13">
      <c r="A60" s="56"/>
      <c r="B60" s="113" t="str">
        <f>'5-8 Waste incin'!B24</f>
        <v>5.8.4</v>
      </c>
      <c r="C60" s="113" t="str">
        <f>'5-8 Waste incin'!C24</f>
        <v>Sewage sludge incineration</v>
      </c>
      <c r="D60" s="77">
        <f>'5-8 Waste incin'!D24</f>
        <v>0</v>
      </c>
      <c r="E60" s="85">
        <f>'5-8 Waste incin'!V24</f>
        <v>0</v>
      </c>
      <c r="F60" s="85">
        <f>'5-8 Waste incin'!W24</f>
        <v>0</v>
      </c>
      <c r="G60" s="85">
        <f>'5-8 Waste incin'!X24</f>
        <v>0</v>
      </c>
      <c r="H60" s="85">
        <f>'5-8 Waste incin'!Y24</f>
        <v>0</v>
      </c>
      <c r="I60" s="85">
        <f>'5-8 Waste incin'!Z24</f>
        <v>0</v>
      </c>
      <c r="J60" s="85">
        <f>'5-8 Waste incin'!AA24</f>
        <v>0</v>
      </c>
      <c r="K60" s="218"/>
    </row>
    <row r="61" spans="1:11" ht="13">
      <c r="A61" s="56"/>
      <c r="B61" s="113" t="str">
        <f>'5-8 Waste incin'!B26</f>
        <v>5.8.5</v>
      </c>
      <c r="C61" s="113" t="str">
        <f>'5-8 Waste incin'!C26</f>
        <v>Informal waste burning (open fire waste burning on landfills and informally)</v>
      </c>
      <c r="D61" s="77">
        <f>'5-8 Waste incin'!D26</f>
        <v>0</v>
      </c>
      <c r="E61" s="85">
        <f>'5-8 Waste incin'!V26</f>
        <v>0</v>
      </c>
      <c r="F61" s="85">
        <f>'5-8 Waste incin'!W26</f>
        <v>0</v>
      </c>
      <c r="G61" s="85">
        <f>'5-8 Waste incin'!X26</f>
        <v>0</v>
      </c>
      <c r="H61" s="85">
        <f>'5-8 Waste incin'!Y26</f>
        <v>0</v>
      </c>
      <c r="I61" s="85">
        <f>'5-8 Waste incin'!Z26</f>
        <v>0</v>
      </c>
      <c r="J61" s="85">
        <f>'5-8 Waste incin'!AA26</f>
        <v>0</v>
      </c>
      <c r="K61" s="218"/>
    </row>
    <row r="62" spans="1:11" ht="26">
      <c r="A62" s="57" t="str">
        <f>'5-9 Waste depo and water treatm'!A5</f>
        <v>5.9</v>
      </c>
      <c r="B62" s="57"/>
      <c r="C62" s="57" t="str">
        <f>'5-9 Waste depo and water treatm'!C5</f>
        <v>Source category: Waste deposition/landfilling and waste water treatment</v>
      </c>
      <c r="D62" s="77"/>
      <c r="E62" s="85"/>
      <c r="F62" s="85"/>
      <c r="G62" s="85"/>
      <c r="H62" s="85"/>
      <c r="I62" s="85"/>
      <c r="J62" s="85"/>
      <c r="K62" s="218"/>
    </row>
    <row r="63" spans="1:11" ht="13">
      <c r="A63" s="57"/>
      <c r="B63" s="280" t="str">
        <f>'5-9 Waste depo and water treatm'!B6</f>
        <v>5.9.1</v>
      </c>
      <c r="C63" s="280" t="str">
        <f>'5-9 Waste depo and water treatm'!C6</f>
        <v>Controlled landfills/deposits (a</v>
      </c>
      <c r="D63" s="77">
        <f>'5-9 Waste depo and water treatm'!D6</f>
        <v>0</v>
      </c>
      <c r="E63" s="85">
        <f>'5-9 Waste depo and water treatm'!V6</f>
        <v>0</v>
      </c>
      <c r="F63" s="85">
        <f>'5-9 Waste depo and water treatm'!W6</f>
        <v>0</v>
      </c>
      <c r="G63" s="85">
        <f>'5-9 Waste depo and water treatm'!X6</f>
        <v>0</v>
      </c>
      <c r="H63" s="85" t="str">
        <f>'5-9 Waste depo and water treatm'!Y6</f>
        <v>-</v>
      </c>
      <c r="I63" s="85" t="str">
        <f>'5-9 Waste depo and water treatm'!Z6</f>
        <v>-</v>
      </c>
      <c r="J63" s="85" t="str">
        <f>'5-9 Waste depo and water treatm'!AA6</f>
        <v>-</v>
      </c>
      <c r="K63" s="218"/>
    </row>
    <row r="64" spans="1:11" ht="25.5">
      <c r="A64" s="57"/>
      <c r="B64" s="280" t="str">
        <f>'5-9 Waste depo and water treatm'!B8</f>
        <v>5.9.2</v>
      </c>
      <c r="C64" s="280" t="str">
        <f>'5-9 Waste depo and water treatm'!C8</f>
        <v>Diffuse disposal under some control</v>
      </c>
      <c r="D64" s="77" t="str">
        <f>'5-9 Waste depo and water treatm'!D8</f>
        <v>-</v>
      </c>
      <c r="E64" s="85" t="str">
        <f>'5-9 Waste depo and water treatm'!V8</f>
        <v>-</v>
      </c>
      <c r="F64" s="85" t="str">
        <f>'5-9 Waste depo and water treatm'!W8</f>
        <v>-</v>
      </c>
      <c r="G64" s="85" t="str">
        <f>'5-9 Waste depo and water treatm'!X8</f>
        <v>-</v>
      </c>
      <c r="H64" s="85" t="str">
        <f>'5-9 Waste depo and water treatm'!Y8</f>
        <v>-</v>
      </c>
      <c r="I64" s="85" t="str">
        <f>'5-9 Waste depo and water treatm'!Z8</f>
        <v>-</v>
      </c>
      <c r="J64" s="85" t="str">
        <f>'5-9 Waste depo and water treatm'!AA8</f>
        <v>-</v>
      </c>
      <c r="K64" s="218" t="str">
        <f>'5-9 Waste depo and water treatm'!C9</f>
        <v>This source category is expected covered under the original sources of the mercury containing material, under det output path "sector specific treatment/disposal accompanied by a descriptive note; e.g. solid residues from waste incineration or metal extraction.</v>
      </c>
    </row>
    <row r="65" spans="1:11" ht="13">
      <c r="A65" s="57"/>
      <c r="B65" s="280" t="str">
        <f>'5-9 Waste depo and water treatm'!B11</f>
        <v>5.9.3</v>
      </c>
      <c r="C65" s="280" t="str">
        <f>'5-9 Waste depo and water treatm'!C11</f>
        <v>Informal local disposal of industrial production waste</v>
      </c>
      <c r="D65" s="77">
        <f>'5-9 Waste depo and water treatm'!D11</f>
        <v>0</v>
      </c>
      <c r="E65" s="85" t="e">
        <f>'5-9 Waste depo and water treatm'!V11</f>
        <v>#VALUE!</v>
      </c>
      <c r="F65" s="85" t="e">
        <f>'5-9 Waste depo and water treatm'!W11</f>
        <v>#VALUE!</v>
      </c>
      <c r="G65" s="85" t="e">
        <f>'5-9 Waste depo and water treatm'!X11</f>
        <v>#VALUE!</v>
      </c>
      <c r="H65" s="85" t="str">
        <f>'5-9 Waste depo and water treatm'!Y11</f>
        <v>-</v>
      </c>
      <c r="I65" s="85" t="str">
        <f>'5-9 Waste depo and water treatm'!Z11</f>
        <v>-</v>
      </c>
      <c r="J65" s="85" t="str">
        <f>'5-9 Waste depo and water treatm'!AA11</f>
        <v>-</v>
      </c>
      <c r="K65" s="218"/>
    </row>
    <row r="66" spans="1:11" ht="13">
      <c r="A66" s="57"/>
      <c r="B66" s="280" t="str">
        <f>'5-9 Waste depo and water treatm'!B13</f>
        <v>5.9.4</v>
      </c>
      <c r="C66" s="280" t="str">
        <f>'5-9 Waste depo and water treatm'!C13</f>
        <v>Informal dumping of general waste (b</v>
      </c>
      <c r="D66" s="77">
        <f>'5-9 Waste depo and water treatm'!D13</f>
        <v>0</v>
      </c>
      <c r="E66" s="85">
        <f>'5-9 Waste depo and water treatm'!V13</f>
        <v>0</v>
      </c>
      <c r="F66" s="85">
        <f>'5-9 Waste depo and water treatm'!W13</f>
        <v>0</v>
      </c>
      <c r="G66" s="85">
        <f>'5-9 Waste depo and water treatm'!X13</f>
        <v>0</v>
      </c>
      <c r="H66" s="85" t="str">
        <f>'5-9 Waste depo and water treatm'!Y13</f>
        <v>-</v>
      </c>
      <c r="I66" s="85" t="str">
        <f>'5-9 Waste depo and water treatm'!Z13</f>
        <v>-</v>
      </c>
      <c r="J66" s="85" t="str">
        <f>'5-9 Waste depo and water treatm'!AA13</f>
        <v>-</v>
      </c>
      <c r="K66" s="218"/>
    </row>
    <row r="67" spans="1:11" ht="13">
      <c r="A67" s="57"/>
      <c r="B67" s="280" t="str">
        <f>'5-9 Waste depo and water treatm'!B15</f>
        <v>5.9.5</v>
      </c>
      <c r="C67" s="280" t="str">
        <f>'5-9 Waste depo and water treatm'!C15</f>
        <v>Waste water system/treatment</v>
      </c>
      <c r="D67" s="77">
        <f>'5-9 Waste depo and water treatm'!D15</f>
        <v>0</v>
      </c>
      <c r="E67" s="85">
        <f>'5-9 Waste depo and water treatm'!V15</f>
        <v>0</v>
      </c>
      <c r="F67" s="85">
        <f>'5-9 Waste depo and water treatm'!W15</f>
        <v>0</v>
      </c>
      <c r="G67" s="85">
        <f>'5-9 Waste depo and water treatm'!X15</f>
        <v>0</v>
      </c>
      <c r="H67" s="85">
        <f>'5-9 Waste depo and water treatm'!Y15</f>
        <v>0</v>
      </c>
      <c r="I67" s="85">
        <f>'5-9 Waste depo and water treatm'!Z15</f>
        <v>0</v>
      </c>
      <c r="J67" s="85">
        <f>'5-9 Waste depo and water treatm'!AA15</f>
        <v>0</v>
      </c>
      <c r="K67" s="218"/>
    </row>
    <row r="68" spans="1:11" ht="13">
      <c r="A68" s="56" t="str">
        <f>'5-10 Cremat and cem'!A5</f>
        <v>5.10</v>
      </c>
      <c r="B68" s="56"/>
      <c r="C68" s="56" t="str">
        <f>'5-10 Cremat and cem'!C5</f>
        <v>Source category: Crematoria and cemetaries</v>
      </c>
      <c r="D68" s="77"/>
      <c r="E68" s="85"/>
      <c r="F68" s="85"/>
      <c r="G68" s="85"/>
      <c r="H68" s="85"/>
      <c r="I68" s="85"/>
      <c r="J68" s="85"/>
      <c r="K68" s="218"/>
    </row>
    <row r="69" spans="1:11" ht="13">
      <c r="A69" s="56"/>
      <c r="B69" s="113" t="str">
        <f>'5-10 Cremat and cem'!B6</f>
        <v>5.10.1</v>
      </c>
      <c r="C69" s="113" t="str">
        <f>'5-10 Cremat and cem'!C6</f>
        <v>Crematoria</v>
      </c>
      <c r="D69" s="77">
        <f>'5-10 Cremat and cem'!D6</f>
        <v>0</v>
      </c>
      <c r="E69" s="85">
        <f>'5-10 Cremat and cem'!V6</f>
        <v>0</v>
      </c>
      <c r="F69" s="85">
        <f>'5-10 Cremat and cem'!W6</f>
        <v>0</v>
      </c>
      <c r="G69" s="85">
        <f>'5-10 Cremat and cem'!X6</f>
        <v>0</v>
      </c>
      <c r="H69" s="85" t="str">
        <f>'5-10 Cremat and cem'!Y6</f>
        <v>-</v>
      </c>
      <c r="I69" s="85">
        <f>'5-10 Cremat and cem'!Z6</f>
        <v>0</v>
      </c>
      <c r="J69" s="85">
        <f>'5-10 Cremat and cem'!AA6</f>
        <v>0</v>
      </c>
      <c r="K69" s="218"/>
    </row>
    <row r="70" spans="1:11" s="228" customFormat="1" ht="13.5" thickBot="1">
      <c r="A70" s="220"/>
      <c r="B70" s="281" t="str">
        <f>'5-10 Cremat and cem'!B8</f>
        <v>5.10.2</v>
      </c>
      <c r="C70" s="281" t="str">
        <f>'5-10 Cremat and cem'!C8</f>
        <v>Cemeteries</v>
      </c>
      <c r="D70" s="226">
        <f>'5-10 Cremat and cem'!D8</f>
        <v>0</v>
      </c>
      <c r="E70" s="226">
        <f>'5-10 Cremat and cem'!V8</f>
        <v>0</v>
      </c>
      <c r="F70" s="226">
        <f>'5-10 Cremat and cem'!W8</f>
        <v>0</v>
      </c>
      <c r="G70" s="226">
        <f>'5-10 Cremat and cem'!X8</f>
        <v>0</v>
      </c>
      <c r="H70" s="226" t="str">
        <f>'5-10 Cremat and cem'!Y8</f>
        <v>-</v>
      </c>
      <c r="I70" s="226">
        <f>'5-10 Cremat and cem'!Z8</f>
        <v>0</v>
      </c>
      <c r="J70" s="226">
        <f>'5-10 Cremat and cem'!AA8</f>
        <v>0</v>
      </c>
      <c r="K70" s="227"/>
    </row>
    <row r="71" spans="1:11" s="221" customFormat="1" ht="13.5" thickBot="1">
      <c r="A71" s="222" t="s">
        <v>31</v>
      </c>
      <c r="B71" s="223"/>
      <c r="C71" s="223"/>
      <c r="D71" s="229" t="s">
        <v>33</v>
      </c>
      <c r="E71" s="224" t="e">
        <f t="shared" ref="E71:J71" si="0">SUM(E11:E70)</f>
        <v>#VALUE!</v>
      </c>
      <c r="F71" s="224" t="e">
        <f t="shared" si="0"/>
        <v>#VALUE!</v>
      </c>
      <c r="G71" s="224" t="e">
        <f t="shared" si="0"/>
        <v>#VALUE!</v>
      </c>
      <c r="H71" s="224" t="e">
        <f t="shared" si="0"/>
        <v>#VALUE!</v>
      </c>
      <c r="I71" s="224" t="e">
        <f t="shared" si="0"/>
        <v>#VALUE!</v>
      </c>
      <c r="J71" s="224" t="e">
        <f t="shared" si="0"/>
        <v>#VALUE!</v>
      </c>
      <c r="K71" s="225"/>
    </row>
    <row r="73" spans="1:11">
      <c r="B73" t="s">
        <v>56</v>
      </c>
      <c r="C73" t="s">
        <v>32</v>
      </c>
    </row>
    <row r="74" spans="1:11">
      <c r="C74" s="230"/>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8"/>
  <sheetViews>
    <sheetView topLeftCell="C11" zoomScale="93" zoomScaleNormal="70" workbookViewId="0">
      <selection activeCell="G38" sqref="G38:G45"/>
    </sheetView>
  </sheetViews>
  <sheetFormatPr defaultColWidth="8.81640625" defaultRowHeight="12.5"/>
  <cols>
    <col min="1" max="1" width="3" customWidth="1"/>
    <col min="2" max="2" width="6.1796875" customWidth="1"/>
    <col min="3" max="3" width="26.453125" customWidth="1"/>
    <col min="4" max="4" width="7.36328125" customWidth="1"/>
    <col min="5" max="5" width="10.36328125" customWidth="1"/>
    <col min="6" max="6" width="10.453125" customWidth="1"/>
    <col min="7" max="7" width="10.36328125" customWidth="1"/>
    <col min="8" max="8" width="12.6328125" customWidth="1"/>
    <col min="9" max="9" width="15.1796875" style="240" customWidth="1"/>
    <col min="10" max="10" width="11.453125" customWidth="1"/>
    <col min="11" max="11" width="11.36328125" style="240" customWidth="1"/>
    <col min="12" max="12" width="11.453125" customWidth="1"/>
    <col min="13" max="13" width="24.453125" style="13" customWidth="1"/>
    <col min="14" max="14" width="9.1796875" style="240"/>
    <col min="16" max="16" width="5.6328125" customWidth="1"/>
    <col min="17" max="17" width="7.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765</v>
      </c>
      <c r="I1" s="231"/>
      <c r="K1" s="231"/>
      <c r="L1" s="48"/>
      <c r="M1" s="48"/>
      <c r="N1" s="231"/>
    </row>
    <row r="2" spans="1:28" ht="14">
      <c r="A2" s="54" t="s">
        <v>313</v>
      </c>
      <c r="I2" s="231"/>
      <c r="K2" s="231"/>
      <c r="L2" s="48"/>
      <c r="M2" s="48"/>
      <c r="N2" s="231"/>
      <c r="U2" s="48"/>
    </row>
    <row r="3" spans="1:28" ht="13">
      <c r="C3" s="102"/>
      <c r="D3" s="3"/>
      <c r="E3" s="3"/>
      <c r="F3" s="3"/>
      <c r="G3" s="3"/>
      <c r="H3" s="3"/>
      <c r="I3" s="232"/>
      <c r="J3" s="3"/>
      <c r="K3" s="232"/>
      <c r="L3" s="55"/>
      <c r="M3" s="55"/>
      <c r="N3" s="232"/>
      <c r="O3" s="3"/>
      <c r="P3" s="94" t="s">
        <v>55</v>
      </c>
      <c r="Q3" s="49"/>
      <c r="R3" s="49"/>
      <c r="S3" s="49"/>
      <c r="T3" s="49"/>
      <c r="U3" s="49"/>
      <c r="V3" s="10" t="s">
        <v>54</v>
      </c>
      <c r="W3" s="4"/>
      <c r="X3" s="4"/>
      <c r="Y3" s="4"/>
      <c r="Z3" s="4"/>
      <c r="AA3" s="4"/>
      <c r="AB3" s="2"/>
    </row>
    <row r="4" spans="1:28" s="123" customFormat="1" ht="39">
      <c r="A4" s="123" t="s">
        <v>52</v>
      </c>
      <c r="B4" s="123" t="s">
        <v>50</v>
      </c>
      <c r="C4" s="124" t="s">
        <v>59</v>
      </c>
      <c r="D4" s="112" t="s">
        <v>153</v>
      </c>
      <c r="E4" s="124" t="s">
        <v>49</v>
      </c>
      <c r="F4" s="125" t="s">
        <v>35</v>
      </c>
      <c r="G4" s="112" t="s">
        <v>37</v>
      </c>
      <c r="H4" s="125" t="s">
        <v>35</v>
      </c>
      <c r="I4" s="245" t="s">
        <v>51</v>
      </c>
      <c r="J4" s="123" t="s">
        <v>35</v>
      </c>
      <c r="K4" s="241" t="s">
        <v>61</v>
      </c>
      <c r="L4" s="153" t="s">
        <v>35</v>
      </c>
      <c r="M4" s="154" t="s">
        <v>210</v>
      </c>
      <c r="N4" s="245" t="s">
        <v>92</v>
      </c>
      <c r="O4" s="125" t="s">
        <v>35</v>
      </c>
      <c r="P4" s="111" t="s">
        <v>38</v>
      </c>
      <c r="Q4" s="111" t="s">
        <v>39</v>
      </c>
      <c r="R4" s="111" t="s">
        <v>40</v>
      </c>
      <c r="S4" s="111" t="s">
        <v>41</v>
      </c>
      <c r="T4" s="112" t="s">
        <v>42</v>
      </c>
      <c r="U4" s="112" t="s">
        <v>53</v>
      </c>
      <c r="V4" s="56" t="s">
        <v>38</v>
      </c>
      <c r="W4" s="56" t="s">
        <v>39</v>
      </c>
      <c r="X4" s="56" t="s">
        <v>40</v>
      </c>
      <c r="Y4" s="56" t="s">
        <v>41</v>
      </c>
      <c r="Z4" s="57" t="s">
        <v>42</v>
      </c>
      <c r="AA4" s="57" t="s">
        <v>228</v>
      </c>
      <c r="AB4" s="111" t="s">
        <v>87</v>
      </c>
    </row>
    <row r="5" spans="1:28" ht="39">
      <c r="A5" t="s">
        <v>46</v>
      </c>
      <c r="C5" s="12" t="s">
        <v>44</v>
      </c>
      <c r="D5" s="120"/>
      <c r="F5" s="3"/>
      <c r="G5" s="119"/>
      <c r="H5" s="3"/>
      <c r="I5" s="250"/>
      <c r="K5" s="233"/>
      <c r="L5" s="3"/>
      <c r="M5" s="14"/>
      <c r="N5" s="246"/>
      <c r="O5" s="3"/>
      <c r="P5" s="119"/>
      <c r="Q5" s="119"/>
      <c r="R5" s="119"/>
      <c r="S5" s="119"/>
      <c r="T5" s="119"/>
      <c r="U5" s="119"/>
      <c r="V5" s="122"/>
      <c r="W5" s="122"/>
      <c r="X5" s="122"/>
      <c r="Y5" s="122"/>
      <c r="Z5" s="122"/>
      <c r="AA5" s="122"/>
      <c r="AB5" s="119"/>
    </row>
    <row r="6" spans="1:28" ht="26">
      <c r="B6" t="s">
        <v>45</v>
      </c>
      <c r="C6" s="12" t="s">
        <v>47</v>
      </c>
      <c r="D6" s="111"/>
      <c r="G6" s="76"/>
      <c r="I6" s="247"/>
      <c r="K6" s="339">
        <f>SUM(K7:K8)</f>
        <v>0</v>
      </c>
      <c r="L6" s="3"/>
      <c r="M6" s="14"/>
      <c r="N6" s="247"/>
      <c r="O6" s="3"/>
      <c r="P6" s="76"/>
      <c r="Q6" s="76"/>
      <c r="R6" s="76"/>
      <c r="S6" s="76"/>
      <c r="T6" s="76"/>
      <c r="U6" s="76"/>
      <c r="V6" s="114">
        <f>SUM(V7:V14)</f>
        <v>0</v>
      </c>
      <c r="W6" s="114">
        <f t="shared" ref="W6:Z6" si="0">SUM(W7:W14)</f>
        <v>0</v>
      </c>
      <c r="X6" s="114">
        <f t="shared" si="0"/>
        <v>0</v>
      </c>
      <c r="Y6" s="114">
        <f>SUM(Y7:Y14)-Y7</f>
        <v>0</v>
      </c>
      <c r="Z6" s="114">
        <f t="shared" si="0"/>
        <v>0</v>
      </c>
      <c r="AA6" s="114">
        <f>SUM(AA7:AA14)</f>
        <v>0</v>
      </c>
      <c r="AB6" s="76"/>
    </row>
    <row r="7" spans="1:28" ht="13">
      <c r="C7" s="12" t="s">
        <v>60</v>
      </c>
      <c r="D7" s="111"/>
      <c r="E7" s="6" t="s">
        <v>48</v>
      </c>
      <c r="F7" s="3" t="s">
        <v>342</v>
      </c>
      <c r="G7" s="76">
        <v>0.15</v>
      </c>
      <c r="H7" s="3" t="s">
        <v>342</v>
      </c>
      <c r="I7" s="248"/>
      <c r="J7" t="s">
        <v>323</v>
      </c>
      <c r="K7" s="238">
        <f>G7*I7/1000</f>
        <v>0</v>
      </c>
      <c r="L7" s="3" t="s">
        <v>36</v>
      </c>
      <c r="M7" s="32"/>
      <c r="N7" s="248"/>
      <c r="O7" s="3" t="s">
        <v>36</v>
      </c>
      <c r="P7" s="76"/>
      <c r="Q7" s="76">
        <v>0.01</v>
      </c>
      <c r="R7" s="76"/>
      <c r="S7" s="76">
        <v>0.8</v>
      </c>
      <c r="T7" s="76">
        <v>0.19</v>
      </c>
      <c r="U7" s="76"/>
      <c r="V7" s="116">
        <f t="shared" ref="V7:AA12" si="1">$N7*P7</f>
        <v>0</v>
      </c>
      <c r="W7" s="116">
        <f t="shared" si="1"/>
        <v>0</v>
      </c>
      <c r="X7" s="116">
        <f t="shared" si="1"/>
        <v>0</v>
      </c>
      <c r="Y7" s="116">
        <f t="shared" si="1"/>
        <v>0</v>
      </c>
      <c r="Z7" s="116">
        <f t="shared" si="1"/>
        <v>0</v>
      </c>
      <c r="AA7" s="116">
        <f t="shared" si="1"/>
        <v>0</v>
      </c>
      <c r="AB7" s="76"/>
    </row>
    <row r="8" spans="1:28" ht="52">
      <c r="C8" s="12" t="s">
        <v>749</v>
      </c>
      <c r="D8" s="111"/>
      <c r="E8" s="6" t="s">
        <v>58</v>
      </c>
      <c r="F8" s="3" t="s">
        <v>342</v>
      </c>
      <c r="G8" s="76">
        <v>0.15</v>
      </c>
      <c r="H8" s="3" t="s">
        <v>342</v>
      </c>
      <c r="I8" s="248">
        <f>'Etape 2-Energie'!C5</f>
        <v>0</v>
      </c>
      <c r="J8" t="s">
        <v>323</v>
      </c>
      <c r="K8" s="234">
        <f>G8*I8/1000</f>
        <v>0</v>
      </c>
      <c r="L8" s="3" t="s">
        <v>64</v>
      </c>
      <c r="M8" s="33"/>
      <c r="N8" s="248"/>
      <c r="O8" s="3"/>
      <c r="P8" s="76"/>
      <c r="Q8" s="76"/>
      <c r="R8" s="76"/>
      <c r="S8" s="76"/>
      <c r="T8" s="76"/>
      <c r="U8" s="76"/>
      <c r="V8" s="116">
        <f t="shared" si="1"/>
        <v>0</v>
      </c>
      <c r="W8" s="116">
        <f t="shared" si="1"/>
        <v>0</v>
      </c>
      <c r="X8" s="116">
        <f t="shared" si="1"/>
        <v>0</v>
      </c>
      <c r="Y8" s="116">
        <f t="shared" si="1"/>
        <v>0</v>
      </c>
      <c r="Z8" s="116">
        <f t="shared" si="1"/>
        <v>0</v>
      </c>
      <c r="AA8" s="116">
        <f t="shared" si="1"/>
        <v>0</v>
      </c>
      <c r="AB8" s="76"/>
    </row>
    <row r="9" spans="1:28">
      <c r="C9" s="9"/>
      <c r="D9" s="76"/>
      <c r="E9" s="6"/>
      <c r="F9" s="3"/>
      <c r="G9" s="76"/>
      <c r="H9" s="3"/>
      <c r="I9" s="248"/>
      <c r="K9" s="234"/>
      <c r="L9" s="3"/>
      <c r="M9" s="33" t="s">
        <v>750</v>
      </c>
      <c r="N9" s="248">
        <f>$K$8*'Etape 2-Energie'!$G$7/100</f>
        <v>0</v>
      </c>
      <c r="O9" s="3" t="s">
        <v>36</v>
      </c>
      <c r="P9" s="76">
        <v>1</v>
      </c>
      <c r="Q9" s="76"/>
      <c r="R9" s="76"/>
      <c r="S9" s="76"/>
      <c r="T9" s="76"/>
      <c r="U9" s="76"/>
      <c r="V9" s="116">
        <f t="shared" si="1"/>
        <v>0</v>
      </c>
      <c r="W9" s="116">
        <f t="shared" si="1"/>
        <v>0</v>
      </c>
      <c r="X9" s="116">
        <f t="shared" si="1"/>
        <v>0</v>
      </c>
      <c r="Y9" s="116">
        <f t="shared" si="1"/>
        <v>0</v>
      </c>
      <c r="Z9" s="116">
        <f t="shared" si="1"/>
        <v>0</v>
      </c>
      <c r="AA9" s="116">
        <f t="shared" si="1"/>
        <v>0</v>
      </c>
      <c r="AB9" s="76"/>
    </row>
    <row r="10" spans="1:28" ht="25">
      <c r="C10" s="9"/>
      <c r="D10" s="76"/>
      <c r="E10" s="6"/>
      <c r="F10" s="3"/>
      <c r="G10" s="76"/>
      <c r="H10" s="3"/>
      <c r="I10" s="248"/>
      <c r="K10" s="234"/>
      <c r="L10" s="3"/>
      <c r="M10" s="33" t="s">
        <v>751</v>
      </c>
      <c r="N10" s="248">
        <f>$K$8*'Etape 2-Energie'!$H$7/100</f>
        <v>0</v>
      </c>
      <c r="O10" s="3"/>
      <c r="P10" s="76">
        <f>ROUND((0.75+0.9+0.98)/3,2)</f>
        <v>0.88</v>
      </c>
      <c r="Q10" s="76"/>
      <c r="R10" s="76"/>
      <c r="S10" s="76"/>
      <c r="T10" s="76"/>
      <c r="U10" s="76">
        <f>1-P10</f>
        <v>0.12</v>
      </c>
      <c r="V10" s="116">
        <f t="shared" si="1"/>
        <v>0</v>
      </c>
      <c r="W10" s="116">
        <f t="shared" si="1"/>
        <v>0</v>
      </c>
      <c r="X10" s="116">
        <f t="shared" si="1"/>
        <v>0</v>
      </c>
      <c r="Y10" s="116">
        <f t="shared" si="1"/>
        <v>0</v>
      </c>
      <c r="Z10" s="116">
        <f t="shared" si="1"/>
        <v>0</v>
      </c>
      <c r="AA10" s="116">
        <f t="shared" si="1"/>
        <v>0</v>
      </c>
      <c r="AB10" s="76"/>
    </row>
    <row r="11" spans="1:28" ht="25">
      <c r="C11" s="9"/>
      <c r="D11" s="76"/>
      <c r="E11" s="6"/>
      <c r="F11" s="3"/>
      <c r="G11" s="76"/>
      <c r="H11" s="3"/>
      <c r="I11" s="248"/>
      <c r="K11" s="234"/>
      <c r="L11" s="3"/>
      <c r="M11" s="33" t="s">
        <v>752</v>
      </c>
      <c r="N11" s="248">
        <f>$K$8*'Etape 2-Energie'!$I$7/100</f>
        <v>0</v>
      </c>
      <c r="O11" s="3"/>
      <c r="P11" s="76">
        <f>ROUND((0.5+0.5+0.95)/3,2)</f>
        <v>0.65</v>
      </c>
      <c r="Q11" s="76"/>
      <c r="R11" s="76"/>
      <c r="S11" s="76"/>
      <c r="T11" s="76"/>
      <c r="U11" s="76">
        <f t="shared" ref="U11:U14" si="2">1-P11</f>
        <v>0.35</v>
      </c>
      <c r="V11" s="116">
        <f t="shared" si="1"/>
        <v>0</v>
      </c>
      <c r="W11" s="116">
        <f t="shared" si="1"/>
        <v>0</v>
      </c>
      <c r="X11" s="116">
        <f t="shared" si="1"/>
        <v>0</v>
      </c>
      <c r="Y11" s="116">
        <f t="shared" si="1"/>
        <v>0</v>
      </c>
      <c r="Z11" s="116">
        <f t="shared" si="1"/>
        <v>0</v>
      </c>
      <c r="AA11" s="116">
        <f t="shared" si="1"/>
        <v>0</v>
      </c>
      <c r="AB11" s="76"/>
    </row>
    <row r="12" spans="1:28" ht="25">
      <c r="C12" s="9"/>
      <c r="D12" s="76"/>
      <c r="E12" s="6"/>
      <c r="F12" s="3"/>
      <c r="G12" s="76"/>
      <c r="H12" s="3"/>
      <c r="I12" s="248"/>
      <c r="K12" s="234"/>
      <c r="L12" s="3"/>
      <c r="M12" s="33" t="s">
        <v>753</v>
      </c>
      <c r="N12" s="248">
        <f>$K$8*'Etape 2-Energie'!$J$7/100</f>
        <v>0</v>
      </c>
      <c r="O12" s="3"/>
      <c r="P12" s="76">
        <f>ROUND((0.35+0.6+0.8)/3,2)</f>
        <v>0.57999999999999996</v>
      </c>
      <c r="Q12" s="76"/>
      <c r="R12" s="76"/>
      <c r="S12" s="76"/>
      <c r="T12" s="76"/>
      <c r="U12" s="76">
        <f t="shared" si="2"/>
        <v>0.42000000000000004</v>
      </c>
      <c r="V12" s="116">
        <f t="shared" si="1"/>
        <v>0</v>
      </c>
      <c r="W12" s="116">
        <f t="shared" si="1"/>
        <v>0</v>
      </c>
      <c r="X12" s="116">
        <f t="shared" si="1"/>
        <v>0</v>
      </c>
      <c r="Y12" s="116">
        <f t="shared" si="1"/>
        <v>0</v>
      </c>
      <c r="Z12" s="116">
        <f t="shared" si="1"/>
        <v>0</v>
      </c>
      <c r="AA12" s="116">
        <f t="shared" si="1"/>
        <v>0</v>
      </c>
      <c r="AB12" s="76"/>
    </row>
    <row r="13" spans="1:28" ht="25">
      <c r="C13" s="9"/>
      <c r="D13" s="76"/>
      <c r="E13" s="6"/>
      <c r="F13" s="3"/>
      <c r="G13" s="76"/>
      <c r="H13" s="3"/>
      <c r="I13" s="248"/>
      <c r="K13" s="234"/>
      <c r="L13" s="3"/>
      <c r="M13" s="33" t="s">
        <v>754</v>
      </c>
      <c r="N13" s="248">
        <f>$K$8*'Etape 2-Energie'!$K$7/100</f>
        <v>0</v>
      </c>
      <c r="O13" s="3"/>
      <c r="P13" s="76">
        <f>ROUND((0.1+0.75+0.8)/3,2)</f>
        <v>0.55000000000000004</v>
      </c>
      <c r="Q13" s="76"/>
      <c r="R13" s="76"/>
      <c r="S13" s="76"/>
      <c r="T13" s="76"/>
      <c r="U13" s="76">
        <f t="shared" si="2"/>
        <v>0.44999999999999996</v>
      </c>
      <c r="V13" s="116">
        <f t="shared" ref="V13:V14" si="3">$N13*P13</f>
        <v>0</v>
      </c>
      <c r="W13" s="116">
        <f t="shared" ref="W13:W14" si="4">$N13*Q13</f>
        <v>0</v>
      </c>
      <c r="X13" s="116">
        <f t="shared" ref="X13:X14" si="5">$N13*R13</f>
        <v>0</v>
      </c>
      <c r="Y13" s="116">
        <f t="shared" ref="Y13:Y14" si="6">$N13*S13</f>
        <v>0</v>
      </c>
      <c r="Z13" s="116">
        <f t="shared" ref="Z13:Z14" si="7">$N13*T13</f>
        <v>0</v>
      </c>
      <c r="AA13" s="116">
        <f t="shared" ref="AA13:AA14" si="8">$N13*U13</f>
        <v>0</v>
      </c>
      <c r="AB13" s="76"/>
    </row>
    <row r="14" spans="1:28" ht="25">
      <c r="C14" s="9"/>
      <c r="D14" s="76"/>
      <c r="E14" s="6"/>
      <c r="F14" s="3"/>
      <c r="G14" s="76"/>
      <c r="H14" s="3"/>
      <c r="I14" s="248"/>
      <c r="K14" s="234"/>
      <c r="L14" s="3"/>
      <c r="M14" s="649" t="s">
        <v>755</v>
      </c>
      <c r="N14" s="248">
        <f>$K$8*'Etape 2-Energie'!$L$7/100</f>
        <v>0</v>
      </c>
      <c r="O14" s="3"/>
      <c r="P14" s="76">
        <f>ROUND((0.03+0.25+0.25)/3,2)</f>
        <v>0.18</v>
      </c>
      <c r="Q14" s="76"/>
      <c r="R14" s="76"/>
      <c r="S14" s="76"/>
      <c r="T14" s="76"/>
      <c r="U14" s="76">
        <f t="shared" si="2"/>
        <v>0.82000000000000006</v>
      </c>
      <c r="V14" s="116">
        <f t="shared" si="3"/>
        <v>0</v>
      </c>
      <c r="W14" s="116">
        <f t="shared" si="4"/>
        <v>0</v>
      </c>
      <c r="X14" s="116">
        <f t="shared" si="5"/>
        <v>0</v>
      </c>
      <c r="Y14" s="116">
        <f t="shared" si="6"/>
        <v>0</v>
      </c>
      <c r="Z14" s="116">
        <f t="shared" si="7"/>
        <v>0</v>
      </c>
      <c r="AA14" s="116">
        <f t="shared" si="8"/>
        <v>0</v>
      </c>
      <c r="AB14" s="76"/>
    </row>
    <row r="15" spans="1:28" ht="13">
      <c r="C15" s="9"/>
      <c r="D15" s="76"/>
      <c r="G15" s="76"/>
      <c r="I15" s="247"/>
      <c r="K15" s="234"/>
      <c r="M15" s="15"/>
      <c r="N15" s="248"/>
      <c r="O15" s="3"/>
      <c r="P15" s="76"/>
      <c r="Q15" s="76"/>
      <c r="R15" s="76"/>
      <c r="S15" s="76"/>
      <c r="T15" s="76"/>
      <c r="U15" s="76"/>
      <c r="V15" s="58"/>
      <c r="W15" s="58"/>
      <c r="X15" s="58"/>
      <c r="Y15" s="58"/>
      <c r="Z15" s="58"/>
      <c r="AA15" s="58"/>
      <c r="AB15" s="76"/>
    </row>
    <row r="16" spans="1:28" s="91" customFormat="1" ht="26">
      <c r="A16" s="88"/>
      <c r="B16" s="650" t="s">
        <v>757</v>
      </c>
      <c r="C16" s="651" t="s">
        <v>756</v>
      </c>
      <c r="D16" s="111"/>
      <c r="E16" s="88"/>
      <c r="F16" s="88"/>
      <c r="G16" s="76"/>
      <c r="H16" s="88"/>
      <c r="I16" s="247"/>
      <c r="J16" s="88"/>
      <c r="K16" s="339">
        <f>SUM(K17:K18)</f>
        <v>0</v>
      </c>
      <c r="L16" s="88"/>
      <c r="M16" s="90"/>
      <c r="N16" s="248"/>
      <c r="O16" s="88"/>
      <c r="P16" s="76"/>
      <c r="Q16" s="76"/>
      <c r="R16" s="76"/>
      <c r="S16" s="76"/>
      <c r="T16" s="76"/>
      <c r="U16" s="76"/>
      <c r="V16" s="114">
        <f>SUM(V17:V24)</f>
        <v>0</v>
      </c>
      <c r="W16" s="114">
        <f>SUM(W17:W24)</f>
        <v>0</v>
      </c>
      <c r="X16" s="114">
        <f>SUM(X17:X24)</f>
        <v>0</v>
      </c>
      <c r="Y16" s="114">
        <f>SUM(Y17:Y24)-Y17</f>
        <v>0</v>
      </c>
      <c r="Z16" s="114">
        <f>SUM(Z17:Z24)</f>
        <v>0</v>
      </c>
      <c r="AA16" s="114">
        <f>SUM(AA17:AA24)</f>
        <v>0</v>
      </c>
      <c r="AB16" s="76"/>
    </row>
    <row r="17" spans="1:28" ht="13">
      <c r="A17" s="7"/>
      <c r="B17" s="3"/>
      <c r="C17" s="12" t="s">
        <v>60</v>
      </c>
      <c r="D17" s="111"/>
      <c r="E17" s="6" t="s">
        <v>48</v>
      </c>
      <c r="F17" s="3" t="s">
        <v>342</v>
      </c>
      <c r="G17" s="76">
        <v>0.15</v>
      </c>
      <c r="H17" s="3" t="s">
        <v>342</v>
      </c>
      <c r="I17" s="248"/>
      <c r="J17" t="s">
        <v>323</v>
      </c>
      <c r="K17" s="238">
        <f>G17*I17/1000</f>
        <v>0</v>
      </c>
      <c r="L17" s="3" t="s">
        <v>36</v>
      </c>
      <c r="M17" s="32"/>
      <c r="N17" s="248"/>
      <c r="O17" s="3"/>
      <c r="P17" s="76"/>
      <c r="Q17" s="76">
        <v>0.01</v>
      </c>
      <c r="R17" s="76"/>
      <c r="S17" s="76">
        <v>0.8</v>
      </c>
      <c r="T17" s="76">
        <v>0.19</v>
      </c>
      <c r="U17" s="76"/>
      <c r="V17" s="116">
        <f t="shared" ref="V17:V24" si="9">$N17*P17</f>
        <v>0</v>
      </c>
      <c r="W17" s="116">
        <f t="shared" ref="W17:W24" si="10">$N17*Q17</f>
        <v>0</v>
      </c>
      <c r="X17" s="116">
        <f t="shared" ref="X17:X24" si="11">$N17*R17</f>
        <v>0</v>
      </c>
      <c r="Y17" s="116">
        <f t="shared" ref="Y17:Y24" si="12">$N17*S17</f>
        <v>0</v>
      </c>
      <c r="Z17" s="116">
        <f t="shared" ref="Z17:Z24" si="13">$N17*T17</f>
        <v>0</v>
      </c>
      <c r="AA17" s="116">
        <f t="shared" ref="AA17:AA24" si="14">$N17*U17</f>
        <v>0</v>
      </c>
      <c r="AB17" s="76"/>
    </row>
    <row r="18" spans="1:28" ht="65">
      <c r="A18" s="3"/>
      <c r="B18" s="3"/>
      <c r="C18" s="12" t="s">
        <v>759</v>
      </c>
      <c r="D18" s="111"/>
      <c r="E18" s="6" t="s">
        <v>58</v>
      </c>
      <c r="F18" s="3" t="s">
        <v>342</v>
      </c>
      <c r="G18" s="602">
        <f>(0.15+0.15+0.1)/3</f>
        <v>0.13333333333333333</v>
      </c>
      <c r="H18" s="3" t="s">
        <v>342</v>
      </c>
      <c r="I18" s="248">
        <f>'Etape 2-Energie'!C8</f>
        <v>0</v>
      </c>
      <c r="J18" t="s">
        <v>323</v>
      </c>
      <c r="K18" s="238">
        <f>G18*I18/1000</f>
        <v>0</v>
      </c>
      <c r="L18" s="3" t="s">
        <v>64</v>
      </c>
      <c r="M18" s="33"/>
      <c r="N18" s="248"/>
      <c r="O18" s="3"/>
      <c r="P18" s="76"/>
      <c r="Q18" s="76"/>
      <c r="R18" s="76"/>
      <c r="S18" s="76"/>
      <c r="T18" s="76"/>
      <c r="U18" s="76"/>
      <c r="V18" s="116">
        <f t="shared" si="9"/>
        <v>0</v>
      </c>
      <c r="W18" s="116">
        <f t="shared" si="10"/>
        <v>0</v>
      </c>
      <c r="X18" s="116">
        <f t="shared" si="11"/>
        <v>0</v>
      </c>
      <c r="Y18" s="116">
        <f t="shared" si="12"/>
        <v>0</v>
      </c>
      <c r="Z18" s="116">
        <f t="shared" si="13"/>
        <v>0</v>
      </c>
      <c r="AA18" s="116">
        <f t="shared" si="14"/>
        <v>0</v>
      </c>
      <c r="AB18" s="76"/>
    </row>
    <row r="19" spans="1:28" ht="13">
      <c r="A19" s="3"/>
      <c r="B19" s="3"/>
      <c r="C19" s="9"/>
      <c r="D19" s="76"/>
      <c r="E19" s="6"/>
      <c r="F19" s="3"/>
      <c r="G19" s="76"/>
      <c r="H19" s="3"/>
      <c r="I19" s="248"/>
      <c r="K19" s="234"/>
      <c r="L19" s="3"/>
      <c r="M19" s="33" t="s">
        <v>750</v>
      </c>
      <c r="N19" s="248">
        <f>$K$18*'Etape 2-Energie'!$G$10/100</f>
        <v>0</v>
      </c>
      <c r="O19" s="3" t="s">
        <v>36</v>
      </c>
      <c r="P19" s="76">
        <v>1</v>
      </c>
      <c r="Q19" s="117"/>
      <c r="R19" s="118"/>
      <c r="S19" s="118"/>
      <c r="T19" s="117"/>
      <c r="U19" s="76"/>
      <c r="V19" s="116">
        <f t="shared" si="9"/>
        <v>0</v>
      </c>
      <c r="W19" s="116">
        <f t="shared" si="10"/>
        <v>0</v>
      </c>
      <c r="X19" s="116">
        <f t="shared" si="11"/>
        <v>0</v>
      </c>
      <c r="Y19" s="116">
        <f t="shared" si="12"/>
        <v>0</v>
      </c>
      <c r="Z19" s="116">
        <f t="shared" si="13"/>
        <v>0</v>
      </c>
      <c r="AA19" s="116">
        <f t="shared" si="14"/>
        <v>0</v>
      </c>
      <c r="AB19" s="76"/>
    </row>
    <row r="20" spans="1:28" ht="25">
      <c r="A20" s="3"/>
      <c r="B20" s="3"/>
      <c r="C20" s="9"/>
      <c r="D20" s="76"/>
      <c r="E20" s="6"/>
      <c r="F20" s="3"/>
      <c r="G20" s="76"/>
      <c r="H20" s="3"/>
      <c r="I20" s="248"/>
      <c r="K20" s="234"/>
      <c r="L20" s="3"/>
      <c r="M20" s="33" t="s">
        <v>751</v>
      </c>
      <c r="N20" s="248">
        <f>$K$18*'Etape 2-Energie'!$H$10/100</f>
        <v>0</v>
      </c>
      <c r="O20" s="3"/>
      <c r="P20" s="76">
        <f>ROUND((0.75+0.95+0.95)/3,2)</f>
        <v>0.88</v>
      </c>
      <c r="Q20" s="76"/>
      <c r="R20" s="76"/>
      <c r="S20" s="76"/>
      <c r="T20" s="76"/>
      <c r="U20" s="76">
        <f>1-P20</f>
        <v>0.12</v>
      </c>
      <c r="V20" s="116">
        <f t="shared" si="9"/>
        <v>0</v>
      </c>
      <c r="W20" s="116">
        <f t="shared" si="10"/>
        <v>0</v>
      </c>
      <c r="X20" s="116">
        <f t="shared" si="11"/>
        <v>0</v>
      </c>
      <c r="Y20" s="116">
        <f t="shared" si="12"/>
        <v>0</v>
      </c>
      <c r="Z20" s="116">
        <f t="shared" si="13"/>
        <v>0</v>
      </c>
      <c r="AA20" s="116">
        <f t="shared" si="14"/>
        <v>0</v>
      </c>
      <c r="AB20" s="76"/>
    </row>
    <row r="21" spans="1:28" ht="25">
      <c r="A21" s="3"/>
      <c r="B21" s="3"/>
      <c r="C21" s="9"/>
      <c r="D21" s="76"/>
      <c r="E21" s="6"/>
      <c r="F21" s="3"/>
      <c r="G21" s="76"/>
      <c r="H21" s="3"/>
      <c r="I21" s="248"/>
      <c r="K21" s="234"/>
      <c r="L21" s="3"/>
      <c r="M21" s="33" t="s">
        <v>752</v>
      </c>
      <c r="N21" s="248">
        <f>$K$18*'Etape 2-Energie'!$I$10/100</f>
        <v>0</v>
      </c>
      <c r="O21" s="3"/>
      <c r="P21" s="76">
        <f>ROUND((0.5+0.5+0.5)/3,2)</f>
        <v>0.5</v>
      </c>
      <c r="Q21" s="76"/>
      <c r="R21" s="76"/>
      <c r="S21" s="76"/>
      <c r="T21" s="76"/>
      <c r="U21" s="76">
        <f t="shared" ref="U21:U24" si="15">1-P21</f>
        <v>0.5</v>
      </c>
      <c r="V21" s="116">
        <f t="shared" si="9"/>
        <v>0</v>
      </c>
      <c r="W21" s="116">
        <f t="shared" si="10"/>
        <v>0</v>
      </c>
      <c r="X21" s="116">
        <f t="shared" si="11"/>
        <v>0</v>
      </c>
      <c r="Y21" s="116">
        <f t="shared" si="12"/>
        <v>0</v>
      </c>
      <c r="Z21" s="116">
        <f t="shared" si="13"/>
        <v>0</v>
      </c>
      <c r="AA21" s="116">
        <f t="shared" si="14"/>
        <v>0</v>
      </c>
      <c r="AB21" s="76"/>
    </row>
    <row r="22" spans="1:28" ht="25">
      <c r="A22" s="3"/>
      <c r="B22" s="3"/>
      <c r="C22" s="9"/>
      <c r="D22" s="76"/>
      <c r="E22" s="6"/>
      <c r="F22" s="3"/>
      <c r="G22" s="76"/>
      <c r="H22" s="3"/>
      <c r="I22" s="248"/>
      <c r="K22" s="234"/>
      <c r="L22" s="3"/>
      <c r="M22" s="33" t="s">
        <v>753</v>
      </c>
      <c r="N22" s="248">
        <f>$K$18*'Etape 2-Energie'!$J$10/100</f>
        <v>0</v>
      </c>
      <c r="O22" s="3"/>
      <c r="P22" s="76">
        <f>ROUND((0.5+0.7+0.7)/3,2)</f>
        <v>0.63</v>
      </c>
      <c r="Q22" s="76"/>
      <c r="R22" s="76"/>
      <c r="S22" s="76"/>
      <c r="T22" s="76"/>
      <c r="U22" s="76">
        <f t="shared" si="15"/>
        <v>0.37</v>
      </c>
      <c r="V22" s="116">
        <f t="shared" ref="V22:V23" si="16">$N22*P22</f>
        <v>0</v>
      </c>
      <c r="W22" s="116">
        <f t="shared" ref="W22:W23" si="17">$N22*Q22</f>
        <v>0</v>
      </c>
      <c r="X22" s="116">
        <f t="shared" ref="X22:X23" si="18">$N22*R22</f>
        <v>0</v>
      </c>
      <c r="Y22" s="116">
        <f t="shared" ref="Y22:Y23" si="19">$N22*S22</f>
        <v>0</v>
      </c>
      <c r="Z22" s="116">
        <f t="shared" ref="Z22:Z23" si="20">$N22*T22</f>
        <v>0</v>
      </c>
      <c r="AA22" s="116">
        <f t="shared" ref="AA22:AA23" si="21">$N22*U22</f>
        <v>0</v>
      </c>
      <c r="AB22" s="76"/>
    </row>
    <row r="23" spans="1:28" ht="25">
      <c r="A23" s="3"/>
      <c r="B23" s="3"/>
      <c r="C23" s="9"/>
      <c r="D23" s="76"/>
      <c r="E23" s="6"/>
      <c r="F23" s="3"/>
      <c r="G23" s="76"/>
      <c r="H23" s="3"/>
      <c r="I23" s="248"/>
      <c r="K23" s="234"/>
      <c r="L23" s="3"/>
      <c r="M23" s="33" t="s">
        <v>754</v>
      </c>
      <c r="N23" s="248">
        <f>$K$18*'Etape 2-Energie'!$K$10/100</f>
        <v>0</v>
      </c>
      <c r="O23" s="3"/>
      <c r="P23" s="76">
        <f>ROUND((0.1+0.8+0.8)/3,2)</f>
        <v>0.56999999999999995</v>
      </c>
      <c r="Q23" s="76"/>
      <c r="R23" s="76"/>
      <c r="S23" s="76"/>
      <c r="T23" s="76"/>
      <c r="U23" s="76">
        <f t="shared" si="15"/>
        <v>0.43000000000000005</v>
      </c>
      <c r="V23" s="116">
        <f t="shared" si="16"/>
        <v>0</v>
      </c>
      <c r="W23" s="116">
        <f t="shared" si="17"/>
        <v>0</v>
      </c>
      <c r="X23" s="116">
        <f t="shared" si="18"/>
        <v>0</v>
      </c>
      <c r="Y23" s="116">
        <f t="shared" si="19"/>
        <v>0</v>
      </c>
      <c r="Z23" s="116">
        <f t="shared" si="20"/>
        <v>0</v>
      </c>
      <c r="AA23" s="116">
        <f t="shared" si="21"/>
        <v>0</v>
      </c>
      <c r="AB23" s="76"/>
    </row>
    <row r="24" spans="1:28" ht="25">
      <c r="A24" s="3"/>
      <c r="B24" s="3"/>
      <c r="C24" s="9"/>
      <c r="D24" s="76"/>
      <c r="E24" s="6"/>
      <c r="F24" s="3"/>
      <c r="G24" s="76"/>
      <c r="H24" s="3"/>
      <c r="I24" s="248"/>
      <c r="K24" s="234"/>
      <c r="L24" s="3"/>
      <c r="M24" s="649" t="s">
        <v>755</v>
      </c>
      <c r="N24" s="248">
        <f>$K$18*'Etape 2-Energie'!$L$10/100</f>
        <v>0</v>
      </c>
      <c r="O24" s="3"/>
      <c r="P24" s="76">
        <f>ROUND((0.03+0.25+0.25)/3,2)</f>
        <v>0.18</v>
      </c>
      <c r="Q24" s="76"/>
      <c r="R24" s="76"/>
      <c r="S24" s="76"/>
      <c r="T24" s="76"/>
      <c r="U24" s="76">
        <f t="shared" si="15"/>
        <v>0.82000000000000006</v>
      </c>
      <c r="V24" s="116">
        <f t="shared" si="9"/>
        <v>0</v>
      </c>
      <c r="W24" s="116">
        <f t="shared" si="10"/>
        <v>0</v>
      </c>
      <c r="X24" s="116">
        <f t="shared" si="11"/>
        <v>0</v>
      </c>
      <c r="Y24" s="116">
        <f t="shared" si="12"/>
        <v>0</v>
      </c>
      <c r="Z24" s="116">
        <f t="shared" si="13"/>
        <v>0</v>
      </c>
      <c r="AA24" s="116">
        <f t="shared" si="14"/>
        <v>0</v>
      </c>
      <c r="AB24" s="76"/>
    </row>
    <row r="25" spans="1:28" ht="13">
      <c r="A25" s="3"/>
      <c r="B25" s="3"/>
      <c r="C25" s="9"/>
      <c r="D25" s="76"/>
      <c r="E25" s="6"/>
      <c r="F25" s="3"/>
      <c r="G25" s="76"/>
      <c r="H25" s="3"/>
      <c r="I25" s="248"/>
      <c r="K25" s="234"/>
      <c r="L25" s="3"/>
      <c r="M25" s="32"/>
      <c r="N25" s="248"/>
      <c r="O25" s="3"/>
      <c r="P25" s="117"/>
      <c r="Q25" s="117"/>
      <c r="R25" s="118"/>
      <c r="S25" s="118"/>
      <c r="T25" s="117"/>
      <c r="U25" s="76"/>
      <c r="V25" s="116"/>
      <c r="W25" s="116"/>
      <c r="X25" s="116"/>
      <c r="Y25" s="116"/>
      <c r="Z25" s="116"/>
      <c r="AA25" s="116"/>
      <c r="AB25" s="76"/>
    </row>
    <row r="26" spans="1:28" s="91" customFormat="1" ht="13">
      <c r="A26" s="88"/>
      <c r="B26" s="650" t="s">
        <v>758</v>
      </c>
      <c r="C26" s="89" t="s">
        <v>62</v>
      </c>
      <c r="D26" s="111"/>
      <c r="E26" s="88"/>
      <c r="F26" s="88"/>
      <c r="G26" s="76"/>
      <c r="H26" s="88"/>
      <c r="I26" s="247"/>
      <c r="J26" s="88"/>
      <c r="K26" s="339">
        <f>SUM(K27:K28)</f>
        <v>0</v>
      </c>
      <c r="L26" s="88"/>
      <c r="M26" s="90"/>
      <c r="N26" s="248"/>
      <c r="O26" s="88"/>
      <c r="P26" s="76"/>
      <c r="Q26" s="76"/>
      <c r="R26" s="76"/>
      <c r="S26" s="76"/>
      <c r="T26" s="76"/>
      <c r="U26" s="76"/>
      <c r="V26" s="114">
        <f>SUM(V27:V32)</f>
        <v>0</v>
      </c>
      <c r="W26" s="114">
        <f t="shared" ref="W26:AA26" si="22">SUM(W27:W32)</f>
        <v>0</v>
      </c>
      <c r="X26" s="114">
        <f t="shared" si="22"/>
        <v>0</v>
      </c>
      <c r="Y26" s="114">
        <f t="shared" si="22"/>
        <v>0</v>
      </c>
      <c r="Z26" s="114">
        <f t="shared" si="22"/>
        <v>0</v>
      </c>
      <c r="AA26" s="114">
        <f t="shared" si="22"/>
        <v>0</v>
      </c>
      <c r="AB26" s="76"/>
    </row>
    <row r="27" spans="1:28" s="48" customFormat="1" ht="13">
      <c r="A27" s="92"/>
      <c r="B27" s="28"/>
      <c r="C27" s="93" t="s">
        <v>63</v>
      </c>
      <c r="D27" s="111"/>
      <c r="E27" s="95" t="s">
        <v>48</v>
      </c>
      <c r="F27" s="28" t="s">
        <v>342</v>
      </c>
      <c r="G27" s="76">
        <v>0.15</v>
      </c>
      <c r="H27" s="28" t="s">
        <v>342</v>
      </c>
      <c r="I27" s="248"/>
      <c r="J27" s="48" t="s">
        <v>323</v>
      </c>
      <c r="K27" s="234">
        <f>G27*I27/1000</f>
        <v>0</v>
      </c>
      <c r="L27" s="101" t="s">
        <v>36</v>
      </c>
      <c r="M27" s="96"/>
      <c r="N27" s="248"/>
      <c r="O27" s="28"/>
      <c r="P27" s="76">
        <v>1</v>
      </c>
      <c r="Q27" s="76"/>
      <c r="R27" s="76"/>
      <c r="S27" s="76"/>
      <c r="T27" s="76"/>
      <c r="U27" s="76"/>
      <c r="V27" s="116">
        <f t="shared" ref="V27:V32" si="23">$N27*P27</f>
        <v>0</v>
      </c>
      <c r="W27" s="116">
        <f t="shared" ref="W27:W32" si="24">$N27*Q27</f>
        <v>0</v>
      </c>
      <c r="X27" s="116">
        <f t="shared" ref="X27:X32" si="25">$N27*R27</f>
        <v>0</v>
      </c>
      <c r="Y27" s="116">
        <f t="shared" ref="Y27:Y32" si="26">$N27*S27</f>
        <v>0</v>
      </c>
      <c r="Z27" s="116">
        <f t="shared" ref="Z27:Z32" si="27">$N27*T27</f>
        <v>0</v>
      </c>
      <c r="AA27" s="116">
        <f t="shared" ref="AA27:AA32" si="28">$N27*U27</f>
        <v>0</v>
      </c>
      <c r="AB27" s="76"/>
    </row>
    <row r="28" spans="1:28" ht="52">
      <c r="A28" s="3"/>
      <c r="B28" s="3"/>
      <c r="C28" s="12" t="s">
        <v>794</v>
      </c>
      <c r="D28" s="111"/>
      <c r="E28" s="6" t="s">
        <v>58</v>
      </c>
      <c r="F28" s="3" t="s">
        <v>342</v>
      </c>
      <c r="G28" s="602">
        <f>(0.15+0.15+0.1)/3</f>
        <v>0.13333333333333333</v>
      </c>
      <c r="H28" s="3" t="s">
        <v>342</v>
      </c>
      <c r="I28" s="248">
        <f>'Etape 2-Energie'!C11</f>
        <v>0</v>
      </c>
      <c r="J28" t="s">
        <v>323</v>
      </c>
      <c r="K28" s="238">
        <f>G28*I28/1000</f>
        <v>0</v>
      </c>
      <c r="L28" s="3" t="s">
        <v>64</v>
      </c>
      <c r="M28" s="33"/>
      <c r="N28" s="248"/>
      <c r="O28" s="3"/>
      <c r="P28" s="76"/>
      <c r="Q28" s="76"/>
      <c r="R28" s="76"/>
      <c r="S28" s="76"/>
      <c r="T28" s="76"/>
      <c r="U28" s="76"/>
      <c r="V28" s="116">
        <f t="shared" si="23"/>
        <v>0</v>
      </c>
      <c r="W28" s="116">
        <f t="shared" si="24"/>
        <v>0</v>
      </c>
      <c r="X28" s="116">
        <f t="shared" si="25"/>
        <v>0</v>
      </c>
      <c r="Y28" s="116">
        <f t="shared" si="26"/>
        <v>0</v>
      </c>
      <c r="Z28" s="116">
        <f t="shared" si="27"/>
        <v>0</v>
      </c>
      <c r="AA28" s="116">
        <f t="shared" si="28"/>
        <v>0</v>
      </c>
      <c r="AB28" s="76"/>
    </row>
    <row r="29" spans="1:28" ht="13">
      <c r="A29" s="3"/>
      <c r="B29" s="3"/>
      <c r="C29" s="9"/>
      <c r="D29" s="76"/>
      <c r="E29" s="6"/>
      <c r="F29" s="3"/>
      <c r="G29" s="76"/>
      <c r="H29" s="3"/>
      <c r="I29" s="248"/>
      <c r="K29" s="234"/>
      <c r="L29" s="3"/>
      <c r="M29" s="648" t="s">
        <v>440</v>
      </c>
      <c r="N29" s="248">
        <f>K28</f>
        <v>0</v>
      </c>
      <c r="O29" s="3" t="s">
        <v>36</v>
      </c>
      <c r="P29" s="76">
        <v>1</v>
      </c>
      <c r="Q29" s="117"/>
      <c r="R29" s="118"/>
      <c r="S29" s="118"/>
      <c r="T29" s="117"/>
      <c r="U29" s="76"/>
      <c r="V29" s="116">
        <f t="shared" si="23"/>
        <v>0</v>
      </c>
      <c r="W29" s="116">
        <f t="shared" si="24"/>
        <v>0</v>
      </c>
      <c r="X29" s="116">
        <f t="shared" si="25"/>
        <v>0</v>
      </c>
      <c r="Y29" s="116">
        <f t="shared" si="26"/>
        <v>0</v>
      </c>
      <c r="Z29" s="116">
        <f t="shared" si="27"/>
        <v>0</v>
      </c>
      <c r="AA29" s="116">
        <f t="shared" si="28"/>
        <v>0</v>
      </c>
      <c r="AB29" s="76"/>
    </row>
    <row r="30" spans="1:28" ht="13">
      <c r="A30" s="3"/>
      <c r="B30" s="3"/>
      <c r="C30" s="9"/>
      <c r="D30" s="76"/>
      <c r="E30" s="6"/>
      <c r="F30" s="3"/>
      <c r="G30" s="76"/>
      <c r="H30" s="3"/>
      <c r="I30" s="248"/>
      <c r="K30" s="234"/>
      <c r="L30" s="3"/>
      <c r="M30" s="33"/>
      <c r="N30" s="248"/>
      <c r="O30" s="3"/>
      <c r="P30" s="117"/>
      <c r="Q30" s="117"/>
      <c r="R30" s="118"/>
      <c r="S30" s="118"/>
      <c r="T30" s="117"/>
      <c r="U30" s="76"/>
      <c r="V30" s="116">
        <f t="shared" si="23"/>
        <v>0</v>
      </c>
      <c r="W30" s="116">
        <f t="shared" si="24"/>
        <v>0</v>
      </c>
      <c r="X30" s="116">
        <f t="shared" si="25"/>
        <v>0</v>
      </c>
      <c r="Y30" s="116">
        <f t="shared" si="26"/>
        <v>0</v>
      </c>
      <c r="Z30" s="116">
        <f t="shared" si="27"/>
        <v>0</v>
      </c>
      <c r="AA30" s="116">
        <f t="shared" si="28"/>
        <v>0</v>
      </c>
      <c r="AB30" s="76"/>
    </row>
    <row r="31" spans="1:28" ht="13">
      <c r="A31" s="3"/>
      <c r="B31" s="3"/>
      <c r="C31" s="9"/>
      <c r="D31" s="76"/>
      <c r="E31" s="6"/>
      <c r="F31" s="3"/>
      <c r="G31" s="76"/>
      <c r="H31" s="3"/>
      <c r="I31" s="248"/>
      <c r="K31" s="234"/>
      <c r="L31" s="3"/>
      <c r="M31" s="33"/>
      <c r="N31" s="248"/>
      <c r="O31" s="3"/>
      <c r="P31" s="117"/>
      <c r="Q31" s="117"/>
      <c r="R31" s="118"/>
      <c r="S31" s="118"/>
      <c r="T31" s="117"/>
      <c r="U31" s="76"/>
      <c r="V31" s="116">
        <f t="shared" si="23"/>
        <v>0</v>
      </c>
      <c r="W31" s="116">
        <f t="shared" si="24"/>
        <v>0</v>
      </c>
      <c r="X31" s="116">
        <f t="shared" si="25"/>
        <v>0</v>
      </c>
      <c r="Y31" s="116">
        <f t="shared" si="26"/>
        <v>0</v>
      </c>
      <c r="Z31" s="116">
        <f t="shared" si="27"/>
        <v>0</v>
      </c>
      <c r="AA31" s="116">
        <f t="shared" si="28"/>
        <v>0</v>
      </c>
      <c r="AB31" s="76"/>
    </row>
    <row r="32" spans="1:28" ht="13">
      <c r="A32" s="3"/>
      <c r="B32" s="3"/>
      <c r="C32" s="9"/>
      <c r="D32" s="76"/>
      <c r="E32" s="6"/>
      <c r="F32" s="3"/>
      <c r="G32" s="76"/>
      <c r="H32" s="3"/>
      <c r="I32" s="248"/>
      <c r="K32" s="234"/>
      <c r="L32" s="3"/>
      <c r="M32" s="33"/>
      <c r="N32" s="248"/>
      <c r="O32" s="3"/>
      <c r="P32" s="117"/>
      <c r="Q32" s="117"/>
      <c r="R32" s="118"/>
      <c r="S32" s="118"/>
      <c r="T32" s="117"/>
      <c r="U32" s="76"/>
      <c r="V32" s="116">
        <f t="shared" si="23"/>
        <v>0</v>
      </c>
      <c r="W32" s="116">
        <f t="shared" si="24"/>
        <v>0</v>
      </c>
      <c r="X32" s="116">
        <f t="shared" si="25"/>
        <v>0</v>
      </c>
      <c r="Y32" s="116">
        <f t="shared" si="26"/>
        <v>0</v>
      </c>
      <c r="Z32" s="116">
        <f t="shared" si="27"/>
        <v>0</v>
      </c>
      <c r="AA32" s="116">
        <f t="shared" si="28"/>
        <v>0</v>
      </c>
      <c r="AB32" s="76"/>
    </row>
    <row r="33" spans="1:28" ht="13">
      <c r="A33" s="3"/>
      <c r="B33" s="3"/>
      <c r="C33" s="9"/>
      <c r="D33" s="76"/>
      <c r="E33" s="6"/>
      <c r="F33" s="3"/>
      <c r="G33" s="76"/>
      <c r="H33" s="3"/>
      <c r="I33" s="248"/>
      <c r="K33" s="234"/>
      <c r="L33" s="3"/>
      <c r="M33" s="32"/>
      <c r="N33" s="248"/>
      <c r="O33" s="3"/>
      <c r="P33" s="117"/>
      <c r="Q33" s="117"/>
      <c r="R33" s="118"/>
      <c r="S33" s="118"/>
      <c r="T33" s="117"/>
      <c r="U33" s="76"/>
      <c r="V33" s="116"/>
      <c r="W33" s="116"/>
      <c r="X33" s="116"/>
      <c r="Y33" s="116"/>
      <c r="Z33" s="116"/>
      <c r="AA33" s="116"/>
      <c r="AB33" s="76"/>
    </row>
    <row r="34" spans="1:28" s="91" customFormat="1" ht="26">
      <c r="A34" s="88"/>
      <c r="B34" s="88" t="s">
        <v>65</v>
      </c>
      <c r="C34" s="97" t="s">
        <v>70</v>
      </c>
      <c r="D34" s="111"/>
      <c r="E34" s="98"/>
      <c r="F34" s="88"/>
      <c r="G34" s="76"/>
      <c r="H34" s="88"/>
      <c r="I34" s="248"/>
      <c r="K34" s="363"/>
      <c r="L34" s="88"/>
      <c r="M34" s="99"/>
      <c r="N34" s="248"/>
      <c r="O34" s="88"/>
      <c r="P34" s="117"/>
      <c r="Q34" s="117"/>
      <c r="R34" s="118"/>
      <c r="S34" s="118"/>
      <c r="T34" s="117"/>
      <c r="U34" s="76"/>
      <c r="V34" s="114">
        <f>SUM(V35:V47)</f>
        <v>0</v>
      </c>
      <c r="W34" s="114">
        <f t="shared" ref="W34:Z34" si="29">SUM(W35:W47)</f>
        <v>0</v>
      </c>
      <c r="X34" s="114">
        <f t="shared" si="29"/>
        <v>0</v>
      </c>
      <c r="Y34" s="114">
        <f t="shared" si="29"/>
        <v>0</v>
      </c>
      <c r="Z34" s="114">
        <f t="shared" si="29"/>
        <v>0</v>
      </c>
      <c r="AA34" s="114">
        <f>SUM(AA35:AA47)</f>
        <v>0</v>
      </c>
      <c r="AB34" s="76"/>
    </row>
    <row r="35" spans="1:28" s="48" customFormat="1" ht="13">
      <c r="A35" s="28"/>
      <c r="B35" s="28"/>
      <c r="C35" s="100" t="s">
        <v>101</v>
      </c>
      <c r="D35" s="111"/>
      <c r="E35" s="563" t="s">
        <v>715</v>
      </c>
      <c r="F35" s="3" t="s">
        <v>344</v>
      </c>
      <c r="G35" s="282">
        <v>3.4</v>
      </c>
      <c r="H35" s="3" t="s">
        <v>344</v>
      </c>
      <c r="I35" s="332">
        <f>'Etape 2-Energie'!C24</f>
        <v>0</v>
      </c>
      <c r="J35" t="s">
        <v>324</v>
      </c>
      <c r="K35" s="234">
        <f>G35/1000000*I35</f>
        <v>0</v>
      </c>
      <c r="L35" s="101"/>
      <c r="M35" s="35"/>
      <c r="N35" s="248">
        <f>K35</f>
        <v>0</v>
      </c>
      <c r="O35" s="28"/>
      <c r="P35" s="361"/>
      <c r="Q35" s="361">
        <v>0.2</v>
      </c>
      <c r="R35" s="361"/>
      <c r="S35" s="361"/>
      <c r="T35" s="361"/>
      <c r="U35" s="361"/>
      <c r="V35" s="116">
        <f t="shared" ref="V35:AA35" si="30">$N35*P35</f>
        <v>0</v>
      </c>
      <c r="W35" s="116">
        <f t="shared" si="30"/>
        <v>0</v>
      </c>
      <c r="X35" s="116">
        <f t="shared" si="30"/>
        <v>0</v>
      </c>
      <c r="Y35" s="116">
        <f t="shared" si="30"/>
        <v>0</v>
      </c>
      <c r="Z35" s="116">
        <f t="shared" si="30"/>
        <v>0</v>
      </c>
      <c r="AA35" s="116">
        <f t="shared" si="30"/>
        <v>0</v>
      </c>
      <c r="AB35" s="76"/>
    </row>
    <row r="36" spans="1:28" ht="13">
      <c r="A36" s="3"/>
      <c r="B36" s="3"/>
      <c r="C36" s="12" t="s">
        <v>102</v>
      </c>
      <c r="D36" s="111"/>
      <c r="E36" s="563" t="s">
        <v>715</v>
      </c>
      <c r="F36" s="3" t="s">
        <v>344</v>
      </c>
      <c r="G36" s="76">
        <v>3.4</v>
      </c>
      <c r="H36" s="3" t="s">
        <v>344</v>
      </c>
      <c r="I36" s="248">
        <f>'Etape 2-Energie'!C25</f>
        <v>0</v>
      </c>
      <c r="J36" t="s">
        <v>324</v>
      </c>
      <c r="K36" s="234">
        <f>G36/1000000*I36</f>
        <v>0</v>
      </c>
      <c r="L36" s="3" t="s">
        <v>36</v>
      </c>
      <c r="M36" s="15"/>
      <c r="N36" s="248">
        <f>K36</f>
        <v>0</v>
      </c>
      <c r="O36" s="3"/>
      <c r="P36" s="361">
        <v>0.25</v>
      </c>
      <c r="Q36" s="361">
        <v>0.01</v>
      </c>
      <c r="R36" s="361"/>
      <c r="S36" s="361"/>
      <c r="T36" s="361"/>
      <c r="U36" s="361">
        <v>0.15</v>
      </c>
      <c r="V36" s="116">
        <f t="shared" ref="V36:AA36" si="31">$N36*P36</f>
        <v>0</v>
      </c>
      <c r="W36" s="116">
        <f t="shared" si="31"/>
        <v>0</v>
      </c>
      <c r="X36" s="116">
        <f t="shared" si="31"/>
        <v>0</v>
      </c>
      <c r="Y36" s="116">
        <f t="shared" si="31"/>
        <v>0</v>
      </c>
      <c r="Z36" s="116">
        <f t="shared" si="31"/>
        <v>0</v>
      </c>
      <c r="AA36" s="116">
        <f t="shared" si="31"/>
        <v>0</v>
      </c>
      <c r="AB36" s="76"/>
    </row>
    <row r="37" spans="1:28" ht="26">
      <c r="A37" s="3"/>
      <c r="B37" s="3"/>
      <c r="C37" s="12" t="s">
        <v>411</v>
      </c>
      <c r="D37" s="111"/>
      <c r="E37" s="11"/>
      <c r="F37" s="3"/>
      <c r="G37" s="76"/>
      <c r="H37" s="3"/>
      <c r="I37" s="248"/>
      <c r="K37" s="234"/>
      <c r="L37" s="3"/>
      <c r="M37" s="15"/>
      <c r="N37" s="248"/>
      <c r="O37" s="3"/>
      <c r="P37" s="117"/>
      <c r="Q37" s="117"/>
      <c r="R37" s="118"/>
      <c r="S37" s="118"/>
      <c r="T37" s="117"/>
      <c r="U37" s="117"/>
      <c r="V37" s="116"/>
      <c r="W37" s="116"/>
      <c r="X37" s="116"/>
      <c r="Y37" s="116"/>
      <c r="Z37" s="116"/>
      <c r="AA37" s="116"/>
      <c r="AB37" s="76"/>
    </row>
    <row r="38" spans="1:28" ht="13">
      <c r="A38" s="3"/>
      <c r="B38" s="3"/>
      <c r="C38" s="9" t="s">
        <v>66</v>
      </c>
      <c r="D38" s="76"/>
      <c r="E38" s="11" t="s">
        <v>412</v>
      </c>
      <c r="F38" s="3" t="s">
        <v>344</v>
      </c>
      <c r="G38" s="76">
        <v>20</v>
      </c>
      <c r="H38" s="3" t="s">
        <v>344</v>
      </c>
      <c r="I38" s="248"/>
      <c r="J38" t="s">
        <v>324</v>
      </c>
      <c r="K38" s="234">
        <f>G38/1000000*I38</f>
        <v>0</v>
      </c>
      <c r="L38" s="3" t="s">
        <v>36</v>
      </c>
      <c r="M38" s="15"/>
      <c r="N38" s="248"/>
      <c r="O38" s="3"/>
      <c r="P38" s="117">
        <v>1</v>
      </c>
      <c r="Q38" s="117"/>
      <c r="R38" s="118"/>
      <c r="S38" s="118"/>
      <c r="T38" s="117"/>
      <c r="U38" s="117"/>
      <c r="V38" s="116">
        <f t="shared" ref="V38:AA40" si="32">$N38*P38</f>
        <v>0</v>
      </c>
      <c r="W38" s="116">
        <f t="shared" si="32"/>
        <v>0</v>
      </c>
      <c r="X38" s="116">
        <f t="shared" si="32"/>
        <v>0</v>
      </c>
      <c r="Y38" s="116">
        <f t="shared" si="32"/>
        <v>0</v>
      </c>
      <c r="Z38" s="116">
        <f t="shared" si="32"/>
        <v>0</v>
      </c>
      <c r="AA38" s="116">
        <f t="shared" si="32"/>
        <v>0</v>
      </c>
      <c r="AB38" s="76"/>
    </row>
    <row r="39" spans="1:28" ht="13">
      <c r="A39" s="3"/>
      <c r="B39" s="3"/>
      <c r="C39" s="9" t="s">
        <v>414</v>
      </c>
      <c r="D39" s="76"/>
      <c r="E39" s="6" t="s">
        <v>412</v>
      </c>
      <c r="F39" s="3" t="s">
        <v>344</v>
      </c>
      <c r="G39" s="76">
        <v>20</v>
      </c>
      <c r="H39" s="3" t="s">
        <v>344</v>
      </c>
      <c r="I39" s="248">
        <f>'Etape 2-Energie'!C12</f>
        <v>0</v>
      </c>
      <c r="J39" t="s">
        <v>324</v>
      </c>
      <c r="K39" s="238">
        <f>G39/1000000*I39</f>
        <v>0</v>
      </c>
      <c r="L39" s="3" t="s">
        <v>36</v>
      </c>
      <c r="M39" s="33" t="s">
        <v>805</v>
      </c>
      <c r="N39" s="248">
        <f>$K$39*'Etape 2-Energie'!$G$14/100</f>
        <v>0</v>
      </c>
      <c r="O39" s="3"/>
      <c r="P39" s="117">
        <v>1</v>
      </c>
      <c r="Q39" s="117"/>
      <c r="R39" s="118"/>
      <c r="S39" s="118"/>
      <c r="T39" s="117"/>
      <c r="U39" s="117"/>
      <c r="V39" s="116">
        <f t="shared" si="32"/>
        <v>0</v>
      </c>
      <c r="W39" s="116">
        <f t="shared" si="32"/>
        <v>0</v>
      </c>
      <c r="X39" s="116">
        <f t="shared" si="32"/>
        <v>0</v>
      </c>
      <c r="Y39" s="116">
        <f t="shared" si="32"/>
        <v>0</v>
      </c>
      <c r="Z39" s="116">
        <f t="shared" si="32"/>
        <v>0</v>
      </c>
      <c r="AA39" s="116">
        <f t="shared" si="32"/>
        <v>0</v>
      </c>
      <c r="AB39" s="76"/>
    </row>
    <row r="40" spans="1:28" ht="37.5">
      <c r="A40" s="3"/>
      <c r="B40" s="3"/>
      <c r="C40" s="564"/>
      <c r="D40" s="76"/>
      <c r="E40" s="6"/>
      <c r="F40" s="3"/>
      <c r="G40" s="76"/>
      <c r="H40" s="3"/>
      <c r="I40" s="248"/>
      <c r="K40" s="234"/>
      <c r="L40" s="3"/>
      <c r="M40" s="649" t="s">
        <v>69</v>
      </c>
      <c r="N40" s="248">
        <f>$K$39*'Etape 2-Energie'!$H$14/100</f>
        <v>0</v>
      </c>
      <c r="O40" s="3"/>
      <c r="P40" s="117">
        <v>0.9</v>
      </c>
      <c r="Q40" s="117"/>
      <c r="R40" s="118"/>
      <c r="S40" s="118"/>
      <c r="T40" s="117"/>
      <c r="U40" s="117">
        <v>0.1</v>
      </c>
      <c r="V40" s="116">
        <f t="shared" si="32"/>
        <v>0</v>
      </c>
      <c r="W40" s="116">
        <f t="shared" si="32"/>
        <v>0</v>
      </c>
      <c r="X40" s="116">
        <f t="shared" si="32"/>
        <v>0</v>
      </c>
      <c r="Y40" s="116">
        <f t="shared" si="32"/>
        <v>0</v>
      </c>
      <c r="Z40" s="116">
        <f t="shared" si="32"/>
        <v>0</v>
      </c>
      <c r="AA40" s="116">
        <f t="shared" si="32"/>
        <v>0</v>
      </c>
      <c r="AB40" s="76"/>
    </row>
    <row r="41" spans="1:28" ht="25">
      <c r="A41" s="3"/>
      <c r="B41" s="3"/>
      <c r="C41" s="564"/>
      <c r="D41" s="76"/>
      <c r="E41" s="6"/>
      <c r="F41" s="3"/>
      <c r="G41" s="76"/>
      <c r="H41" s="3"/>
      <c r="I41" s="248"/>
      <c r="K41" s="234"/>
      <c r="L41" s="3"/>
      <c r="M41" s="649" t="s">
        <v>760</v>
      </c>
      <c r="N41" s="248">
        <f>$K$39*'Etape 2-Energie'!$I$14/100</f>
        <v>0</v>
      </c>
      <c r="O41" s="3"/>
      <c r="P41" s="117">
        <v>0.5</v>
      </c>
      <c r="Q41" s="117"/>
      <c r="R41" s="118"/>
      <c r="S41" s="118"/>
      <c r="T41" s="117"/>
      <c r="U41" s="117">
        <v>0.5</v>
      </c>
      <c r="V41" s="116">
        <f t="shared" ref="V41" si="33">$N41*P41</f>
        <v>0</v>
      </c>
      <c r="W41" s="116">
        <f t="shared" ref="W41" si="34">$N41*Q41</f>
        <v>0</v>
      </c>
      <c r="X41" s="116">
        <f t="shared" ref="X41" si="35">$N41*R41</f>
        <v>0</v>
      </c>
      <c r="Y41" s="116">
        <f>$N41*S41</f>
        <v>0</v>
      </c>
      <c r="Z41" s="116">
        <f t="shared" ref="Z41" si="36">$N41*T41</f>
        <v>0</v>
      </c>
      <c r="AA41" s="116">
        <f>$N41*U41</f>
        <v>0</v>
      </c>
      <c r="AB41" s="76"/>
    </row>
    <row r="42" spans="1:28" ht="26">
      <c r="A42" s="3"/>
      <c r="B42" s="3"/>
      <c r="C42" s="12" t="s">
        <v>409</v>
      </c>
      <c r="D42" s="112"/>
      <c r="E42" s="6"/>
      <c r="F42" s="3"/>
      <c r="G42" s="76"/>
      <c r="H42" s="3"/>
      <c r="I42" s="248"/>
      <c r="K42" s="234"/>
      <c r="L42" s="3"/>
      <c r="M42" s="15"/>
      <c r="N42" s="248"/>
      <c r="O42" s="3"/>
      <c r="P42" s="117"/>
      <c r="Q42" s="117"/>
      <c r="R42" s="118"/>
      <c r="S42" s="118"/>
      <c r="T42" s="117"/>
      <c r="U42" s="76"/>
      <c r="V42" s="116"/>
      <c r="W42" s="116"/>
      <c r="X42" s="116"/>
      <c r="Y42" s="116"/>
      <c r="Z42" s="116"/>
      <c r="AA42" s="116"/>
      <c r="AB42" s="76"/>
    </row>
    <row r="43" spans="1:28" ht="25.5">
      <c r="A43" s="3"/>
      <c r="B43" s="3"/>
      <c r="C43" s="9" t="s">
        <v>410</v>
      </c>
      <c r="D43" s="76"/>
      <c r="E43" s="6" t="s">
        <v>413</v>
      </c>
      <c r="F43" s="3" t="s">
        <v>344</v>
      </c>
      <c r="G43" s="76">
        <v>2</v>
      </c>
      <c r="H43" s="3" t="s">
        <v>344</v>
      </c>
      <c r="I43" s="248">
        <f>'Etape 2-Energie'!C15</f>
        <v>0</v>
      </c>
      <c r="J43" t="s">
        <v>324</v>
      </c>
      <c r="K43" s="234">
        <f>G43/1000000*I43</f>
        <v>0</v>
      </c>
      <c r="L43" s="3" t="s">
        <v>36</v>
      </c>
      <c r="M43" s="32"/>
      <c r="N43" s="248"/>
      <c r="O43" s="3"/>
      <c r="P43" s="117">
        <v>1</v>
      </c>
      <c r="Q43" s="117"/>
      <c r="R43" s="118"/>
      <c r="S43" s="118"/>
      <c r="T43" s="117"/>
      <c r="U43" s="76"/>
      <c r="V43" s="116">
        <f t="shared" ref="V43:AA46" si="37">$N43*P43</f>
        <v>0</v>
      </c>
      <c r="W43" s="116">
        <f t="shared" si="37"/>
        <v>0</v>
      </c>
      <c r="X43" s="116">
        <f t="shared" si="37"/>
        <v>0</v>
      </c>
      <c r="Y43" s="116">
        <f t="shared" si="37"/>
        <v>0</v>
      </c>
      <c r="Z43" s="116">
        <f t="shared" si="37"/>
        <v>0</v>
      </c>
      <c r="AA43" s="116">
        <f t="shared" si="37"/>
        <v>0</v>
      </c>
      <c r="AB43" s="76"/>
    </row>
    <row r="44" spans="1:28" ht="25.5">
      <c r="A44" s="3"/>
      <c r="B44" s="3"/>
      <c r="C44" s="9" t="s">
        <v>67</v>
      </c>
      <c r="D44" s="76"/>
      <c r="E44" s="6" t="s">
        <v>413</v>
      </c>
      <c r="F44" s="3" t="s">
        <v>344</v>
      </c>
      <c r="G44" s="76">
        <v>2</v>
      </c>
      <c r="H44" s="3" t="s">
        <v>344</v>
      </c>
      <c r="I44" s="248"/>
      <c r="J44" t="s">
        <v>324</v>
      </c>
      <c r="K44" s="238">
        <f>G44/1000000*I44</f>
        <v>0</v>
      </c>
      <c r="L44" s="3" t="s">
        <v>36</v>
      </c>
      <c r="M44" s="32"/>
      <c r="N44" s="248"/>
      <c r="O44" s="3"/>
      <c r="P44" s="117">
        <v>1</v>
      </c>
      <c r="Q44" s="117"/>
      <c r="R44" s="118"/>
      <c r="S44" s="118"/>
      <c r="T44" s="117"/>
      <c r="U44" s="76"/>
      <c r="V44" s="116">
        <f t="shared" si="37"/>
        <v>0</v>
      </c>
      <c r="W44" s="116">
        <f t="shared" si="37"/>
        <v>0</v>
      </c>
      <c r="X44" s="116">
        <f t="shared" si="37"/>
        <v>0</v>
      </c>
      <c r="Y44" s="116">
        <f t="shared" si="37"/>
        <v>0</v>
      </c>
      <c r="Z44" s="116">
        <f t="shared" si="37"/>
        <v>0</v>
      </c>
      <c r="AA44" s="116">
        <f t="shared" si="37"/>
        <v>0</v>
      </c>
      <c r="AB44" s="76"/>
    </row>
    <row r="45" spans="1:28" ht="25">
      <c r="A45" s="3"/>
      <c r="B45" s="3"/>
      <c r="C45" s="9" t="s">
        <v>155</v>
      </c>
      <c r="D45" s="76"/>
      <c r="E45" s="6" t="s">
        <v>413</v>
      </c>
      <c r="F45" s="3" t="s">
        <v>344</v>
      </c>
      <c r="G45" s="76">
        <v>2</v>
      </c>
      <c r="H45" s="3" t="s">
        <v>344</v>
      </c>
      <c r="I45" s="248"/>
      <c r="J45" t="s">
        <v>324</v>
      </c>
      <c r="K45" s="238">
        <f>G45/1000000*I45</f>
        <v>0</v>
      </c>
      <c r="L45" s="3" t="s">
        <v>36</v>
      </c>
      <c r="M45" s="33" t="s">
        <v>68</v>
      </c>
      <c r="N45" s="248">
        <f>SUM($K$43:$K$45)*'Etape 2-Energie'!$G$17/100</f>
        <v>0</v>
      </c>
      <c r="O45" s="3"/>
      <c r="P45" s="117">
        <v>1</v>
      </c>
      <c r="Q45" s="117"/>
      <c r="R45" s="118"/>
      <c r="S45" s="118"/>
      <c r="T45" s="117"/>
      <c r="U45" s="76"/>
      <c r="V45" s="116">
        <f t="shared" si="37"/>
        <v>0</v>
      </c>
      <c r="W45" s="116">
        <f t="shared" si="37"/>
        <v>0</v>
      </c>
      <c r="X45" s="116">
        <f t="shared" si="37"/>
        <v>0</v>
      </c>
      <c r="Y45" s="116">
        <f t="shared" si="37"/>
        <v>0</v>
      </c>
      <c r="Z45" s="116">
        <f t="shared" si="37"/>
        <v>0</v>
      </c>
      <c r="AA45" s="116">
        <f t="shared" si="37"/>
        <v>0</v>
      </c>
      <c r="AB45" s="76"/>
    </row>
    <row r="46" spans="1:28" ht="37.5">
      <c r="A46" s="3"/>
      <c r="B46" s="3"/>
      <c r="C46" s="564"/>
      <c r="D46" s="76"/>
      <c r="E46" s="6"/>
      <c r="F46" s="3"/>
      <c r="G46" s="76"/>
      <c r="H46" s="3"/>
      <c r="I46" s="248"/>
      <c r="K46" s="234"/>
      <c r="L46" s="3"/>
      <c r="M46" s="33" t="s">
        <v>69</v>
      </c>
      <c r="N46" s="248">
        <f>SUM($K$43:$K$45)*'Etape 2-Energie'!$H$17/100</f>
        <v>0</v>
      </c>
      <c r="O46" s="3"/>
      <c r="P46" s="117">
        <v>0.9</v>
      </c>
      <c r="Q46" s="117"/>
      <c r="R46" s="118"/>
      <c r="S46" s="118"/>
      <c r="T46" s="117"/>
      <c r="U46" s="117">
        <v>0.1</v>
      </c>
      <c r="V46" s="116">
        <f t="shared" si="37"/>
        <v>0</v>
      </c>
      <c r="W46" s="116">
        <f t="shared" si="37"/>
        <v>0</v>
      </c>
      <c r="X46" s="116">
        <f t="shared" si="37"/>
        <v>0</v>
      </c>
      <c r="Y46" s="116">
        <f t="shared" si="37"/>
        <v>0</v>
      </c>
      <c r="Z46" s="116">
        <f t="shared" si="37"/>
        <v>0</v>
      </c>
      <c r="AA46" s="116">
        <f t="shared" si="37"/>
        <v>0</v>
      </c>
      <c r="AB46" s="76"/>
    </row>
    <row r="47" spans="1:28" ht="25">
      <c r="A47" s="3"/>
      <c r="B47" s="3"/>
      <c r="C47" s="564"/>
      <c r="D47" s="76"/>
      <c r="E47" s="6"/>
      <c r="F47" s="3"/>
      <c r="G47" s="76"/>
      <c r="H47" s="3"/>
      <c r="I47" s="248"/>
      <c r="K47" s="234"/>
      <c r="L47" s="3"/>
      <c r="M47" s="649" t="s">
        <v>760</v>
      </c>
      <c r="N47" s="248">
        <f>SUM($K$43:$K$45)*'Etape 2-Energie'!$I$17/100</f>
        <v>0</v>
      </c>
      <c r="O47" s="3"/>
      <c r="P47" s="117">
        <v>0.5</v>
      </c>
      <c r="Q47" s="117"/>
      <c r="R47" s="118"/>
      <c r="S47" s="118"/>
      <c r="T47" s="117"/>
      <c r="U47" s="117">
        <v>0.5</v>
      </c>
      <c r="V47" s="116">
        <f t="shared" ref="V47" si="38">$N47*P47</f>
        <v>0</v>
      </c>
      <c r="W47" s="116">
        <f t="shared" ref="W47" si="39">$N47*Q47</f>
        <v>0</v>
      </c>
      <c r="X47" s="116">
        <f t="shared" ref="X47" si="40">$N47*R47</f>
        <v>0</v>
      </c>
      <c r="Y47" s="116">
        <f t="shared" ref="Y47" si="41">$N47*S47</f>
        <v>0</v>
      </c>
      <c r="Z47" s="116">
        <f t="shared" ref="Z47" si="42">$N47*T47</f>
        <v>0</v>
      </c>
      <c r="AA47" s="116">
        <f t="shared" ref="AA47" si="43">$N47*U47</f>
        <v>0</v>
      </c>
      <c r="AB47" s="76"/>
    </row>
    <row r="48" spans="1:28" s="55" customFormat="1" ht="13">
      <c r="A48" s="104"/>
      <c r="B48" s="104"/>
      <c r="C48" s="105"/>
      <c r="D48" s="76"/>
      <c r="E48" s="106"/>
      <c r="F48" s="104"/>
      <c r="G48" s="76"/>
      <c r="H48" s="104"/>
      <c r="I48" s="248"/>
      <c r="K48" s="234"/>
      <c r="L48" s="104"/>
      <c r="M48" s="107"/>
      <c r="N48" s="248"/>
      <c r="O48" s="104"/>
      <c r="P48" s="117"/>
      <c r="Q48" s="117"/>
      <c r="R48" s="118"/>
      <c r="S48" s="118"/>
      <c r="T48" s="117"/>
      <c r="U48" s="76"/>
      <c r="V48" s="116"/>
      <c r="W48" s="116"/>
      <c r="X48" s="116"/>
      <c r="Y48" s="116"/>
      <c r="Z48" s="116"/>
      <c r="AA48" s="116"/>
      <c r="AB48" s="76"/>
    </row>
    <row r="49" spans="1:28" ht="26">
      <c r="A49" s="3"/>
      <c r="B49" s="3" t="s">
        <v>71</v>
      </c>
      <c r="C49" s="12" t="s">
        <v>72</v>
      </c>
      <c r="D49" s="111"/>
      <c r="E49" s="6"/>
      <c r="F49" s="3"/>
      <c r="G49" s="76"/>
      <c r="H49" s="3"/>
      <c r="I49" s="248"/>
      <c r="K49" s="363"/>
      <c r="L49" s="3"/>
      <c r="M49" s="33"/>
      <c r="N49" s="248"/>
      <c r="O49" s="3"/>
      <c r="P49" s="117"/>
      <c r="Q49" s="117"/>
      <c r="R49" s="118"/>
      <c r="S49" s="118"/>
      <c r="T49" s="117"/>
      <c r="U49" s="76"/>
      <c r="V49" s="114">
        <f t="shared" ref="V49:AA49" si="44">SUM(V50,V51)</f>
        <v>0</v>
      </c>
      <c r="W49" s="114">
        <f t="shared" si="44"/>
        <v>0</v>
      </c>
      <c r="X49" s="114">
        <f t="shared" si="44"/>
        <v>0</v>
      </c>
      <c r="Y49" s="114">
        <f t="shared" si="44"/>
        <v>0</v>
      </c>
      <c r="Z49" s="114">
        <f t="shared" si="44"/>
        <v>0</v>
      </c>
      <c r="AA49" s="114">
        <f t="shared" si="44"/>
        <v>0</v>
      </c>
      <c r="AB49" s="76"/>
    </row>
    <row r="50" spans="1:28" ht="25.5">
      <c r="A50" s="3"/>
      <c r="B50" s="3"/>
      <c r="C50" s="12" t="s">
        <v>103</v>
      </c>
      <c r="D50" s="111"/>
      <c r="E50" s="6" t="s">
        <v>75</v>
      </c>
      <c r="F50" s="3" t="s">
        <v>76</v>
      </c>
      <c r="G50" s="76">
        <v>100</v>
      </c>
      <c r="H50" s="3" t="s">
        <v>76</v>
      </c>
      <c r="I50" s="248">
        <f>'Etape 2-Energie'!C26</f>
        <v>0</v>
      </c>
      <c r="J50" t="s">
        <v>73</v>
      </c>
      <c r="K50" s="237">
        <f>G50*I50/1000000000</f>
        <v>0</v>
      </c>
      <c r="L50" s="3" t="s">
        <v>36</v>
      </c>
      <c r="M50" s="33" t="s">
        <v>418</v>
      </c>
      <c r="N50" s="248">
        <f>$K$50*'Etape 2-Energie'!$G$28/100</f>
        <v>0</v>
      </c>
      <c r="O50" s="3"/>
      <c r="P50" s="117">
        <v>0.2</v>
      </c>
      <c r="Q50" s="117">
        <v>0.2</v>
      </c>
      <c r="R50" s="117"/>
      <c r="S50" s="117">
        <v>0.5</v>
      </c>
      <c r="T50" s="117"/>
      <c r="U50" s="117">
        <v>0.1</v>
      </c>
      <c r="V50" s="116">
        <f>$N50*P50</f>
        <v>0</v>
      </c>
      <c r="W50" s="116">
        <f t="shared" ref="V50:AA53" si="45">$N50*Q50</f>
        <v>0</v>
      </c>
      <c r="X50" s="116">
        <f t="shared" si="45"/>
        <v>0</v>
      </c>
      <c r="Y50" s="116">
        <f t="shared" si="45"/>
        <v>0</v>
      </c>
      <c r="Z50" s="116">
        <f t="shared" si="45"/>
        <v>0</v>
      </c>
      <c r="AA50" s="116">
        <f t="shared" si="45"/>
        <v>0</v>
      </c>
      <c r="AB50" s="76"/>
    </row>
    <row r="51" spans="1:28" ht="25.5">
      <c r="A51" s="3"/>
      <c r="B51" s="3"/>
      <c r="C51" s="12"/>
      <c r="D51" s="111"/>
      <c r="E51" s="6"/>
      <c r="F51" s="3"/>
      <c r="G51" s="76"/>
      <c r="H51" s="3"/>
      <c r="I51" s="248"/>
      <c r="K51" s="237"/>
      <c r="L51" s="3"/>
      <c r="M51" s="33" t="s">
        <v>417</v>
      </c>
      <c r="N51" s="248">
        <f>$K$50*'Etape 2-Energie'!$H$28/100</f>
        <v>0</v>
      </c>
      <c r="O51" s="3"/>
      <c r="P51" s="117">
        <v>0.1</v>
      </c>
      <c r="Q51" s="117">
        <v>0.2</v>
      </c>
      <c r="R51" s="117"/>
      <c r="S51" s="117">
        <v>0.1</v>
      </c>
      <c r="T51" s="117"/>
      <c r="U51" s="117">
        <v>0.6</v>
      </c>
      <c r="V51" s="116">
        <f t="shared" ref="V51:AA51" si="46">$N51*P51</f>
        <v>0</v>
      </c>
      <c r="W51" s="116">
        <f t="shared" si="46"/>
        <v>0</v>
      </c>
      <c r="X51" s="116">
        <f t="shared" si="46"/>
        <v>0</v>
      </c>
      <c r="Y51" s="116">
        <f t="shared" si="46"/>
        <v>0</v>
      </c>
      <c r="Z51" s="116">
        <f t="shared" si="46"/>
        <v>0</v>
      </c>
      <c r="AA51" s="116">
        <f t="shared" si="46"/>
        <v>0</v>
      </c>
      <c r="AB51" s="76"/>
    </row>
    <row r="52" spans="1:28" ht="26">
      <c r="A52" s="3"/>
      <c r="B52" s="3"/>
      <c r="C52" s="12" t="s">
        <v>104</v>
      </c>
      <c r="D52" s="111"/>
      <c r="E52" s="6" t="s">
        <v>75</v>
      </c>
      <c r="F52" s="3" t="s">
        <v>76</v>
      </c>
      <c r="G52" s="76">
        <v>100</v>
      </c>
      <c r="H52" s="3" t="s">
        <v>76</v>
      </c>
      <c r="I52" s="248">
        <f>'Etape 2-Energie'!C18</f>
        <v>0</v>
      </c>
      <c r="J52" t="s">
        <v>73</v>
      </c>
      <c r="K52" s="237">
        <f>G52/1000000000*I52</f>
        <v>0</v>
      </c>
      <c r="L52" s="3" t="s">
        <v>36</v>
      </c>
      <c r="M52" s="34"/>
      <c r="N52" s="248">
        <f>K52</f>
        <v>0</v>
      </c>
      <c r="O52" s="3"/>
      <c r="P52" s="117">
        <v>1</v>
      </c>
      <c r="Q52" s="117"/>
      <c r="R52" s="118"/>
      <c r="S52" s="118"/>
      <c r="T52" s="117"/>
      <c r="U52" s="76"/>
      <c r="V52" s="116">
        <f t="shared" si="45"/>
        <v>0</v>
      </c>
      <c r="W52" s="116">
        <f t="shared" si="45"/>
        <v>0</v>
      </c>
      <c r="X52" s="116">
        <f t="shared" si="45"/>
        <v>0</v>
      </c>
      <c r="Y52" s="116">
        <f t="shared" si="45"/>
        <v>0</v>
      </c>
      <c r="Z52" s="116">
        <f t="shared" si="45"/>
        <v>0</v>
      </c>
      <c r="AA52" s="116">
        <f t="shared" si="45"/>
        <v>0</v>
      </c>
      <c r="AB52" s="76"/>
    </row>
    <row r="53" spans="1:28" ht="26">
      <c r="A53" s="3"/>
      <c r="B53" s="3"/>
      <c r="C53" s="12" t="s">
        <v>105</v>
      </c>
      <c r="D53" s="111"/>
      <c r="E53" s="6" t="s">
        <v>74</v>
      </c>
      <c r="F53" s="3" t="s">
        <v>76</v>
      </c>
      <c r="G53" s="76">
        <v>0.22</v>
      </c>
      <c r="H53" s="3" t="s">
        <v>76</v>
      </c>
      <c r="I53" s="248">
        <f>'Etape 2-Energie'!C19</f>
        <v>0</v>
      </c>
      <c r="J53" t="s">
        <v>73</v>
      </c>
      <c r="K53" s="237">
        <f>G53/1000000000*I53</f>
        <v>0</v>
      </c>
      <c r="L53" s="3" t="s">
        <v>36</v>
      </c>
      <c r="M53" s="15"/>
      <c r="N53" s="446">
        <f>K53</f>
        <v>0</v>
      </c>
      <c r="O53" s="3"/>
      <c r="P53" s="117">
        <v>1</v>
      </c>
      <c r="Q53" s="117"/>
      <c r="R53" s="118"/>
      <c r="S53" s="118"/>
      <c r="T53" s="117"/>
      <c r="U53" s="76"/>
      <c r="V53" s="116">
        <f t="shared" si="45"/>
        <v>0</v>
      </c>
      <c r="W53" s="116">
        <f t="shared" si="45"/>
        <v>0</v>
      </c>
      <c r="X53" s="116">
        <f t="shared" si="45"/>
        <v>0</v>
      </c>
      <c r="Y53" s="116">
        <f t="shared" si="45"/>
        <v>0</v>
      </c>
      <c r="Z53" s="116">
        <f t="shared" si="45"/>
        <v>0</v>
      </c>
      <c r="AA53" s="116">
        <f t="shared" si="45"/>
        <v>0</v>
      </c>
      <c r="AB53" s="76"/>
    </row>
    <row r="54" spans="1:28" ht="13">
      <c r="A54" s="3"/>
      <c r="B54" s="3"/>
      <c r="C54" s="9"/>
      <c r="D54" s="76"/>
      <c r="E54" s="6"/>
      <c r="F54" s="3"/>
      <c r="G54" s="76"/>
      <c r="H54" s="3"/>
      <c r="I54" s="248"/>
      <c r="K54" s="238"/>
      <c r="L54" s="3"/>
      <c r="M54" s="15"/>
      <c r="N54" s="248"/>
      <c r="O54" s="3"/>
      <c r="P54" s="117"/>
      <c r="Q54" s="117"/>
      <c r="R54" s="118"/>
      <c r="S54" s="118"/>
      <c r="T54" s="117"/>
      <c r="U54" s="76"/>
      <c r="V54" s="116"/>
      <c r="W54" s="116"/>
      <c r="X54" s="116"/>
      <c r="Y54" s="116"/>
      <c r="Z54" s="116"/>
      <c r="AA54" s="116"/>
      <c r="AB54" s="76"/>
    </row>
    <row r="55" spans="1:28" s="55" customFormat="1" ht="13">
      <c r="A55" s="104"/>
      <c r="B55" s="104"/>
      <c r="C55" s="105"/>
      <c r="D55" s="76"/>
      <c r="E55" s="106"/>
      <c r="F55" s="104"/>
      <c r="G55" s="76"/>
      <c r="H55" s="104"/>
      <c r="I55" s="248"/>
      <c r="K55" s="238"/>
      <c r="L55" s="104"/>
      <c r="M55" s="107"/>
      <c r="N55" s="248"/>
      <c r="O55" s="104"/>
      <c r="P55" s="117"/>
      <c r="Q55" s="117"/>
      <c r="R55" s="118"/>
      <c r="S55" s="118"/>
      <c r="T55" s="117"/>
      <c r="U55" s="76"/>
      <c r="V55" s="116"/>
      <c r="W55" s="116"/>
      <c r="X55" s="116"/>
      <c r="Y55" s="116"/>
      <c r="Z55" s="116"/>
      <c r="AA55" s="116"/>
      <c r="AB55" s="76"/>
    </row>
    <row r="56" spans="1:28" ht="26">
      <c r="A56" s="3"/>
      <c r="B56" s="3" t="s">
        <v>77</v>
      </c>
      <c r="C56" s="12" t="s">
        <v>78</v>
      </c>
      <c r="D56" s="111"/>
      <c r="E56" s="6"/>
      <c r="F56" s="3"/>
      <c r="G56" s="76"/>
      <c r="H56" s="3"/>
      <c r="I56" s="248"/>
      <c r="K56" s="236"/>
      <c r="L56" s="3"/>
      <c r="M56" s="33"/>
      <c r="N56" s="248"/>
      <c r="O56" s="3"/>
      <c r="P56" s="117"/>
      <c r="Q56" s="117"/>
      <c r="R56" s="118"/>
      <c r="S56" s="118"/>
      <c r="T56" s="117"/>
      <c r="U56" s="76"/>
      <c r="V56" s="114">
        <f t="shared" ref="V56:AA56" si="47">SUM(V57:V58)</f>
        <v>0</v>
      </c>
      <c r="W56" s="114">
        <f t="shared" si="47"/>
        <v>0</v>
      </c>
      <c r="X56" s="114">
        <f t="shared" si="47"/>
        <v>0</v>
      </c>
      <c r="Y56" s="114">
        <f t="shared" si="47"/>
        <v>0</v>
      </c>
      <c r="Z56" s="114">
        <f t="shared" si="47"/>
        <v>0</v>
      </c>
      <c r="AA56" s="114">
        <f t="shared" si="47"/>
        <v>0</v>
      </c>
      <c r="AB56" s="76"/>
    </row>
    <row r="57" spans="1:28" ht="13">
      <c r="A57" s="3"/>
      <c r="B57" s="3"/>
      <c r="C57" s="12" t="s">
        <v>85</v>
      </c>
      <c r="D57" s="111"/>
      <c r="E57" s="11" t="s">
        <v>84</v>
      </c>
      <c r="F57" s="3" t="s">
        <v>346</v>
      </c>
      <c r="G57" s="76">
        <v>117</v>
      </c>
      <c r="H57" s="3" t="s">
        <v>346</v>
      </c>
      <c r="I57" s="248"/>
      <c r="J57" t="s">
        <v>325</v>
      </c>
      <c r="K57" s="238">
        <f>G57/1000*I57</f>
        <v>0</v>
      </c>
      <c r="L57" s="3" t="s">
        <v>36</v>
      </c>
      <c r="M57" s="33"/>
      <c r="N57" s="248"/>
      <c r="O57" s="3"/>
      <c r="P57" s="117">
        <v>1</v>
      </c>
      <c r="Q57" s="117"/>
      <c r="R57" s="118"/>
      <c r="S57" s="118"/>
      <c r="T57" s="117"/>
      <c r="U57" s="76"/>
      <c r="V57" s="116">
        <f t="shared" ref="V57:AA58" si="48">$N57*P57</f>
        <v>0</v>
      </c>
      <c r="W57" s="116">
        <f t="shared" si="48"/>
        <v>0</v>
      </c>
      <c r="X57" s="116">
        <f t="shared" si="48"/>
        <v>0</v>
      </c>
      <c r="Y57" s="116">
        <f t="shared" si="48"/>
        <v>0</v>
      </c>
      <c r="Z57" s="116">
        <f t="shared" si="48"/>
        <v>0</v>
      </c>
      <c r="AA57" s="116">
        <f t="shared" si="48"/>
        <v>0</v>
      </c>
      <c r="AB57" s="76"/>
    </row>
    <row r="58" spans="1:28" ht="13">
      <c r="C58" s="26" t="s">
        <v>79</v>
      </c>
      <c r="D58" s="111"/>
      <c r="F58" s="3"/>
      <c r="G58" s="76" t="s">
        <v>43</v>
      </c>
      <c r="H58" t="s">
        <v>43</v>
      </c>
      <c r="I58" s="247"/>
      <c r="J58" t="s">
        <v>326</v>
      </c>
      <c r="K58" s="234" t="s">
        <v>43</v>
      </c>
      <c r="L58" s="3" t="s">
        <v>36</v>
      </c>
      <c r="M58" s="33"/>
      <c r="N58" s="248"/>
      <c r="O58" s="3"/>
      <c r="P58" s="117">
        <v>1</v>
      </c>
      <c r="Q58" s="117"/>
      <c r="R58" s="118"/>
      <c r="S58" s="118"/>
      <c r="T58" s="117"/>
      <c r="U58" s="76"/>
      <c r="V58" s="116">
        <f t="shared" si="48"/>
        <v>0</v>
      </c>
      <c r="W58" s="116">
        <f t="shared" si="48"/>
        <v>0</v>
      </c>
      <c r="X58" s="116">
        <f t="shared" si="48"/>
        <v>0</v>
      </c>
      <c r="Y58" s="116">
        <f t="shared" si="48"/>
        <v>0</v>
      </c>
      <c r="Z58" s="116">
        <f t="shared" si="48"/>
        <v>0</v>
      </c>
      <c r="AA58" s="116">
        <f t="shared" si="48"/>
        <v>0</v>
      </c>
      <c r="AB58" s="76"/>
    </row>
    <row r="59" spans="1:28" ht="26">
      <c r="C59" s="26" t="s">
        <v>86</v>
      </c>
      <c r="D59" s="111"/>
      <c r="G59" s="76"/>
      <c r="I59" s="247"/>
      <c r="K59" s="234"/>
      <c r="M59" s="32"/>
      <c r="N59" s="248"/>
      <c r="O59" s="3"/>
      <c r="P59" s="76">
        <v>1</v>
      </c>
      <c r="Q59" s="76"/>
      <c r="R59" s="76"/>
      <c r="S59" s="76"/>
      <c r="T59" s="76"/>
      <c r="U59" s="76"/>
      <c r="V59" s="58"/>
      <c r="W59" s="58"/>
      <c r="X59" s="58"/>
      <c r="Y59" s="58"/>
      <c r="Z59" s="58"/>
      <c r="AA59" s="58"/>
      <c r="AB59" s="76"/>
    </row>
    <row r="60" spans="1:28" ht="13">
      <c r="C60" s="333"/>
      <c r="D60" s="76"/>
      <c r="G60" s="76"/>
      <c r="I60" s="247"/>
      <c r="K60" s="234"/>
      <c r="M60" s="32"/>
      <c r="N60" s="248"/>
      <c r="O60" s="3"/>
      <c r="P60" s="76"/>
      <c r="Q60" s="76"/>
      <c r="R60" s="76"/>
      <c r="S60" s="76"/>
      <c r="T60" s="76"/>
      <c r="U60" s="76"/>
      <c r="V60" s="58"/>
      <c r="W60" s="58"/>
      <c r="X60" s="58"/>
      <c r="Y60" s="58"/>
      <c r="Z60" s="58"/>
      <c r="AA60" s="58"/>
      <c r="AB60" s="76"/>
    </row>
    <row r="61" spans="1:28" s="55" customFormat="1" ht="13">
      <c r="C61" s="105"/>
      <c r="D61" s="76"/>
      <c r="G61" s="76"/>
      <c r="I61" s="247"/>
      <c r="K61" s="234"/>
      <c r="M61" s="108"/>
      <c r="N61" s="248"/>
      <c r="O61" s="104"/>
      <c r="P61" s="76"/>
      <c r="Q61" s="76"/>
      <c r="R61" s="76"/>
      <c r="S61" s="76"/>
      <c r="T61" s="76"/>
      <c r="U61" s="76"/>
      <c r="V61" s="58"/>
      <c r="W61" s="58"/>
      <c r="X61" s="58"/>
      <c r="Y61" s="58"/>
      <c r="Z61" s="58"/>
      <c r="AA61" s="58"/>
      <c r="AB61" s="76"/>
    </row>
    <row r="62" spans="1:28" ht="26">
      <c r="B62" t="s">
        <v>80</v>
      </c>
      <c r="C62" s="12" t="s">
        <v>81</v>
      </c>
      <c r="D62" s="111"/>
      <c r="E62" s="3" t="s">
        <v>416</v>
      </c>
      <c r="F62" s="3" t="s">
        <v>415</v>
      </c>
      <c r="G62" s="282">
        <v>0.03</v>
      </c>
      <c r="H62" s="3" t="s">
        <v>415</v>
      </c>
      <c r="I62" s="248">
        <f>'Etape 2-Energie'!C20</f>
        <v>0</v>
      </c>
      <c r="J62" s="3" t="s">
        <v>379</v>
      </c>
      <c r="K62" s="234">
        <f>I62*G62/1000</f>
        <v>0</v>
      </c>
      <c r="L62" s="3" t="s">
        <v>36</v>
      </c>
      <c r="M62" s="32"/>
      <c r="N62" s="248">
        <f>K62</f>
        <v>0</v>
      </c>
      <c r="O62" s="3"/>
      <c r="P62" s="76">
        <v>1</v>
      </c>
      <c r="Q62" s="76"/>
      <c r="R62" s="76"/>
      <c r="S62" s="76"/>
      <c r="T62" s="76"/>
      <c r="U62" s="76"/>
      <c r="V62" s="114">
        <f t="shared" ref="V62:AA62" si="49">$N62*P62</f>
        <v>0</v>
      </c>
      <c r="W62" s="114">
        <f t="shared" si="49"/>
        <v>0</v>
      </c>
      <c r="X62" s="114">
        <f t="shared" si="49"/>
        <v>0</v>
      </c>
      <c r="Y62" s="114">
        <f t="shared" si="49"/>
        <v>0</v>
      </c>
      <c r="Z62" s="114">
        <f t="shared" si="49"/>
        <v>0</v>
      </c>
      <c r="AA62" s="114">
        <f t="shared" si="49"/>
        <v>0</v>
      </c>
      <c r="AB62" s="76"/>
    </row>
    <row r="63" spans="1:28" ht="13">
      <c r="C63" s="333" t="s">
        <v>377</v>
      </c>
      <c r="D63" s="76"/>
      <c r="E63" s="362" t="s">
        <v>439</v>
      </c>
      <c r="F63" s="3" t="s">
        <v>415</v>
      </c>
      <c r="G63" s="282">
        <v>0.12</v>
      </c>
      <c r="H63" s="3" t="s">
        <v>415</v>
      </c>
      <c r="I63" s="248">
        <f>'Etape 2-Energie'!C21</f>
        <v>0</v>
      </c>
      <c r="J63" t="s">
        <v>380</v>
      </c>
      <c r="K63" s="234">
        <f>I63*G63/1000</f>
        <v>0</v>
      </c>
      <c r="L63" s="3" t="s">
        <v>36</v>
      </c>
      <c r="M63" s="32"/>
      <c r="N63" s="248">
        <f>K63</f>
        <v>0</v>
      </c>
      <c r="O63" s="3"/>
      <c r="P63" s="76">
        <v>1</v>
      </c>
      <c r="Q63" s="76"/>
      <c r="R63" s="76"/>
      <c r="S63" s="76"/>
      <c r="T63" s="76"/>
      <c r="U63" s="76"/>
      <c r="V63" s="114">
        <f t="shared" ref="V63:AA63" si="50">$N63*P63</f>
        <v>0</v>
      </c>
      <c r="W63" s="114">
        <f t="shared" si="50"/>
        <v>0</v>
      </c>
      <c r="X63" s="114">
        <f t="shared" si="50"/>
        <v>0</v>
      </c>
      <c r="Y63" s="114">
        <f t="shared" si="50"/>
        <v>0</v>
      </c>
      <c r="Z63" s="114">
        <f t="shared" si="50"/>
        <v>0</v>
      </c>
      <c r="AA63" s="114">
        <f t="shared" si="50"/>
        <v>0</v>
      </c>
      <c r="AB63" s="76"/>
    </row>
    <row r="64" spans="1:28" s="55" customFormat="1" ht="13">
      <c r="C64" s="105"/>
      <c r="D64" s="76"/>
      <c r="G64" s="76"/>
      <c r="I64" s="247"/>
      <c r="K64" s="234"/>
      <c r="M64" s="108"/>
      <c r="N64" s="248"/>
      <c r="O64" s="109"/>
      <c r="P64" s="76"/>
      <c r="Q64" s="76"/>
      <c r="R64" s="76"/>
      <c r="S64" s="76"/>
      <c r="T64" s="76"/>
      <c r="U64" s="76"/>
      <c r="V64" s="191"/>
      <c r="W64" s="191"/>
      <c r="X64" s="191"/>
      <c r="Y64" s="191"/>
      <c r="Z64" s="191"/>
      <c r="AA64" s="191"/>
      <c r="AB64" s="76"/>
    </row>
    <row r="65" spans="2:28" ht="26">
      <c r="B65" t="s">
        <v>82</v>
      </c>
      <c r="C65" s="26" t="s">
        <v>83</v>
      </c>
      <c r="D65" s="111"/>
      <c r="E65" t="s">
        <v>43</v>
      </c>
      <c r="F65" t="s">
        <v>43</v>
      </c>
      <c r="G65" s="76" t="s">
        <v>43</v>
      </c>
      <c r="H65" t="s">
        <v>43</v>
      </c>
      <c r="I65" s="247" t="s">
        <v>43</v>
      </c>
      <c r="J65" t="s">
        <v>43</v>
      </c>
      <c r="K65" s="234" t="s">
        <v>43</v>
      </c>
      <c r="L65" s="3" t="s">
        <v>36</v>
      </c>
      <c r="M65" s="32"/>
      <c r="N65" s="248"/>
      <c r="O65" s="3"/>
      <c r="P65" s="76">
        <v>1</v>
      </c>
      <c r="Q65" s="76"/>
      <c r="R65" s="76"/>
      <c r="S65" s="76"/>
      <c r="T65" s="76"/>
      <c r="U65" s="76"/>
      <c r="V65" s="114">
        <f t="shared" ref="V65:AA65" si="51">$N65*P65</f>
        <v>0</v>
      </c>
      <c r="W65" s="114">
        <f t="shared" si="51"/>
        <v>0</v>
      </c>
      <c r="X65" s="114">
        <f t="shared" si="51"/>
        <v>0</v>
      </c>
      <c r="Y65" s="114">
        <f t="shared" si="51"/>
        <v>0</v>
      </c>
      <c r="Z65" s="114">
        <f t="shared" si="51"/>
        <v>0</v>
      </c>
      <c r="AA65" s="114">
        <f t="shared" si="51"/>
        <v>0</v>
      </c>
      <c r="AB65" s="76"/>
    </row>
    <row r="66" spans="2:28" s="55" customFormat="1" ht="13">
      <c r="C66" s="105"/>
      <c r="D66" s="76"/>
      <c r="G66" s="76"/>
      <c r="I66" s="247"/>
      <c r="K66" s="235"/>
      <c r="M66" s="110"/>
      <c r="N66" s="248"/>
      <c r="O66" s="104"/>
      <c r="P66" s="76"/>
      <c r="Q66" s="76"/>
      <c r="R66" s="76"/>
      <c r="S66" s="76"/>
      <c r="T66" s="76"/>
      <c r="U66" s="76"/>
      <c r="V66" s="58"/>
      <c r="W66" s="58"/>
      <c r="X66" s="58"/>
      <c r="Y66" s="58"/>
      <c r="Z66" s="58"/>
      <c r="AA66" s="58"/>
      <c r="AB66" s="76"/>
    </row>
    <row r="67" spans="2:28" s="3" customFormat="1">
      <c r="I67" s="239"/>
      <c r="K67" s="239"/>
      <c r="M67" s="63"/>
      <c r="N67" s="239"/>
    </row>
    <row r="68" spans="2:28" s="3" customFormat="1" ht="13">
      <c r="I68" s="239"/>
      <c r="K68" s="239"/>
      <c r="M68" s="64"/>
      <c r="N68" s="239"/>
    </row>
    <row r="69" spans="2:28" s="3" customFormat="1" ht="13">
      <c r="C69" s="7" t="s">
        <v>56</v>
      </c>
      <c r="D69" s="3" t="s">
        <v>356</v>
      </c>
      <c r="I69" s="239"/>
      <c r="K69" s="239"/>
      <c r="M69" s="64"/>
      <c r="N69" s="249"/>
    </row>
    <row r="70" spans="2:28" s="3" customFormat="1" ht="13">
      <c r="C70" s="7"/>
      <c r="D70" s="36" t="s">
        <v>345</v>
      </c>
      <c r="I70" s="239"/>
      <c r="K70" s="239"/>
      <c r="M70" s="63"/>
      <c r="N70" s="239"/>
    </row>
    <row r="88" spans="10:10">
      <c r="J88">
        <f>16/127</f>
        <v>0.12598425196850394</v>
      </c>
    </row>
  </sheetData>
  <sheetProtection algorithmName="SHA-512" hashValue="JOGutJE2C3NgYmvh3MjqFjLla6NNTPupEDSyrf7k8VRIHw+GlZ5iTWmrIUAPRUxfkGuYgdfnIyNL4gmrIeFOqA==" saltValue="FYnjHCBHNLOGRYiWoMgqa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BZ128"/>
  <sheetViews>
    <sheetView zoomScaleNormal="100" workbookViewId="0">
      <selection activeCell="B47" sqref="B47"/>
    </sheetView>
  </sheetViews>
  <sheetFormatPr defaultColWidth="8.81640625" defaultRowHeight="12.5"/>
  <cols>
    <col min="1" max="1" width="34.1796875" style="726" customWidth="1"/>
    <col min="2" max="2" width="56" style="262" customWidth="1"/>
    <col min="3" max="3" width="27.453125" style="9" customWidth="1"/>
    <col min="4" max="4" width="28" style="9" customWidth="1"/>
    <col min="5" max="6" width="27.453125" style="9" customWidth="1"/>
    <col min="7" max="7" width="27.81640625" style="9" customWidth="1"/>
    <col min="8" max="8" width="27.6328125" style="9" customWidth="1"/>
    <col min="9" max="9" width="9.1796875" style="9"/>
    <col min="10" max="78" width="9.1796875" style="3"/>
  </cols>
  <sheetData>
    <row r="1" spans="1:9" s="3" customFormat="1" ht="14.5">
      <c r="A1" s="802" t="s">
        <v>1230</v>
      </c>
      <c r="C1" s="333"/>
      <c r="D1" s="333"/>
      <c r="E1" s="333"/>
      <c r="F1" s="333"/>
      <c r="G1" s="333"/>
      <c r="H1" s="333"/>
      <c r="I1" s="333"/>
    </row>
    <row r="2" spans="1:9" s="3" customFormat="1">
      <c r="A2" s="333"/>
      <c r="C2" s="333"/>
      <c r="D2" s="333"/>
      <c r="E2" s="333"/>
      <c r="F2" s="333"/>
      <c r="G2" s="333"/>
      <c r="H2" s="333"/>
      <c r="I2" s="333" t="s">
        <v>359</v>
      </c>
    </row>
    <row r="3" spans="1:9" ht="25">
      <c r="A3" s="263" t="str">
        <f>'Etape 2-Energie'!A5</f>
        <v>Combustion de charbon issue de centrales électriques</v>
      </c>
      <c r="B3" s="803" t="s">
        <v>1231</v>
      </c>
      <c r="C3" s="727" t="str">
        <f>'Etape 2-Energie'!G6</f>
        <v>0: Aucun filtre utilisé</v>
      </c>
      <c r="D3" s="727" t="str">
        <f>'Etape 2-Energie'!H6</f>
        <v>1: Filtres à particules simples</v>
      </c>
      <c r="E3" s="727" t="str">
        <f>'Etape 2-Energie'!I6</f>
        <v xml:space="preserve">2: Filtres en tissu (FF) </v>
      </c>
      <c r="F3" s="727" t="str">
        <f>'Etape 2-Energie'!J6</f>
        <v>3: APC efficace</v>
      </c>
      <c r="G3" s="727" t="str">
        <f>'Etape 2-Energie'!K6</f>
        <v>4: APC très efficace</v>
      </c>
      <c r="H3" s="727" t="str">
        <f>'Etape 2-Energie'!L6</f>
        <v>5: Moyens de contrôles spécifiques au mercure</v>
      </c>
      <c r="I3" s="692" t="s">
        <v>45</v>
      </c>
    </row>
    <row r="4" spans="1:9" ht="13">
      <c r="A4" s="263"/>
      <c r="B4" s="803" t="s">
        <v>1121</v>
      </c>
      <c r="C4" s="728">
        <v>0</v>
      </c>
      <c r="D4" s="728">
        <v>100</v>
      </c>
      <c r="E4" s="728">
        <v>0</v>
      </c>
      <c r="F4" s="728">
        <v>0</v>
      </c>
      <c r="G4" s="728">
        <v>0</v>
      </c>
      <c r="H4" s="728">
        <v>0</v>
      </c>
      <c r="I4" s="263"/>
    </row>
    <row r="5" spans="1:9" s="3" customFormat="1">
      <c r="B5" s="804"/>
      <c r="C5" s="805"/>
      <c r="D5" s="805"/>
      <c r="E5" s="805"/>
      <c r="F5" s="805"/>
      <c r="G5" s="805"/>
      <c r="H5" s="805"/>
    </row>
    <row r="6" spans="1:9" ht="25">
      <c r="A6" s="263" t="str">
        <f>'Etape 2-Energie'!A8</f>
        <v>Chaudières industrielles alimentées au charbon</v>
      </c>
      <c r="B6" s="272" t="s">
        <v>1231</v>
      </c>
      <c r="C6" s="727" t="str">
        <f>'Etape 2-Energie'!G9</f>
        <v>0: Aucun filtre utilisé</v>
      </c>
      <c r="D6" s="727" t="str">
        <f>'Etape 2-Energie'!H9</f>
        <v>1: Filtres à particules simples</v>
      </c>
      <c r="E6" s="727" t="str">
        <f>'Etape 2-Energie'!I9</f>
        <v xml:space="preserve">2: Filtres en tissu (FF) </v>
      </c>
      <c r="F6" s="727" t="str">
        <f>'Etape 2-Energie'!J9</f>
        <v>3: APC efficace</v>
      </c>
      <c r="G6" s="727" t="str">
        <f>'Etape 2-Energie'!K9</f>
        <v>4: APC très efficace</v>
      </c>
      <c r="H6" s="727" t="str">
        <f>'Etape 2-Energie'!L9</f>
        <v>5: Moyens de contrôles spécifiques au mercure</v>
      </c>
      <c r="I6" s="263" t="s">
        <v>757</v>
      </c>
    </row>
    <row r="7" spans="1:9" ht="13">
      <c r="A7" s="263"/>
      <c r="B7" s="272" t="s">
        <v>1121</v>
      </c>
      <c r="C7" s="728">
        <v>100</v>
      </c>
      <c r="D7" s="728">
        <v>0</v>
      </c>
      <c r="E7" s="728">
        <v>0</v>
      </c>
      <c r="F7" s="728">
        <v>0</v>
      </c>
      <c r="G7" s="728">
        <v>0</v>
      </c>
      <c r="H7" s="728">
        <v>0</v>
      </c>
      <c r="I7" s="263"/>
    </row>
    <row r="8" spans="1:9" s="3" customFormat="1">
      <c r="B8" s="804"/>
      <c r="C8" s="805"/>
      <c r="D8" s="805"/>
      <c r="E8" s="805"/>
      <c r="F8" s="805"/>
      <c r="G8" s="805"/>
      <c r="H8" s="805"/>
    </row>
    <row r="9" spans="1:9" ht="25">
      <c r="A9" s="263" t="str">
        <f>'Etape 2-Energie'!A12</f>
        <v>Combustion/utilisation du coke de pétrole et de pétrole brut lourd</v>
      </c>
      <c r="B9" s="272" t="s">
        <v>1231</v>
      </c>
      <c r="C9" s="727" t="str">
        <f>'Etape 2-Energie'!G13</f>
        <v>Aucun filtre utilisé</v>
      </c>
      <c r="D9" s="727" t="str">
        <f>'Etape 2-Energie'!H13</f>
        <v>Précipitateur électrostatique (ESP) ou épurateur</v>
      </c>
      <c r="E9" s="727" t="str">
        <f>'Etape 2-Energie'!I13</f>
        <v>cESP et FGD</v>
      </c>
      <c r="F9" s="263"/>
      <c r="G9" s="263"/>
      <c r="H9" s="263"/>
      <c r="I9" s="263" t="s">
        <v>65</v>
      </c>
    </row>
    <row r="10" spans="1:9" ht="13">
      <c r="A10" s="263"/>
      <c r="B10" s="272" t="s">
        <v>1121</v>
      </c>
      <c r="C10" s="728">
        <v>100</v>
      </c>
      <c r="D10" s="728">
        <v>0</v>
      </c>
      <c r="E10" s="728">
        <v>0</v>
      </c>
      <c r="F10" s="263"/>
      <c r="G10" s="263"/>
      <c r="H10" s="263"/>
      <c r="I10" s="263"/>
    </row>
    <row r="11" spans="1:9" s="3" customFormat="1">
      <c r="B11" s="804"/>
      <c r="C11" s="805"/>
      <c r="D11" s="805"/>
      <c r="E11" s="805"/>
      <c r="F11" s="805"/>
      <c r="G11" s="805"/>
      <c r="H11" s="805"/>
    </row>
    <row r="12" spans="1:9" ht="37.5">
      <c r="A12" s="263" t="str">
        <f>'Etape 2-Energie'!A15</f>
        <v>Combustion/utilisation de diesel, gasoil, pétrole, kérosène, GPL et d'autres distillats légers à moyens</v>
      </c>
      <c r="B12" s="272" t="s">
        <v>1231</v>
      </c>
      <c r="C12" s="727" t="str">
        <f>'Etape 2-Energie'!G16</f>
        <v>Aucun filtre utilisé</v>
      </c>
      <c r="D12" s="727" t="str">
        <f>'Etape 2-Energie'!H16</f>
        <v>Précipitateur électrostatique (ESP) ou épurateur</v>
      </c>
      <c r="E12" s="727" t="str">
        <f>'Etape 2-Energie'!I16</f>
        <v>cESP et FGD</v>
      </c>
      <c r="F12" s="263"/>
      <c r="G12" s="263"/>
      <c r="H12" s="263"/>
      <c r="I12" s="263" t="s">
        <v>65</v>
      </c>
    </row>
    <row r="13" spans="1:9" ht="13">
      <c r="A13" s="263"/>
      <c r="B13" s="272" t="s">
        <v>1121</v>
      </c>
      <c r="C13" s="728">
        <v>100</v>
      </c>
      <c r="D13" s="728">
        <v>0</v>
      </c>
      <c r="E13" s="728">
        <v>0</v>
      </c>
      <c r="F13" s="263"/>
      <c r="G13" s="263"/>
      <c r="H13" s="263"/>
      <c r="I13" s="263"/>
    </row>
    <row r="14" spans="1:9" s="3" customFormat="1">
      <c r="B14" s="804"/>
      <c r="C14" s="805"/>
      <c r="D14" s="805"/>
      <c r="E14" s="805"/>
      <c r="F14" s="805"/>
      <c r="G14" s="805"/>
      <c r="H14" s="805"/>
    </row>
    <row r="15" spans="1:9" ht="26.25" customHeight="1">
      <c r="A15" s="263" t="str">
        <f>'Etape 2-Energie'!A26</f>
        <v>Extraction et traitement du gaz naturel</v>
      </c>
      <c r="B15" s="272" t="s">
        <v>1231</v>
      </c>
      <c r="C15" s="727" t="str">
        <f>'Etape 2-Energie'!G27</f>
        <v>Sans élimination du mercure</v>
      </c>
      <c r="D15" s="727" t="str">
        <f>'Etape 2-Energie'!H27</f>
        <v>Avec élimination du mercure</v>
      </c>
      <c r="E15" s="263"/>
      <c r="F15" s="263"/>
      <c r="G15" s="263"/>
      <c r="H15" s="263"/>
      <c r="I15" s="263" t="s">
        <v>71</v>
      </c>
    </row>
    <row r="16" spans="1:9" ht="13">
      <c r="A16" s="263"/>
      <c r="B16" s="272" t="s">
        <v>1121</v>
      </c>
      <c r="C16" s="728">
        <v>50</v>
      </c>
      <c r="D16" s="728">
        <v>50</v>
      </c>
      <c r="E16" s="263"/>
      <c r="F16" s="263"/>
      <c r="G16" s="263"/>
      <c r="H16" s="263"/>
      <c r="I16" s="263"/>
    </row>
    <row r="17" spans="1:9" s="3" customFormat="1">
      <c r="B17" s="804"/>
      <c r="C17" s="805"/>
      <c r="D17" s="805"/>
      <c r="E17" s="805"/>
      <c r="F17" s="805"/>
      <c r="G17" s="805"/>
      <c r="H17" s="805"/>
    </row>
    <row r="18" spans="1:9" ht="37.5">
      <c r="A18" s="263" t="str">
        <f>'Etape 3-Métaux-MatPre'!A7</f>
        <v>Production de zinc à partir de concentrés</v>
      </c>
      <c r="B18" s="272" t="s">
        <v>1231</v>
      </c>
      <c r="C18" s="727" t="str">
        <f>'Etape 3-Métaux-MatPre'!G8</f>
        <v>Sans filtre ou avec seulement une rétension approximative des PM sèches</v>
      </c>
      <c r="D18" s="727" t="str">
        <f>'Etape 3-Métaux-MatPre'!H8</f>
        <v>Purification humide des gaz</v>
      </c>
      <c r="E18" s="727" t="str">
        <f>'Etape 3-Métaux-MatPre'!I8</f>
        <v>Purification humide des gaz et production d'acide</v>
      </c>
      <c r="F18" s="727" t="str">
        <f>'Etape 3-Métaux-MatPre'!J8</f>
        <v>Purification humide des gaz, production d'acide et filtre à mercure</v>
      </c>
      <c r="G18" s="263"/>
      <c r="H18" s="263"/>
      <c r="I18" s="263" t="s">
        <v>362</v>
      </c>
    </row>
    <row r="19" spans="1:9" ht="13">
      <c r="A19" s="263"/>
      <c r="B19" s="272" t="s">
        <v>1121</v>
      </c>
      <c r="C19" s="728">
        <v>0</v>
      </c>
      <c r="D19" s="728">
        <v>0</v>
      </c>
      <c r="E19" s="728">
        <v>100</v>
      </c>
      <c r="F19" s="728">
        <v>0</v>
      </c>
      <c r="G19" s="263"/>
      <c r="H19" s="263"/>
      <c r="I19" s="263"/>
    </row>
    <row r="20" spans="1:9" s="3" customFormat="1">
      <c r="B20" s="804"/>
      <c r="C20" s="805"/>
      <c r="D20" s="805"/>
      <c r="E20" s="805"/>
      <c r="F20" s="805"/>
      <c r="G20" s="805"/>
      <c r="H20" s="805"/>
    </row>
    <row r="21" spans="1:9" ht="37.5">
      <c r="A21" s="263" t="str">
        <f>'Etape 3-Métaux-MatPre'!A10</f>
        <v>Production de cuivre à partir de concentrés</v>
      </c>
      <c r="B21" s="272" t="s">
        <v>1231</v>
      </c>
      <c r="C21" s="727" t="str">
        <f>'Etape 3-Métaux-MatPre'!G11</f>
        <v>Sans filtre ou avec seulement une rétension approximative des PM sèches</v>
      </c>
      <c r="D21" s="727" t="str">
        <f>'Etape 3-Métaux-MatPre'!H11</f>
        <v>Purification humide des gaz</v>
      </c>
      <c r="E21" s="727" t="str">
        <f>'Etape 3-Métaux-MatPre'!I11</f>
        <v>Purification humide des gaz et production d'acide</v>
      </c>
      <c r="F21" s="727" t="str">
        <f>'Etape 3-Métaux-MatPre'!J11</f>
        <v>Purification humide des gaz, production d'acide et filtre à mercure</v>
      </c>
      <c r="G21" s="263"/>
      <c r="H21" s="263"/>
      <c r="I21" s="263" t="s">
        <v>363</v>
      </c>
    </row>
    <row r="22" spans="1:9" ht="13">
      <c r="A22" s="263"/>
      <c r="B22" s="272" t="s">
        <v>1121</v>
      </c>
      <c r="C22" s="728">
        <v>0</v>
      </c>
      <c r="D22" s="728">
        <v>0</v>
      </c>
      <c r="E22" s="728">
        <v>100</v>
      </c>
      <c r="F22" s="728">
        <v>0</v>
      </c>
      <c r="G22" s="263"/>
      <c r="H22" s="263"/>
      <c r="I22" s="263"/>
    </row>
    <row r="23" spans="1:9" s="3" customFormat="1">
      <c r="B23" s="804"/>
      <c r="C23" s="805"/>
      <c r="D23" s="805"/>
      <c r="E23" s="805"/>
      <c r="F23" s="805"/>
      <c r="G23" s="805"/>
      <c r="H23" s="805"/>
    </row>
    <row r="24" spans="1:9" ht="37.5">
      <c r="A24" s="263" t="str">
        <f>'Etape 3-Métaux-MatPre'!A13</f>
        <v>Production de plomb à partir de concentrés</v>
      </c>
      <c r="B24" s="272" t="s">
        <v>1231</v>
      </c>
      <c r="C24" s="727" t="str">
        <f>'Etape 3-Métaux-MatPre'!G14</f>
        <v>Sans filtre ou avec seulement une rétension approximative des PM sèches</v>
      </c>
      <c r="D24" s="727" t="str">
        <f>'Etape 3-Métaux-MatPre'!H14</f>
        <v>Purification humide des gaz</v>
      </c>
      <c r="E24" s="727" t="str">
        <f>'Etape 3-Métaux-MatPre'!I14</f>
        <v>Purification humide des gaz et production d'acide</v>
      </c>
      <c r="F24" s="727" t="str">
        <f>'Etape 3-Métaux-MatPre'!J14</f>
        <v>Purification humide des gaz, production d'acide et filtre à mercure</v>
      </c>
      <c r="G24" s="263"/>
      <c r="H24" s="263"/>
      <c r="I24" s="263" t="s">
        <v>364</v>
      </c>
    </row>
    <row r="25" spans="1:9" ht="13">
      <c r="A25" s="263"/>
      <c r="B25" s="272" t="s">
        <v>1121</v>
      </c>
      <c r="C25" s="728">
        <v>0</v>
      </c>
      <c r="D25" s="728">
        <v>0</v>
      </c>
      <c r="E25" s="728">
        <v>100</v>
      </c>
      <c r="F25" s="728">
        <v>0</v>
      </c>
      <c r="G25" s="263"/>
      <c r="H25" s="263"/>
      <c r="I25" s="263"/>
    </row>
    <row r="26" spans="1:9" s="3" customFormat="1">
      <c r="B26" s="804"/>
      <c r="C26" s="805"/>
      <c r="D26" s="805"/>
      <c r="E26" s="805"/>
      <c r="F26" s="805"/>
      <c r="G26" s="805"/>
      <c r="H26" s="805"/>
    </row>
    <row r="27" spans="1:9" ht="25">
      <c r="A27" s="692" t="str">
        <f>'Etape 3-Métaux-MatPre'!A19</f>
        <v>Extraction de l'or par amalgamation au mercure- à partir du minerai brut/entier</v>
      </c>
      <c r="B27" s="272" t="s">
        <v>1231</v>
      </c>
      <c r="C27" s="727" t="str">
        <f>'Etape 3-Métaux-MatPre'!G20</f>
        <v>Pas de cornue utilisée</v>
      </c>
      <c r="D27" s="727" t="str">
        <f>'Etape 3-Métaux-MatPre'!H20</f>
        <v>Utilisation de cornue</v>
      </c>
      <c r="E27" s="263"/>
      <c r="F27" s="263"/>
      <c r="G27" s="263"/>
      <c r="H27" s="263"/>
      <c r="I27" s="263" t="s">
        <v>158</v>
      </c>
    </row>
    <row r="28" spans="1:9" ht="13">
      <c r="A28" s="263"/>
      <c r="B28" s="272" t="s">
        <v>1121</v>
      </c>
      <c r="C28" s="728">
        <v>100</v>
      </c>
      <c r="D28" s="728">
        <v>0</v>
      </c>
      <c r="E28" s="263"/>
      <c r="F28" s="263"/>
      <c r="G28" s="263"/>
      <c r="H28" s="263"/>
      <c r="I28" s="263"/>
    </row>
    <row r="29" spans="1:9" s="3" customFormat="1">
      <c r="B29" s="804"/>
      <c r="C29" s="805"/>
      <c r="D29" s="805"/>
      <c r="E29" s="805"/>
      <c r="F29" s="805"/>
      <c r="G29" s="805"/>
      <c r="H29" s="805"/>
    </row>
    <row r="30" spans="1:9" ht="25">
      <c r="A30" s="263" t="str">
        <f>'Etape 3-Métaux-MatPre'!A22</f>
        <v>Extraction de l'or par amalgamation au mercure- à partir de concentrés</v>
      </c>
      <c r="B30" s="272" t="s">
        <v>1231</v>
      </c>
      <c r="C30" s="727" t="str">
        <f>'Etape 3-Métaux-MatPre'!G23</f>
        <v>Pas de cornue utilisée</v>
      </c>
      <c r="D30" s="727" t="str">
        <f>'Etape 3-Métaux-MatPre'!H23</f>
        <v>Utilisation de cornue</v>
      </c>
      <c r="E30" s="263"/>
      <c r="F30" s="263"/>
      <c r="G30" s="263"/>
      <c r="H30" s="263"/>
      <c r="I30" s="263" t="s">
        <v>158</v>
      </c>
    </row>
    <row r="31" spans="1:9" ht="13">
      <c r="A31" s="263"/>
      <c r="B31" s="272" t="s">
        <v>1121</v>
      </c>
      <c r="C31" s="728">
        <v>100</v>
      </c>
      <c r="D31" s="728">
        <v>0</v>
      </c>
      <c r="E31" s="263"/>
      <c r="F31" s="263"/>
      <c r="G31" s="263"/>
      <c r="H31" s="263"/>
      <c r="I31" s="263"/>
    </row>
    <row r="32" spans="1:9" s="3" customFormat="1">
      <c r="B32" s="804"/>
      <c r="C32" s="805"/>
      <c r="D32" s="805"/>
      <c r="E32" s="805"/>
      <c r="F32" s="805"/>
      <c r="G32" s="805"/>
      <c r="H32" s="805"/>
    </row>
    <row r="33" spans="1:9" ht="50">
      <c r="A33" s="263" t="str">
        <f>'Etape 3-Métaux-MatPre'!A26</f>
        <v>Production de ciment</v>
      </c>
      <c r="B33" s="272" t="str">
        <f>'Etape 3-Métaux-MatPre'!E27</f>
        <v>1) AVEC DECHETS UTILISES comme fuel (&gt;3% de l'énergie); options de réduction de la pollution</v>
      </c>
      <c r="C33" s="727" t="str">
        <f>'Etape 3-Métaux-MatPre'!G27</f>
        <v>Pas de filtre</v>
      </c>
      <c r="D33" s="727" t="str">
        <f>'Etape 3-Métaux-MatPre'!H27</f>
        <v>Contrôle simple des particules (ESP / PS / FF)</v>
      </c>
      <c r="E33" s="727" t="str">
        <f>'Etape 3-Métaux-MatPre'!I27</f>
        <v>Contôle des particules optimisé (FF+SNCR / FF+WS / ESP+FGD / FF optimisé)</v>
      </c>
      <c r="F33" s="727" t="str">
        <f>'Etape 3-Métaux-MatPre'!J27</f>
        <v>Contrôle de la pollution de l'atmosphère efficace (FF+DS / ESP+DS / ESP+WS / ESP+SNCR)</v>
      </c>
      <c r="G33" s="727" t="str">
        <f>'Etape 3-Métaux-MatPre'!K27</f>
        <v>Contrôle de la pollution de Hg très efficace (humideFGD+ACI / FF+épurateur+SNCR)</v>
      </c>
      <c r="H33" s="263"/>
      <c r="I33" s="263" t="s">
        <v>188</v>
      </c>
    </row>
    <row r="34" spans="1:9" ht="13">
      <c r="A34" s="263"/>
      <c r="B34" s="272" t="s">
        <v>1121</v>
      </c>
      <c r="C34" s="728">
        <v>25</v>
      </c>
      <c r="D34" s="728">
        <v>25</v>
      </c>
      <c r="E34" s="728">
        <v>0</v>
      </c>
      <c r="F34" s="728">
        <v>0</v>
      </c>
      <c r="G34" s="727">
        <v>0</v>
      </c>
      <c r="H34" s="263"/>
      <c r="I34" s="263"/>
    </row>
    <row r="35" spans="1:9" ht="50">
      <c r="A35" s="263"/>
      <c r="B35" s="272" t="str">
        <f>'Etape 3-Métaux-MatPre'!E29</f>
        <v>2) AUCUN/PEU DE DECHETS utilisé comme fuel; options de réductions de la pollution</v>
      </c>
      <c r="C35" s="727" t="str">
        <f>'Etape 3-Métaux-MatPre'!G29</f>
        <v>Pas de filtre</v>
      </c>
      <c r="D35" s="727" t="str">
        <f>'Etape 3-Métaux-MatPre'!H29</f>
        <v>Contrôle simple des particules (ESP / PS / FF)</v>
      </c>
      <c r="E35" s="727" t="str">
        <f>'Etape 3-Métaux-MatPre'!I29</f>
        <v>Contôle des particules optimisé (FF+SNCR / FF+WS / ESP+FGD / FF optimisé)</v>
      </c>
      <c r="F35" s="727" t="str">
        <f>'Etape 3-Métaux-MatPre'!J29</f>
        <v>Contrôle de la pollution de l'atmosphère efficace (FF+DS / ESP+DS / ESP+WS / ESP+SNCR)</v>
      </c>
      <c r="G35" s="727" t="str">
        <f>'Etape 3-Métaux-MatPre'!K29</f>
        <v>Contrôle de la pollution de Hg très efficace (humideFGD+ACI / FF+épurateur+SNCR)</v>
      </c>
      <c r="H35" s="263"/>
      <c r="I35" s="263"/>
    </row>
    <row r="36" spans="1:9" ht="13">
      <c r="A36" s="263"/>
      <c r="B36" s="272" t="s">
        <v>1121</v>
      </c>
      <c r="C36" s="728">
        <v>25</v>
      </c>
      <c r="D36" s="728">
        <v>25</v>
      </c>
      <c r="E36" s="728">
        <v>0</v>
      </c>
      <c r="F36" s="728">
        <v>0</v>
      </c>
      <c r="G36" s="727">
        <v>0</v>
      </c>
      <c r="H36" s="263"/>
      <c r="I36" s="263"/>
    </row>
    <row r="37" spans="1:9" s="3" customFormat="1">
      <c r="B37" s="804"/>
      <c r="C37" s="805"/>
      <c r="D37" s="805"/>
      <c r="E37" s="805"/>
      <c r="F37" s="805"/>
      <c r="G37" s="805"/>
      <c r="H37" s="805"/>
    </row>
    <row r="38" spans="1:9" ht="25">
      <c r="A38" s="263" t="str">
        <f>'Etape 3-Métaux-MatPre'!A31</f>
        <v>Production de pulpe et de papier</v>
      </c>
      <c r="B38" s="272" t="s">
        <v>1231</v>
      </c>
      <c r="C38" s="727" t="str">
        <f>'Etape 3-Métaux-MatPre'!G32</f>
        <v xml:space="preserve">Aucun filtre utilisé </v>
      </c>
      <c r="D38" s="727" t="str">
        <f>'Etape 3-Métaux-MatPre'!H32</f>
        <v>Contrôle des particules avec ESP général, ou PS</v>
      </c>
      <c r="E38" s="263"/>
      <c r="F38" s="263"/>
      <c r="G38" s="263"/>
      <c r="H38" s="263"/>
      <c r="I38" s="263" t="s">
        <v>189</v>
      </c>
    </row>
    <row r="39" spans="1:9" ht="13">
      <c r="A39" s="263"/>
      <c r="B39" s="272" t="s">
        <v>1121</v>
      </c>
      <c r="C39" s="728">
        <v>100</v>
      </c>
      <c r="D39" s="728">
        <v>0</v>
      </c>
      <c r="E39" s="263"/>
      <c r="F39" s="263"/>
      <c r="G39" s="263"/>
      <c r="H39" s="263"/>
      <c r="I39" s="263"/>
    </row>
    <row r="40" spans="1:9" s="3" customFormat="1">
      <c r="B40" s="804"/>
      <c r="C40" s="805"/>
      <c r="D40" s="805"/>
      <c r="E40" s="805"/>
      <c r="F40" s="805"/>
      <c r="G40" s="805"/>
      <c r="H40" s="805"/>
    </row>
    <row r="41" spans="1:9" ht="62.5">
      <c r="A41" s="263" t="str">
        <f>'Etape5-Trait.+recyclage déchets'!A13</f>
        <v>Incinération des déchets municipaux/généraux</v>
      </c>
      <c r="B41" s="272" t="s">
        <v>1231</v>
      </c>
      <c r="C41" s="727" t="str">
        <f>'Etape5-Trait.+recyclage déchets'!G14</f>
        <v>Pas d'appareil de réduction des émissions</v>
      </c>
      <c r="D41" s="727" t="str">
        <f>'Etape5-Trait.+recyclage déchets'!H14</f>
        <v>PM réduc, ESP simple, ou équivalent</v>
      </c>
      <c r="E41" s="727" t="str">
        <f>'Etape5-Trait.+recyclage déchets'!I14</f>
        <v>Contrôle des gaz acides avec du calcaire (ou absorbant de gaz acides similaire) et rétention FF ou ESP PM en aval très efficicace</v>
      </c>
      <c r="F41" s="727" t="str">
        <f>'Etape5-Trait.+recyclage déchets'!J14</f>
        <v>Absorbants spécifiques au mercure et filtre en tissu (FF) en aval</v>
      </c>
      <c r="G41" s="263"/>
      <c r="H41" s="263"/>
      <c r="I41" s="263" t="s">
        <v>196</v>
      </c>
    </row>
    <row r="42" spans="1:9" ht="13">
      <c r="A42" s="263"/>
      <c r="B42" s="272" t="s">
        <v>1121</v>
      </c>
      <c r="C42" s="728">
        <v>0</v>
      </c>
      <c r="D42" s="728">
        <v>100</v>
      </c>
      <c r="E42" s="728">
        <v>0</v>
      </c>
      <c r="F42" s="728">
        <v>0</v>
      </c>
      <c r="G42" s="263"/>
      <c r="H42" s="263"/>
      <c r="I42" s="263"/>
    </row>
    <row r="43" spans="1:9" s="3" customFormat="1">
      <c r="B43" s="804"/>
      <c r="C43" s="805"/>
      <c r="D43" s="805"/>
      <c r="E43" s="805"/>
      <c r="F43" s="805"/>
      <c r="G43" s="805"/>
      <c r="H43" s="805"/>
    </row>
    <row r="44" spans="1:9" ht="62.5">
      <c r="A44" s="263" t="str">
        <f>'Etape5-Trait.+recyclage déchets'!A16</f>
        <v>Incinération des déchets dangereux</v>
      </c>
      <c r="B44" s="272" t="s">
        <v>1231</v>
      </c>
      <c r="C44" s="727" t="str">
        <f>'Etape5-Trait.+recyclage déchets'!G17</f>
        <v>Pas d'appareil de réduction des émissions</v>
      </c>
      <c r="D44" s="727" t="str">
        <f>'Etape5-Trait.+recyclage déchets'!H17</f>
        <v>PM réduc, ESP simple, ou équivalent</v>
      </c>
      <c r="E44" s="727" t="str">
        <f>'Etape5-Trait.+recyclage déchets'!I17</f>
        <v>Contrôle des gaz acides avec du calcaire (ou absorbant de gaz acides similaire) et rétention FF ou ESP PM en aval très efficicace</v>
      </c>
      <c r="F44" s="727" t="str">
        <f>'Etape5-Trait.+recyclage déchets'!J17</f>
        <v>Absorbants spécifiques au mercure et filtre en tissu (FF) en aval</v>
      </c>
      <c r="G44" s="263"/>
      <c r="H44" s="263"/>
      <c r="I44" s="263" t="s">
        <v>200</v>
      </c>
    </row>
    <row r="45" spans="1:9" ht="13">
      <c r="A45" s="263"/>
      <c r="B45" s="272" t="s">
        <v>1121</v>
      </c>
      <c r="C45" s="728">
        <v>0</v>
      </c>
      <c r="D45" s="728">
        <v>100</v>
      </c>
      <c r="E45" s="728">
        <v>0</v>
      </c>
      <c r="F45" s="728">
        <v>0</v>
      </c>
      <c r="G45" s="263"/>
      <c r="H45" s="263"/>
      <c r="I45" s="263"/>
    </row>
    <row r="46" spans="1:9" s="3" customFormat="1">
      <c r="B46" s="804"/>
      <c r="C46" s="805"/>
      <c r="D46" s="805"/>
      <c r="E46" s="805"/>
      <c r="F46" s="805"/>
      <c r="G46" s="805"/>
      <c r="H46" s="805"/>
    </row>
    <row r="47" spans="1:9" ht="62.5">
      <c r="A47" s="263" t="str">
        <f>'Etape5-Trait.+recyclage déchets'!A19</f>
        <v>Incinération et brûlage à l'air libre des déchets médicaux</v>
      </c>
      <c r="B47" s="272" t="s">
        <v>1231</v>
      </c>
      <c r="C47" s="727" t="str">
        <f>'Etape5-Trait.+recyclage déchets'!G20</f>
        <v>Pas d'appareil de réduction des émissions</v>
      </c>
      <c r="D47" s="727" t="str">
        <f>'Etape5-Trait.+recyclage déchets'!H20</f>
        <v>PM réduc, ESP simple, ou équivalent</v>
      </c>
      <c r="E47" s="727" t="str">
        <f>'Etape5-Trait.+recyclage déchets'!I20</f>
        <v>Contrôle des gaz acides avec du calcaire (ou absorbant de gaz acides similaire) et rétention FF ou ESP PM en aval très efficicace</v>
      </c>
      <c r="F47" s="727" t="str">
        <f>'Etape5-Trait.+recyclage déchets'!J20</f>
        <v>Absorbants spécifiques au mercure et filtre en tissu (FF) en aval</v>
      </c>
      <c r="G47" s="263"/>
      <c r="H47" s="263"/>
      <c r="I47" s="263" t="s">
        <v>205</v>
      </c>
    </row>
    <row r="48" spans="1:9" ht="13">
      <c r="A48" s="263"/>
      <c r="B48" s="272" t="s">
        <v>1121</v>
      </c>
      <c r="C48" s="728">
        <v>100</v>
      </c>
      <c r="D48" s="728">
        <v>0</v>
      </c>
      <c r="E48" s="728">
        <v>0</v>
      </c>
      <c r="F48" s="728">
        <v>0</v>
      </c>
      <c r="G48" s="263"/>
      <c r="H48" s="263"/>
      <c r="I48" s="263"/>
    </row>
    <row r="49" spans="1:9" s="3" customFormat="1">
      <c r="B49" s="804"/>
      <c r="C49" s="805"/>
      <c r="D49" s="805"/>
      <c r="E49" s="805"/>
      <c r="F49" s="805"/>
      <c r="G49" s="805"/>
      <c r="H49" s="805"/>
    </row>
    <row r="50" spans="1:9" ht="62.5">
      <c r="A50" s="263" t="str">
        <f>'Etape5-Trait.+recyclage déchets'!A29</f>
        <v>Circuit d'évacuation/traitement des eaux usées</v>
      </c>
      <c r="B50" s="272" t="s">
        <v>1231</v>
      </c>
      <c r="C50" s="727" t="str">
        <f>'Etape5-Trait.+recyclage déchets'!G30</f>
        <v>Aucun traitement</v>
      </c>
      <c r="D50" s="727" t="str">
        <f>'Etape5-Trait.+recyclage déchets'!H30</f>
        <v>Traitement mécanique uniquement</v>
      </c>
      <c r="E50" s="727" t="str">
        <f>'Etape5-Trait.+recyclage déchets'!I30</f>
        <v>Traitement mécanique et biologique (boue activée); pas d’épandage des boues sur le sol</v>
      </c>
      <c r="F50" s="727" t="str">
        <f>'Etape5-Trait.+recyclage déchets'!J30</f>
        <v>Traitement mécanique et biologique
(boue activée) ; 40% utilisée pour
l’épandage de boue sur le sol</v>
      </c>
      <c r="G50" s="263"/>
      <c r="H50" s="263"/>
      <c r="I50" s="263" t="s">
        <v>295</v>
      </c>
    </row>
    <row r="51" spans="1:9" ht="13">
      <c r="A51" s="263"/>
      <c r="B51" s="272" t="s">
        <v>1121</v>
      </c>
      <c r="C51" s="728">
        <v>0</v>
      </c>
      <c r="D51" s="728">
        <v>100</v>
      </c>
      <c r="E51" s="728">
        <v>0</v>
      </c>
      <c r="F51" s="728">
        <v>0</v>
      </c>
      <c r="G51" s="263"/>
      <c r="H51" s="263"/>
      <c r="I51" s="263"/>
    </row>
    <row r="52" spans="1:9" s="3" customFormat="1">
      <c r="B52" s="804"/>
      <c r="C52" s="805"/>
      <c r="D52" s="805"/>
      <c r="E52" s="805"/>
      <c r="F52" s="805"/>
      <c r="G52" s="805"/>
      <c r="H52" s="805"/>
    </row>
    <row r="53" spans="1:9" ht="37.5">
      <c r="A53" s="263" t="str">
        <f>'Etape6-Produits-substances Hg'!A7</f>
        <v>Amalgames dentaires (obturation "argent")</v>
      </c>
      <c r="B53" s="734" t="s">
        <v>1231</v>
      </c>
      <c r="C53" s="727" t="str">
        <f>'Etape6-Produits-substances Hg'!G12</f>
        <v xml:space="preserve">Cliniques où seuls des fauteuils dentaires équipés de filtres/cépines sont utilisés </v>
      </c>
      <c r="D53" s="727" t="str">
        <f>'Etape6-Produits-substances Hg'!H12</f>
        <v>Cliniques équipées avec des séparateurs d'amalgames très efficaces</v>
      </c>
      <c r="E53" s="263"/>
      <c r="F53" s="263"/>
      <c r="G53" s="263"/>
      <c r="H53" s="263"/>
      <c r="I53" s="273" t="s">
        <v>212</v>
      </c>
    </row>
    <row r="54" spans="1:9" ht="13">
      <c r="A54" s="263"/>
      <c r="B54" s="735" t="s">
        <v>1121</v>
      </c>
      <c r="C54" s="728">
        <v>100</v>
      </c>
      <c r="D54" s="728">
        <v>0</v>
      </c>
      <c r="E54" s="263"/>
      <c r="F54" s="263"/>
      <c r="G54" s="263"/>
      <c r="H54" s="263"/>
      <c r="I54" s="263"/>
    </row>
    <row r="55" spans="1:9">
      <c r="A55" s="333"/>
      <c r="B55" s="3"/>
      <c r="C55" s="3"/>
      <c r="D55" s="3"/>
      <c r="E55" s="3"/>
      <c r="F55" s="3"/>
      <c r="G55" s="3"/>
      <c r="H55" s="3"/>
      <c r="I55" s="3"/>
    </row>
    <row r="56" spans="1:9">
      <c r="A56" s="333"/>
      <c r="B56" s="3"/>
      <c r="C56" s="3"/>
      <c r="D56" s="3"/>
      <c r="E56" s="3"/>
      <c r="F56" s="3"/>
      <c r="G56" s="3"/>
      <c r="H56" s="3"/>
      <c r="I56" s="3"/>
    </row>
    <row r="57" spans="1:9">
      <c r="A57" s="333"/>
      <c r="B57" s="3"/>
      <c r="C57" s="3"/>
      <c r="D57" s="3"/>
      <c r="E57" s="3"/>
      <c r="F57" s="3"/>
      <c r="G57" s="3"/>
      <c r="H57" s="3"/>
      <c r="I57" s="3"/>
    </row>
    <row r="58" spans="1:9">
      <c r="A58" s="333"/>
      <c r="B58" s="3"/>
      <c r="C58" s="3"/>
      <c r="D58" s="3"/>
      <c r="E58" s="3"/>
      <c r="F58" s="3"/>
      <c r="G58" s="3"/>
      <c r="H58" s="3"/>
      <c r="I58" s="3"/>
    </row>
    <row r="59" spans="1:9">
      <c r="A59" s="333"/>
      <c r="B59" s="3"/>
      <c r="C59" s="3"/>
      <c r="D59" s="3"/>
      <c r="E59" s="3"/>
      <c r="F59" s="3"/>
      <c r="G59" s="3"/>
      <c r="H59" s="3"/>
      <c r="I59" s="3"/>
    </row>
    <row r="60" spans="1:9">
      <c r="A60" s="333"/>
      <c r="B60" s="3"/>
      <c r="C60" s="3"/>
      <c r="D60" s="3"/>
      <c r="E60" s="3"/>
      <c r="F60" s="3"/>
      <c r="G60" s="3"/>
      <c r="H60" s="3"/>
      <c r="I60" s="3"/>
    </row>
    <row r="61" spans="1:9">
      <c r="A61" s="333"/>
      <c r="B61" s="3"/>
      <c r="C61" s="3"/>
      <c r="D61" s="3"/>
      <c r="E61" s="3"/>
      <c r="F61" s="3"/>
      <c r="G61" s="3"/>
      <c r="H61" s="3"/>
      <c r="I61" s="3"/>
    </row>
    <row r="62" spans="1:9">
      <c r="A62" s="333"/>
      <c r="B62" s="3"/>
      <c r="C62" s="3"/>
      <c r="D62" s="3"/>
      <c r="E62" s="3"/>
      <c r="F62" s="3"/>
      <c r="G62" s="3"/>
      <c r="H62" s="3"/>
      <c r="I62" s="3"/>
    </row>
    <row r="63" spans="1:9">
      <c r="A63" s="333"/>
      <c r="B63" s="3"/>
      <c r="C63" s="3"/>
      <c r="D63" s="3"/>
      <c r="E63" s="3"/>
      <c r="F63" s="3"/>
      <c r="G63" s="3"/>
      <c r="H63" s="3"/>
      <c r="I63" s="3"/>
    </row>
    <row r="64" spans="1:9">
      <c r="A64" s="333"/>
      <c r="B64" s="3"/>
      <c r="C64" s="3"/>
      <c r="D64" s="3"/>
      <c r="E64" s="3"/>
      <c r="F64" s="3"/>
      <c r="G64" s="3"/>
      <c r="H64" s="3"/>
      <c r="I64" s="3"/>
    </row>
    <row r="65" spans="1:9">
      <c r="A65" s="333"/>
      <c r="B65" s="3"/>
      <c r="C65" s="3"/>
      <c r="D65" s="3"/>
      <c r="E65" s="3"/>
      <c r="F65" s="3"/>
      <c r="G65" s="3"/>
      <c r="H65" s="3"/>
      <c r="I65" s="3"/>
    </row>
    <row r="66" spans="1:9">
      <c r="A66" s="333"/>
      <c r="B66" s="3"/>
      <c r="C66" s="3"/>
      <c r="D66" s="3"/>
      <c r="E66" s="3"/>
      <c r="F66" s="3"/>
      <c r="G66" s="3"/>
      <c r="H66" s="3"/>
      <c r="I66" s="3"/>
    </row>
    <row r="67" spans="1:9">
      <c r="A67" s="333"/>
      <c r="B67" s="3"/>
      <c r="C67" s="3"/>
      <c r="D67" s="3"/>
      <c r="E67" s="3"/>
      <c r="F67" s="3"/>
      <c r="G67" s="3"/>
      <c r="H67" s="3"/>
      <c r="I67" s="3"/>
    </row>
    <row r="68" spans="1:9">
      <c r="A68" s="333"/>
      <c r="B68" s="3"/>
      <c r="C68" s="3"/>
      <c r="D68" s="3"/>
      <c r="E68" s="3"/>
      <c r="F68" s="3"/>
      <c r="G68" s="3"/>
      <c r="H68" s="3"/>
      <c r="I68" s="3"/>
    </row>
    <row r="69" spans="1:9">
      <c r="A69" s="333"/>
      <c r="B69" s="3"/>
      <c r="C69" s="3"/>
      <c r="D69" s="3"/>
      <c r="E69" s="3"/>
      <c r="F69" s="3"/>
      <c r="G69" s="3"/>
      <c r="H69" s="3"/>
      <c r="I69" s="3"/>
    </row>
    <row r="70" spans="1:9">
      <c r="A70" s="333"/>
      <c r="B70" s="3"/>
      <c r="C70" s="3"/>
      <c r="D70" s="3"/>
      <c r="E70" s="3"/>
      <c r="F70" s="3"/>
      <c r="G70" s="3"/>
      <c r="H70" s="3"/>
      <c r="I70" s="3"/>
    </row>
    <row r="71" spans="1:9">
      <c r="A71" s="333"/>
      <c r="B71" s="3"/>
      <c r="C71" s="3"/>
      <c r="D71" s="3"/>
      <c r="E71" s="3"/>
      <c r="F71" s="3"/>
      <c r="G71" s="3"/>
      <c r="H71" s="3"/>
      <c r="I71" s="3"/>
    </row>
    <row r="72" spans="1:9">
      <c r="A72" s="333"/>
      <c r="B72" s="3"/>
      <c r="C72" s="3"/>
      <c r="D72" s="3"/>
      <c r="E72" s="3"/>
      <c r="F72" s="3"/>
      <c r="G72" s="3"/>
      <c r="H72" s="3"/>
      <c r="I72" s="3"/>
    </row>
    <row r="73" spans="1:9">
      <c r="A73" s="333"/>
      <c r="B73" s="3"/>
      <c r="C73" s="3"/>
      <c r="D73" s="3"/>
      <c r="E73" s="3"/>
      <c r="F73" s="3"/>
      <c r="G73" s="3"/>
      <c r="H73" s="3"/>
      <c r="I73" s="3"/>
    </row>
    <row r="74" spans="1:9">
      <c r="A74" s="333"/>
      <c r="B74" s="3"/>
      <c r="C74" s="3"/>
      <c r="D74" s="3"/>
      <c r="E74" s="3"/>
      <c r="F74" s="3"/>
      <c r="G74" s="3"/>
      <c r="H74" s="3"/>
      <c r="I74" s="3"/>
    </row>
    <row r="75" spans="1:9">
      <c r="A75" s="333"/>
      <c r="B75" s="3"/>
      <c r="C75" s="3"/>
      <c r="D75" s="3"/>
      <c r="E75" s="3"/>
      <c r="F75" s="3"/>
      <c r="G75" s="3"/>
      <c r="H75" s="3"/>
      <c r="I75" s="3"/>
    </row>
    <row r="76" spans="1:9">
      <c r="A76" s="333"/>
      <c r="B76" s="3"/>
      <c r="C76" s="3"/>
      <c r="D76" s="3"/>
      <c r="E76" s="3"/>
      <c r="F76" s="3"/>
      <c r="G76" s="3"/>
      <c r="H76" s="3"/>
      <c r="I76" s="3"/>
    </row>
    <row r="77" spans="1:9">
      <c r="A77" s="333"/>
      <c r="B77" s="3"/>
      <c r="C77" s="3"/>
      <c r="D77" s="3"/>
      <c r="E77" s="3"/>
      <c r="F77" s="3"/>
      <c r="G77" s="3"/>
      <c r="H77" s="3"/>
      <c r="I77" s="3"/>
    </row>
    <row r="78" spans="1:9">
      <c r="A78" s="333"/>
      <c r="B78" s="3"/>
      <c r="C78" s="3"/>
      <c r="D78" s="3"/>
      <c r="E78" s="3"/>
      <c r="F78" s="3"/>
      <c r="G78" s="3"/>
      <c r="H78" s="3"/>
      <c r="I78" s="3"/>
    </row>
    <row r="79" spans="1:9">
      <c r="A79" s="333"/>
      <c r="B79" s="3"/>
      <c r="C79" s="3"/>
      <c r="D79" s="3"/>
      <c r="E79" s="3"/>
      <c r="F79" s="3"/>
      <c r="G79" s="3"/>
      <c r="H79" s="3"/>
      <c r="I79" s="3"/>
    </row>
    <row r="80" spans="1:9">
      <c r="A80" s="333"/>
      <c r="B80" s="3"/>
      <c r="C80" s="3"/>
      <c r="D80" s="3"/>
      <c r="E80" s="3"/>
      <c r="F80" s="3"/>
      <c r="G80" s="3"/>
      <c r="H80" s="3"/>
      <c r="I80" s="3"/>
    </row>
    <row r="81" spans="1:9">
      <c r="A81" s="333"/>
      <c r="B81" s="3"/>
      <c r="C81" s="3"/>
      <c r="D81" s="3"/>
      <c r="E81" s="3"/>
      <c r="F81" s="3"/>
      <c r="G81" s="3"/>
      <c r="H81" s="3"/>
      <c r="I81" s="3"/>
    </row>
    <row r="82" spans="1:9">
      <c r="A82" s="333"/>
      <c r="B82" s="3"/>
      <c r="C82" s="3"/>
      <c r="D82" s="3"/>
      <c r="E82" s="3"/>
      <c r="F82" s="3"/>
      <c r="G82" s="3"/>
      <c r="H82" s="3"/>
      <c r="I82" s="3"/>
    </row>
    <row r="83" spans="1:9">
      <c r="A83" s="333"/>
      <c r="B83" s="3"/>
      <c r="C83" s="3"/>
      <c r="D83" s="3"/>
      <c r="E83" s="3"/>
      <c r="F83" s="3"/>
      <c r="G83" s="3"/>
      <c r="H83" s="3"/>
      <c r="I83" s="3"/>
    </row>
    <row r="84" spans="1:9">
      <c r="A84" s="333"/>
      <c r="B84" s="3"/>
      <c r="C84" s="3"/>
      <c r="D84" s="3"/>
      <c r="E84" s="3"/>
      <c r="F84" s="3"/>
      <c r="G84" s="3"/>
      <c r="H84" s="3"/>
      <c r="I84" s="3"/>
    </row>
    <row r="85" spans="1:9">
      <c r="A85" s="333"/>
      <c r="B85" s="3"/>
      <c r="C85" s="3"/>
      <c r="D85" s="3"/>
      <c r="E85" s="3"/>
      <c r="F85" s="3"/>
      <c r="G85" s="3"/>
      <c r="H85" s="3"/>
      <c r="I85" s="3"/>
    </row>
    <row r="86" spans="1:9">
      <c r="A86" s="333"/>
      <c r="B86" s="3"/>
      <c r="C86" s="3"/>
      <c r="D86" s="3"/>
      <c r="E86" s="3"/>
      <c r="F86" s="3"/>
      <c r="G86" s="3"/>
      <c r="H86" s="3"/>
      <c r="I86" s="3"/>
    </row>
    <row r="87" spans="1:9">
      <c r="A87" s="333"/>
      <c r="B87" s="3"/>
      <c r="C87" s="3"/>
      <c r="D87" s="3"/>
      <c r="E87" s="3"/>
      <c r="F87" s="3"/>
      <c r="G87" s="3"/>
      <c r="H87" s="3"/>
      <c r="I87" s="3"/>
    </row>
    <row r="88" spans="1:9">
      <c r="A88" s="333"/>
      <c r="B88" s="3"/>
      <c r="C88" s="3"/>
      <c r="D88" s="3"/>
      <c r="E88" s="3"/>
      <c r="F88" s="3"/>
      <c r="G88" s="3"/>
      <c r="H88" s="3"/>
      <c r="I88" s="3"/>
    </row>
    <row r="89" spans="1:9">
      <c r="A89" s="333"/>
      <c r="B89" s="3"/>
      <c r="C89" s="3"/>
      <c r="D89" s="3"/>
      <c r="E89" s="3"/>
      <c r="F89" s="3"/>
      <c r="G89" s="3"/>
      <c r="H89" s="3"/>
      <c r="I89" s="3"/>
    </row>
    <row r="90" spans="1:9">
      <c r="A90" s="333"/>
      <c r="B90" s="3"/>
      <c r="C90" s="333"/>
      <c r="D90" s="333"/>
      <c r="E90" s="333"/>
      <c r="F90" s="333"/>
      <c r="G90" s="333"/>
      <c r="H90" s="333"/>
      <c r="I90" s="333"/>
    </row>
    <row r="91" spans="1:9">
      <c r="A91" s="333"/>
      <c r="B91" s="3"/>
      <c r="C91" s="333"/>
      <c r="D91" s="333"/>
      <c r="E91" s="333"/>
      <c r="F91" s="333"/>
      <c r="G91" s="333"/>
      <c r="H91" s="333"/>
      <c r="I91" s="333"/>
    </row>
    <row r="92" spans="1:9">
      <c r="A92" s="333"/>
      <c r="B92" s="3"/>
      <c r="C92" s="333"/>
      <c r="D92" s="333"/>
      <c r="E92" s="333"/>
      <c r="F92" s="333"/>
      <c r="G92" s="333"/>
      <c r="H92" s="333"/>
      <c r="I92" s="333"/>
    </row>
    <row r="93" spans="1:9">
      <c r="A93" s="333"/>
      <c r="B93" s="3"/>
      <c r="C93" s="333"/>
      <c r="D93" s="333"/>
      <c r="E93" s="333"/>
      <c r="F93" s="333"/>
      <c r="G93" s="333"/>
      <c r="H93" s="333"/>
      <c r="I93" s="333"/>
    </row>
    <row r="94" spans="1:9">
      <c r="A94" s="333"/>
      <c r="B94" s="3"/>
      <c r="C94" s="333"/>
      <c r="D94" s="333"/>
      <c r="E94" s="333"/>
      <c r="F94" s="333"/>
      <c r="G94" s="333"/>
      <c r="H94" s="333"/>
      <c r="I94" s="333"/>
    </row>
    <row r="95" spans="1:9">
      <c r="A95" s="333"/>
      <c r="B95" s="3"/>
      <c r="C95" s="333"/>
      <c r="D95" s="333"/>
      <c r="E95" s="333"/>
      <c r="F95" s="333"/>
      <c r="G95" s="333"/>
      <c r="H95" s="333"/>
      <c r="I95" s="333"/>
    </row>
    <row r="96" spans="1:9">
      <c r="A96" s="333"/>
      <c r="B96" s="3"/>
      <c r="C96" s="333"/>
      <c r="D96" s="333"/>
      <c r="E96" s="333"/>
      <c r="F96" s="333"/>
      <c r="G96" s="333"/>
      <c r="H96" s="333"/>
      <c r="I96" s="333"/>
    </row>
    <row r="97" spans="1:9">
      <c r="A97" s="333"/>
      <c r="B97" s="3"/>
      <c r="C97" s="333"/>
      <c r="D97" s="333"/>
      <c r="E97" s="333"/>
      <c r="F97" s="333"/>
      <c r="G97" s="333"/>
      <c r="H97" s="333"/>
      <c r="I97" s="333"/>
    </row>
    <row r="98" spans="1:9">
      <c r="A98" s="333"/>
      <c r="B98" s="3"/>
      <c r="C98" s="333"/>
      <c r="D98" s="333"/>
      <c r="E98" s="333"/>
      <c r="F98" s="333"/>
      <c r="G98" s="333"/>
      <c r="H98" s="333"/>
      <c r="I98" s="333"/>
    </row>
    <row r="99" spans="1:9">
      <c r="A99" s="333"/>
      <c r="B99" s="3"/>
      <c r="C99" s="333"/>
      <c r="D99" s="333"/>
      <c r="E99" s="333"/>
      <c r="F99" s="333"/>
      <c r="G99" s="333"/>
      <c r="H99" s="333"/>
      <c r="I99" s="333"/>
    </row>
    <row r="100" spans="1:9">
      <c r="A100" s="333"/>
      <c r="B100" s="3"/>
      <c r="C100" s="333"/>
      <c r="D100" s="333"/>
      <c r="E100" s="333"/>
      <c r="F100" s="333"/>
      <c r="G100" s="333"/>
      <c r="H100" s="333"/>
      <c r="I100" s="333"/>
    </row>
    <row r="101" spans="1:9">
      <c r="A101" s="333"/>
      <c r="B101" s="3"/>
      <c r="C101" s="333"/>
      <c r="D101" s="333"/>
      <c r="E101" s="333"/>
      <c r="F101" s="333"/>
      <c r="G101" s="333"/>
      <c r="H101" s="333"/>
      <c r="I101" s="333"/>
    </row>
    <row r="102" spans="1:9">
      <c r="A102" s="333"/>
      <c r="B102" s="3"/>
      <c r="C102" s="333"/>
      <c r="D102" s="333"/>
      <c r="E102" s="333"/>
      <c r="F102" s="333"/>
      <c r="G102" s="333"/>
      <c r="H102" s="333"/>
      <c r="I102" s="333"/>
    </row>
    <row r="103" spans="1:9">
      <c r="A103" s="333"/>
      <c r="B103" s="3"/>
      <c r="C103" s="333"/>
      <c r="D103" s="333"/>
      <c r="E103" s="333"/>
      <c r="F103" s="333"/>
      <c r="G103" s="333"/>
      <c r="H103" s="333"/>
      <c r="I103" s="333"/>
    </row>
    <row r="104" spans="1:9">
      <c r="A104" s="333"/>
      <c r="B104" s="3"/>
      <c r="C104" s="333"/>
      <c r="D104" s="333"/>
      <c r="E104" s="333"/>
      <c r="F104" s="333"/>
      <c r="G104" s="333"/>
      <c r="H104" s="333"/>
      <c r="I104" s="333"/>
    </row>
    <row r="105" spans="1:9">
      <c r="A105" s="333"/>
      <c r="B105" s="3"/>
      <c r="C105" s="333"/>
      <c r="D105" s="333"/>
      <c r="E105" s="333"/>
      <c r="F105" s="333"/>
      <c r="G105" s="333"/>
      <c r="H105" s="333"/>
      <c r="I105" s="333"/>
    </row>
    <row r="106" spans="1:9">
      <c r="A106" s="333"/>
      <c r="B106" s="3"/>
      <c r="C106" s="333"/>
      <c r="D106" s="333"/>
      <c r="E106" s="333"/>
      <c r="F106" s="333"/>
      <c r="G106" s="333"/>
      <c r="H106" s="333"/>
      <c r="I106" s="333"/>
    </row>
    <row r="107" spans="1:9">
      <c r="A107" s="333"/>
      <c r="B107" s="3"/>
      <c r="C107" s="333"/>
      <c r="D107" s="333"/>
      <c r="E107" s="333"/>
      <c r="F107" s="333"/>
      <c r="G107" s="333"/>
      <c r="H107" s="333"/>
      <c r="I107" s="333"/>
    </row>
    <row r="108" spans="1:9">
      <c r="A108" s="333"/>
      <c r="B108" s="3"/>
      <c r="C108" s="333"/>
      <c r="D108" s="333"/>
      <c r="E108" s="333"/>
      <c r="F108" s="333"/>
      <c r="G108" s="333"/>
      <c r="H108" s="333"/>
      <c r="I108" s="333"/>
    </row>
    <row r="109" spans="1:9">
      <c r="A109" s="333"/>
      <c r="B109" s="3"/>
      <c r="C109" s="333"/>
      <c r="D109" s="333"/>
      <c r="E109" s="333"/>
      <c r="F109" s="333"/>
      <c r="G109" s="333"/>
      <c r="H109" s="333"/>
      <c r="I109" s="333"/>
    </row>
    <row r="110" spans="1:9">
      <c r="A110" s="333"/>
      <c r="B110" s="3"/>
      <c r="C110" s="333"/>
      <c r="D110" s="333"/>
      <c r="E110" s="333"/>
      <c r="F110" s="333"/>
      <c r="G110" s="333"/>
      <c r="H110" s="333"/>
      <c r="I110" s="333"/>
    </row>
    <row r="111" spans="1:9">
      <c r="A111" s="333"/>
      <c r="B111" s="3"/>
      <c r="C111" s="333"/>
      <c r="D111" s="333"/>
      <c r="E111" s="333"/>
      <c r="F111" s="333"/>
      <c r="G111" s="333"/>
      <c r="H111" s="333"/>
      <c r="I111" s="333"/>
    </row>
    <row r="112" spans="1:9">
      <c r="A112" s="333"/>
      <c r="B112" s="3"/>
      <c r="C112" s="333"/>
      <c r="D112" s="333"/>
      <c r="E112" s="333"/>
      <c r="F112" s="333"/>
      <c r="G112" s="333"/>
      <c r="H112" s="333"/>
      <c r="I112" s="333"/>
    </row>
    <row r="113" spans="1:9">
      <c r="A113" s="333"/>
      <c r="B113" s="3"/>
      <c r="C113" s="333"/>
      <c r="D113" s="333"/>
      <c r="E113" s="333"/>
      <c r="F113" s="333"/>
      <c r="G113" s="333"/>
      <c r="H113" s="333"/>
      <c r="I113" s="333"/>
    </row>
    <row r="114" spans="1:9">
      <c r="A114" s="333"/>
      <c r="B114" s="3"/>
      <c r="C114" s="333"/>
      <c r="D114" s="333"/>
      <c r="E114" s="333"/>
      <c r="F114" s="333"/>
      <c r="G114" s="333"/>
      <c r="H114" s="333"/>
      <c r="I114" s="333"/>
    </row>
    <row r="115" spans="1:9">
      <c r="A115" s="333"/>
      <c r="B115" s="3"/>
      <c r="C115" s="333"/>
      <c r="D115" s="333"/>
      <c r="E115" s="333"/>
      <c r="F115" s="333"/>
      <c r="G115" s="333"/>
      <c r="H115" s="333"/>
      <c r="I115" s="333"/>
    </row>
    <row r="116" spans="1:9">
      <c r="A116" s="333"/>
      <c r="B116" s="3"/>
      <c r="C116" s="333"/>
      <c r="D116" s="333"/>
      <c r="E116" s="333"/>
      <c r="F116" s="333"/>
      <c r="G116" s="333"/>
      <c r="H116" s="333"/>
      <c r="I116" s="333"/>
    </row>
    <row r="117" spans="1:9">
      <c r="A117" s="333"/>
      <c r="B117" s="3"/>
      <c r="C117" s="333"/>
      <c r="D117" s="333"/>
      <c r="E117" s="333"/>
      <c r="F117" s="333"/>
      <c r="G117" s="333"/>
      <c r="H117" s="333"/>
      <c r="I117" s="333"/>
    </row>
    <row r="118" spans="1:9">
      <c r="A118" s="333"/>
      <c r="B118" s="3"/>
      <c r="C118" s="333"/>
      <c r="D118" s="333"/>
      <c r="E118" s="333"/>
      <c r="F118" s="333"/>
      <c r="G118" s="333"/>
      <c r="H118" s="333"/>
      <c r="I118" s="333"/>
    </row>
    <row r="119" spans="1:9">
      <c r="A119" s="333"/>
      <c r="B119" s="3"/>
      <c r="C119" s="333"/>
      <c r="D119" s="333"/>
      <c r="E119" s="333"/>
      <c r="F119" s="333"/>
      <c r="G119" s="333"/>
      <c r="H119" s="333"/>
      <c r="I119" s="333"/>
    </row>
    <row r="120" spans="1:9">
      <c r="A120" s="333"/>
      <c r="B120" s="3"/>
      <c r="C120" s="333"/>
      <c r="D120" s="333"/>
      <c r="E120" s="333"/>
      <c r="F120" s="333"/>
      <c r="G120" s="333"/>
      <c r="H120" s="333"/>
      <c r="I120" s="333"/>
    </row>
    <row r="121" spans="1:9">
      <c r="A121" s="333"/>
      <c r="B121" s="3"/>
      <c r="C121" s="333"/>
      <c r="D121" s="333"/>
      <c r="E121" s="333"/>
      <c r="F121" s="333"/>
      <c r="G121" s="333"/>
      <c r="H121" s="333"/>
      <c r="I121" s="333"/>
    </row>
    <row r="122" spans="1:9">
      <c r="A122" s="333"/>
      <c r="B122" s="3"/>
      <c r="C122" s="333"/>
      <c r="D122" s="333"/>
      <c r="E122" s="333"/>
      <c r="F122" s="333"/>
      <c r="G122" s="333"/>
      <c r="H122" s="333"/>
      <c r="I122" s="333"/>
    </row>
    <row r="123" spans="1:9">
      <c r="A123" s="333"/>
      <c r="B123" s="3"/>
      <c r="C123" s="333"/>
      <c r="D123" s="333"/>
      <c r="E123" s="333"/>
      <c r="F123" s="333"/>
      <c r="G123" s="333"/>
      <c r="H123" s="333"/>
      <c r="I123" s="333"/>
    </row>
    <row r="124" spans="1:9">
      <c r="A124" s="333"/>
      <c r="B124" s="3"/>
      <c r="C124" s="333"/>
      <c r="D124" s="333"/>
      <c r="E124" s="333"/>
      <c r="F124" s="333"/>
      <c r="G124" s="333"/>
      <c r="H124" s="333"/>
      <c r="I124" s="333"/>
    </row>
    <row r="125" spans="1:9">
      <c r="A125" s="333"/>
      <c r="B125" s="3"/>
      <c r="C125" s="333"/>
      <c r="D125" s="333"/>
      <c r="E125" s="333"/>
      <c r="F125" s="333"/>
      <c r="G125" s="333"/>
      <c r="H125" s="333"/>
      <c r="I125" s="333"/>
    </row>
    <row r="126" spans="1:9">
      <c r="A126" s="333"/>
      <c r="B126" s="3"/>
      <c r="C126" s="333"/>
      <c r="D126" s="333"/>
      <c r="E126" s="333"/>
      <c r="F126" s="333"/>
      <c r="G126" s="333"/>
      <c r="H126" s="333"/>
      <c r="I126" s="333"/>
    </row>
    <row r="127" spans="1:9">
      <c r="A127" s="333"/>
      <c r="B127" s="3"/>
      <c r="C127" s="333"/>
      <c r="D127" s="333"/>
      <c r="E127" s="333"/>
      <c r="F127" s="333"/>
      <c r="G127" s="333"/>
      <c r="H127" s="333"/>
      <c r="I127" s="333"/>
    </row>
    <row r="128" spans="1:9">
      <c r="A128" s="333"/>
      <c r="B128" s="3"/>
      <c r="C128" s="333"/>
      <c r="D128" s="333"/>
      <c r="E128" s="333"/>
      <c r="F128" s="333"/>
      <c r="G128" s="333"/>
      <c r="H128" s="333"/>
      <c r="I128" s="333"/>
    </row>
  </sheetData>
  <sheetProtection algorithmName="SHA-512" hashValue="SnhN8MAtY7QGiZGzZaxD4qRCqsMXoJd5jQ3B1xOYUfRw2WD8bOUUDANdGbSvrIs4u4keAVeEhTNZoLOVGnKlfQ==" saltValue="iS0f7TuAKfhw+rURoBc9lg==" spinCount="100000" sheet="1" objects="1" scenarios="1"/>
  <conditionalFormatting sqref="B53:B54">
    <cfRule type="expression" dxfId="0" priority="3">
      <formula>$E$5="y"</formula>
    </cfRule>
  </conditionalFormatting>
  <dataValidations count="1">
    <dataValidation allowBlank="1" showInputMessage="1" showErrorMessage="1" promptTitle="Controls" sqref="C54:D54" xr:uid="{00000000-0002-0000-1D00-000000000000}"/>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E24"/>
  <sheetViews>
    <sheetView workbookViewId="0">
      <selection activeCell="D10" sqref="D10"/>
    </sheetView>
  </sheetViews>
  <sheetFormatPr defaultColWidth="8.81640625" defaultRowHeight="12.5"/>
  <cols>
    <col min="1" max="1" width="40" style="9" customWidth="1"/>
    <col min="2" max="2" width="40.453125" style="9" customWidth="1"/>
  </cols>
  <sheetData>
    <row r="1" spans="1:5">
      <c r="A1" s="448"/>
      <c r="B1" s="448"/>
    </row>
    <row r="2" spans="1:5">
      <c r="A2" s="449" t="s">
        <v>449</v>
      </c>
      <c r="B2" s="449" t="s">
        <v>455</v>
      </c>
    </row>
    <row r="3" spans="1:5">
      <c r="A3" s="450" t="s">
        <v>454</v>
      </c>
      <c r="B3" s="717" t="s">
        <v>860</v>
      </c>
    </row>
    <row r="4" spans="1:5">
      <c r="A4" s="450" t="s">
        <v>445</v>
      </c>
      <c r="B4" s="717" t="s">
        <v>861</v>
      </c>
    </row>
    <row r="5" spans="1:5">
      <c r="A5" s="450" t="s">
        <v>450</v>
      </c>
      <c r="B5" s="373" t="s">
        <v>450</v>
      </c>
    </row>
    <row r="6" spans="1:5">
      <c r="A6" s="450" t="s">
        <v>43</v>
      </c>
      <c r="B6" s="373" t="s">
        <v>43</v>
      </c>
    </row>
    <row r="7" spans="1:5">
      <c r="A7" s="450" t="s">
        <v>361</v>
      </c>
      <c r="B7" s="449" t="str">
        <f>yes&amp;"/"&amp;no&amp;"/"&amp;que</f>
        <v>O/N/?</v>
      </c>
    </row>
    <row r="8" spans="1:5">
      <c r="A8" s="450" t="s">
        <v>456</v>
      </c>
      <c r="B8" s="449" t="str">
        <f>yes&amp;"/"&amp;no</f>
        <v>O/N</v>
      </c>
    </row>
    <row r="9" spans="1:5">
      <c r="A9" s="449"/>
      <c r="B9" s="449"/>
    </row>
    <row r="10" spans="1:5" ht="50">
      <c r="A10" s="450" t="s">
        <v>706</v>
      </c>
      <c r="B10" s="717" t="s">
        <v>862</v>
      </c>
      <c r="E10" s="8"/>
    </row>
    <row r="11" spans="1:5" ht="50">
      <c r="A11" s="450" t="s">
        <v>707</v>
      </c>
      <c r="B11" s="717" t="s">
        <v>863</v>
      </c>
      <c r="E11" s="8"/>
    </row>
    <row r="12" spans="1:5" ht="25">
      <c r="A12" s="716" t="s">
        <v>809</v>
      </c>
      <c r="B12" s="717" t="s">
        <v>864</v>
      </c>
    </row>
    <row r="13" spans="1:5" ht="37.5">
      <c r="A13" s="716" t="s">
        <v>807</v>
      </c>
      <c r="B13" s="781" t="s">
        <v>1152</v>
      </c>
      <c r="E13" s="8"/>
    </row>
    <row r="14" spans="1:5" ht="37.5">
      <c r="A14" s="716" t="s">
        <v>808</v>
      </c>
      <c r="B14" s="781" t="s">
        <v>1153</v>
      </c>
      <c r="E14" s="8"/>
    </row>
    <row r="15" spans="1:5" ht="63" customHeight="1">
      <c r="A15" s="716" t="s">
        <v>902</v>
      </c>
      <c r="B15" s="781" t="s">
        <v>1119</v>
      </c>
      <c r="E15" s="8"/>
    </row>
    <row r="16" spans="1:5">
      <c r="A16" s="716" t="s">
        <v>810</v>
      </c>
      <c r="B16" s="717" t="s">
        <v>865</v>
      </c>
    </row>
    <row r="18" spans="1:2" ht="13">
      <c r="A18" s="12" t="s">
        <v>459</v>
      </c>
    </row>
    <row r="19" spans="1:2">
      <c r="A19" s="53" t="s">
        <v>457</v>
      </c>
      <c r="B19" s="9" t="s">
        <v>451</v>
      </c>
    </row>
    <row r="20" spans="1:2">
      <c r="A20" s="53" t="s">
        <v>458</v>
      </c>
      <c r="B20" s="9" t="s">
        <v>452</v>
      </c>
    </row>
    <row r="22" spans="1:2" ht="25.5" customHeight="1">
      <c r="A22" s="841" t="s">
        <v>453</v>
      </c>
      <c r="B22" s="841"/>
    </row>
    <row r="24" spans="1:2" ht="50.5">
      <c r="A24" s="458" t="s">
        <v>466</v>
      </c>
    </row>
  </sheetData>
  <sheetProtection algorithmName="SHA-512" hashValue="AVKAb+YEiuihGVqEdU4V9n+sxHYdEkKnszy1gUKOIqzGgTceWzmU6jrZKY/Ahmthu9EhlhxTtb9SpLCulJK/6Q==" saltValue="7CgkJ9mVboHDMDHqLg0qDg==" spinCount="100000" sheet="1" objects="1" scenarios="1"/>
  <mergeCells count="1">
    <mergeCell ref="A22:B22"/>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AB12"/>
  <sheetViews>
    <sheetView zoomScale="70" zoomScaleNormal="70" workbookViewId="0">
      <selection activeCell="K9" sqref="K9"/>
    </sheetView>
  </sheetViews>
  <sheetFormatPr defaultColWidth="8.81640625" defaultRowHeight="12.5"/>
  <cols>
    <col min="1" max="1" width="3" customWidth="1"/>
    <col min="2" max="2" width="6.1796875" customWidth="1"/>
    <col min="3" max="3" width="23.36328125" customWidth="1"/>
    <col min="4" max="4" width="8.453125" customWidth="1"/>
    <col min="5" max="5" width="10.453125" customWidth="1"/>
    <col min="6" max="6" width="12" customWidth="1"/>
    <col min="7" max="7" width="8.36328125" customWidth="1"/>
    <col min="8" max="8" width="13.453125" customWidth="1"/>
    <col min="9" max="9" width="18.453125" customWidth="1"/>
    <col min="10" max="10" width="19" customWidth="1"/>
    <col min="11" max="11" width="11.36328125" customWidth="1"/>
    <col min="12" max="12" width="11.453125" customWidth="1"/>
    <col min="13" max="13" width="15" style="13" customWidth="1"/>
    <col min="15" max="15" width="10.81640625" customWidth="1"/>
    <col min="16" max="16" width="4.453125" customWidth="1"/>
    <col min="17" max="17" width="5.36328125" customWidth="1"/>
    <col min="18" max="18" width="5" customWidth="1"/>
    <col min="19" max="19" width="8.453125" customWidth="1"/>
    <col min="21" max="21" width="15.453125" customWidth="1"/>
    <col min="22" max="22" width="12.453125" customWidth="1"/>
    <col min="24" max="24" width="9.6328125" customWidth="1"/>
    <col min="25" max="25" width="11.1796875" customWidth="1"/>
    <col min="26" max="26" width="11.453125" customWidth="1"/>
    <col min="27" max="27" width="17" customWidth="1"/>
    <col min="28" max="28" width="49.81640625" customWidth="1"/>
  </cols>
  <sheetData>
    <row r="1" spans="1:28" ht="18">
      <c r="A1" s="1" t="s">
        <v>34</v>
      </c>
    </row>
    <row r="2" spans="1:28" ht="14">
      <c r="A2" s="54" t="s">
        <v>313</v>
      </c>
    </row>
    <row r="3" spans="1:28" s="5" customFormat="1" ht="13">
      <c r="C3" s="7"/>
      <c r="D3" s="7"/>
      <c r="E3" s="7"/>
      <c r="F3" s="7"/>
      <c r="G3" s="7"/>
      <c r="H3" s="7"/>
      <c r="I3" s="7"/>
      <c r="J3" s="7"/>
      <c r="K3" s="7"/>
      <c r="L3" s="7"/>
      <c r="M3" s="64"/>
      <c r="N3" s="7"/>
      <c r="O3" s="7"/>
      <c r="P3" s="111" t="s">
        <v>55</v>
      </c>
      <c r="Q3" s="111"/>
      <c r="R3" s="111"/>
      <c r="S3" s="111"/>
      <c r="T3" s="111"/>
      <c r="U3" s="111"/>
      <c r="V3" s="191" t="s">
        <v>54</v>
      </c>
      <c r="W3" s="56"/>
      <c r="X3" s="56"/>
      <c r="Y3" s="56"/>
      <c r="Z3" s="56"/>
      <c r="AA3" s="56"/>
      <c r="AB3" s="111"/>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46" t="s">
        <v>280</v>
      </c>
      <c r="N4" s="112" t="s">
        <v>92</v>
      </c>
      <c r="O4" s="143" t="s">
        <v>35</v>
      </c>
      <c r="P4" s="147" t="s">
        <v>38</v>
      </c>
      <c r="Q4" s="147" t="s">
        <v>39</v>
      </c>
      <c r="R4" s="147" t="s">
        <v>40</v>
      </c>
      <c r="S4" s="147" t="s">
        <v>395</v>
      </c>
      <c r="T4" s="148" t="s">
        <v>42</v>
      </c>
      <c r="U4" s="148" t="s">
        <v>228</v>
      </c>
      <c r="V4" s="56" t="s">
        <v>38</v>
      </c>
      <c r="W4" s="56" t="s">
        <v>39</v>
      </c>
      <c r="X4" s="56" t="s">
        <v>40</v>
      </c>
      <c r="Y4" s="56" t="s">
        <v>395</v>
      </c>
      <c r="Z4" s="57" t="s">
        <v>42</v>
      </c>
      <c r="AA4" s="57" t="s">
        <v>228</v>
      </c>
      <c r="AB4" s="111" t="s">
        <v>87</v>
      </c>
    </row>
    <row r="5" spans="1:28" s="129" customFormat="1" ht="39">
      <c r="A5" s="129" t="s">
        <v>310</v>
      </c>
      <c r="C5" s="134" t="s">
        <v>304</v>
      </c>
      <c r="D5" s="111"/>
      <c r="F5" s="128"/>
      <c r="G5" s="76"/>
      <c r="H5" s="128"/>
      <c r="I5" s="253"/>
      <c r="K5" s="113"/>
      <c r="L5" s="128"/>
      <c r="M5" s="135"/>
      <c r="N5" s="253"/>
      <c r="O5" s="128"/>
      <c r="P5" s="127"/>
      <c r="Q5" s="127"/>
      <c r="R5" s="127"/>
      <c r="S5" s="127"/>
      <c r="T5" s="127"/>
      <c r="U5" s="127"/>
      <c r="V5" s="58"/>
      <c r="W5" s="58"/>
      <c r="X5" s="58"/>
      <c r="Y5" s="58"/>
      <c r="Z5" s="58"/>
      <c r="AA5" s="58"/>
      <c r="AB5" s="76"/>
    </row>
    <row r="6" spans="1:28" ht="13">
      <c r="B6" s="3" t="s">
        <v>311</v>
      </c>
      <c r="C6" s="26" t="s">
        <v>305</v>
      </c>
      <c r="D6" s="111"/>
      <c r="E6" s="11" t="s">
        <v>306</v>
      </c>
      <c r="F6" s="3" t="s">
        <v>307</v>
      </c>
      <c r="G6" s="76">
        <v>4</v>
      </c>
      <c r="H6" s="3" t="s">
        <v>307</v>
      </c>
      <c r="I6" s="254">
        <f>'Etape7-Crématoriums-cimetières'!C5</f>
        <v>0</v>
      </c>
      <c r="J6" s="3" t="s">
        <v>308</v>
      </c>
      <c r="K6" s="113">
        <f>G6*I6/1000*('Etape6-Produits-substances Hg'!C11/Countrydata!$D$57)</f>
        <v>0</v>
      </c>
      <c r="L6" s="3" t="s">
        <v>36</v>
      </c>
      <c r="M6" s="33"/>
      <c r="N6" s="253">
        <f>K6</f>
        <v>0</v>
      </c>
      <c r="O6" s="3" t="s">
        <v>36</v>
      </c>
      <c r="P6" s="76">
        <v>1</v>
      </c>
      <c r="Q6" s="76"/>
      <c r="R6" s="76"/>
      <c r="S6" s="277"/>
      <c r="T6" s="76"/>
      <c r="U6" s="76"/>
      <c r="V6" s="114">
        <f t="shared" ref="V6:AA6" si="0">$N6*P6</f>
        <v>0</v>
      </c>
      <c r="W6" s="114">
        <f t="shared" si="0"/>
        <v>0</v>
      </c>
      <c r="X6" s="114">
        <f t="shared" si="0"/>
        <v>0</v>
      </c>
      <c r="Y6" s="244" t="s">
        <v>273</v>
      </c>
      <c r="Z6" s="114">
        <f t="shared" si="0"/>
        <v>0</v>
      </c>
      <c r="AA6" s="114">
        <f t="shared" si="0"/>
        <v>0</v>
      </c>
      <c r="AB6" s="76"/>
    </row>
    <row r="7" spans="1:28" s="55" customFormat="1" ht="13">
      <c r="B7" s="104"/>
      <c r="C7" s="137"/>
      <c r="D7" s="76"/>
      <c r="E7" s="106"/>
      <c r="F7" s="104"/>
      <c r="G7" s="76"/>
      <c r="H7" s="104"/>
      <c r="I7" s="254"/>
      <c r="K7" s="169"/>
      <c r="L7" s="104"/>
      <c r="M7" s="138"/>
      <c r="N7" s="254"/>
      <c r="O7" s="104"/>
      <c r="P7" s="130"/>
      <c r="Q7" s="130"/>
      <c r="R7" s="130"/>
      <c r="S7" s="130"/>
      <c r="T7" s="130"/>
      <c r="U7" s="127"/>
      <c r="V7" s="116"/>
      <c r="W7" s="116"/>
      <c r="X7" s="116"/>
      <c r="Y7" s="116"/>
      <c r="Z7" s="116"/>
      <c r="AA7" s="116"/>
      <c r="AB7" s="76"/>
    </row>
    <row r="8" spans="1:28" ht="13">
      <c r="B8" s="3" t="s">
        <v>312</v>
      </c>
      <c r="C8" s="26" t="s">
        <v>378</v>
      </c>
      <c r="D8" s="111"/>
      <c r="E8" s="11" t="s">
        <v>306</v>
      </c>
      <c r="F8" s="3" t="s">
        <v>307</v>
      </c>
      <c r="G8" s="76">
        <v>4</v>
      </c>
      <c r="H8" s="3" t="s">
        <v>307</v>
      </c>
      <c r="I8" s="254">
        <f>'Etape7-Crématoriums-cimetières'!C6</f>
        <v>0</v>
      </c>
      <c r="J8" s="3" t="s">
        <v>309</v>
      </c>
      <c r="K8" s="113">
        <f>G8*I8/1000*('Etape6-Produits-substances Hg'!C11/Countrydata!$D$57)</f>
        <v>0</v>
      </c>
      <c r="L8" s="3" t="s">
        <v>36</v>
      </c>
      <c r="M8" s="33"/>
      <c r="N8" s="253">
        <f>K8</f>
        <v>0</v>
      </c>
      <c r="O8" s="3" t="s">
        <v>36</v>
      </c>
      <c r="P8" s="76"/>
      <c r="Q8" s="76"/>
      <c r="R8" s="76">
        <v>1</v>
      </c>
      <c r="S8" s="277"/>
      <c r="T8" s="76"/>
      <c r="U8" s="76"/>
      <c r="V8" s="114">
        <f t="shared" ref="V8:AA8" si="1">$N8*P8</f>
        <v>0</v>
      </c>
      <c r="W8" s="114">
        <f t="shared" si="1"/>
        <v>0</v>
      </c>
      <c r="X8" s="114">
        <f t="shared" si="1"/>
        <v>0</v>
      </c>
      <c r="Y8" s="244" t="s">
        <v>273</v>
      </c>
      <c r="Z8" s="114">
        <f t="shared" si="1"/>
        <v>0</v>
      </c>
      <c r="AA8" s="114">
        <f t="shared" si="1"/>
        <v>0</v>
      </c>
      <c r="AB8" s="76"/>
    </row>
    <row r="9" spans="1:28" s="55" customFormat="1">
      <c r="D9" s="76"/>
      <c r="G9" s="76"/>
      <c r="I9" s="253"/>
      <c r="K9" s="113"/>
      <c r="M9" s="162"/>
      <c r="N9" s="253"/>
      <c r="O9" s="104"/>
      <c r="P9" s="76"/>
      <c r="Q9" s="76"/>
      <c r="R9" s="76"/>
      <c r="S9" s="76"/>
      <c r="T9" s="76"/>
      <c r="U9" s="76"/>
      <c r="V9" s="58"/>
      <c r="W9" s="58"/>
      <c r="X9" s="58"/>
      <c r="Y9" s="58"/>
      <c r="Z9" s="58"/>
      <c r="AA9" s="58"/>
      <c r="AB9" s="76"/>
    </row>
    <row r="10" spans="1:28">
      <c r="D10" s="3"/>
      <c r="E10" s="3"/>
      <c r="F10" s="3"/>
      <c r="G10" s="3"/>
      <c r="H10" s="3"/>
      <c r="I10" s="3"/>
      <c r="J10" s="3"/>
      <c r="K10" s="36"/>
      <c r="L10" s="3"/>
      <c r="M10" s="63"/>
      <c r="N10" s="3"/>
      <c r="O10" s="3"/>
      <c r="P10" s="3"/>
      <c r="Q10" s="3"/>
      <c r="R10" s="3"/>
      <c r="S10" s="3"/>
      <c r="T10" s="3"/>
      <c r="U10" s="3"/>
      <c r="V10" s="3"/>
      <c r="W10" s="3"/>
      <c r="X10" s="3"/>
      <c r="Y10" s="3"/>
      <c r="Z10" s="3"/>
      <c r="AA10" s="3"/>
      <c r="AB10" s="3"/>
    </row>
    <row r="11" spans="1:28" ht="13">
      <c r="C11" s="5"/>
      <c r="D11" s="8"/>
    </row>
    <row r="12" spans="1:28">
      <c r="D12" s="6"/>
    </row>
  </sheetData>
  <sheetProtection algorithmName="SHA-512" hashValue="DYj5SmLTunojoXJfZowwMQAbZBj9wCpowjB7x2ROb0Q2woUZCtB6Uqkd7YOvVH3DmOdTL/z8E4RbrGrJPidDdQ==" saltValue="MiyGpbLUyx96nSoN3qby7w==" spinCount="100000"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37"/>
  <sheetViews>
    <sheetView zoomScaleNormal="100" workbookViewId="0">
      <selection activeCell="B32" sqref="B32"/>
    </sheetView>
  </sheetViews>
  <sheetFormatPr defaultColWidth="9.1796875" defaultRowHeight="12.5"/>
  <cols>
    <col min="1" max="1" width="38" style="338" customWidth="1"/>
    <col min="2" max="2" width="10" style="359" customWidth="1"/>
    <col min="3" max="3" width="14.1796875" style="338" customWidth="1"/>
    <col min="4" max="4" width="21.453125" style="338" customWidth="1"/>
    <col min="5" max="5" width="22.6328125" style="338" customWidth="1"/>
    <col min="6" max="6" width="14.81640625" style="338" customWidth="1"/>
    <col min="7" max="7" width="12.36328125" style="338" customWidth="1"/>
    <col min="8" max="8" width="10.6328125" style="338" customWidth="1"/>
    <col min="9" max="9" width="16.81640625" style="338" customWidth="1"/>
    <col min="10" max="10" width="16.453125" style="338" customWidth="1"/>
    <col min="11" max="11" width="14.81640625" style="338" customWidth="1"/>
    <col min="12" max="12" width="15.453125" style="338" customWidth="1"/>
    <col min="13" max="13" width="5.36328125" style="338" customWidth="1"/>
    <col min="14" max="14" width="9.1796875" style="338"/>
    <col min="15" max="15" width="3.36328125" style="338" customWidth="1"/>
    <col min="16" max="16" width="28.81640625" style="338" customWidth="1"/>
    <col min="17" max="17" width="9.1796875" style="338"/>
    <col min="18" max="18" width="0.453125" style="338" customWidth="1"/>
    <col min="19" max="16384" width="9.1796875" style="338"/>
  </cols>
  <sheetData>
    <row r="1" spans="1:16" ht="13">
      <c r="A1" s="355" t="s">
        <v>1135</v>
      </c>
      <c r="B1" s="356"/>
    </row>
    <row r="2" spans="1:16" ht="30" customHeight="1">
      <c r="A2" s="816" t="str">
        <f>IF(ISNA(MATCH("n",O5:O31,0)),"", trans_warning)</f>
        <v/>
      </c>
      <c r="B2" s="817"/>
      <c r="C2" s="817"/>
      <c r="D2" s="817"/>
      <c r="E2" s="817"/>
      <c r="F2" s="817"/>
      <c r="G2" s="817"/>
      <c r="H2" s="817"/>
      <c r="I2" s="817"/>
      <c r="J2" s="817"/>
      <c r="K2" s="817"/>
      <c r="L2" s="817"/>
      <c r="M2" s="818"/>
    </row>
    <row r="3" spans="1:16" s="360" customFormat="1" ht="25.5" customHeight="1">
      <c r="A3" s="744" t="s">
        <v>867</v>
      </c>
      <c r="B3" s="764" t="s">
        <v>868</v>
      </c>
      <c r="C3" s="765" t="s">
        <v>869</v>
      </c>
      <c r="D3" s="744"/>
      <c r="E3" s="746"/>
      <c r="F3" s="762" t="s">
        <v>874</v>
      </c>
      <c r="G3" s="813" t="s">
        <v>875</v>
      </c>
      <c r="H3" s="814"/>
      <c r="I3" s="814"/>
      <c r="J3" s="814"/>
      <c r="K3" s="814"/>
      <c r="L3" s="815"/>
      <c r="M3" s="744"/>
    </row>
    <row r="4" spans="1:16" ht="52">
      <c r="A4" s="742"/>
      <c r="B4" s="743" t="s">
        <v>871</v>
      </c>
      <c r="C4" s="765" t="s">
        <v>872</v>
      </c>
      <c r="D4" s="765" t="s">
        <v>873</v>
      </c>
      <c r="E4" s="748" t="s">
        <v>799</v>
      </c>
      <c r="F4" s="765" t="s">
        <v>876</v>
      </c>
      <c r="G4" s="749" t="s">
        <v>38</v>
      </c>
      <c r="H4" s="749" t="s">
        <v>877</v>
      </c>
      <c r="I4" s="749" t="s">
        <v>878</v>
      </c>
      <c r="J4" s="765" t="s">
        <v>879</v>
      </c>
      <c r="K4" s="765" t="s">
        <v>880</v>
      </c>
      <c r="L4" s="765" t="s">
        <v>881</v>
      </c>
      <c r="M4" s="744" t="s">
        <v>359</v>
      </c>
      <c r="N4" s="322" t="s">
        <v>1151</v>
      </c>
    </row>
    <row r="5" spans="1:16" ht="13.5" thickBot="1">
      <c r="A5" s="265" t="s">
        <v>903</v>
      </c>
      <c r="B5" s="476"/>
      <c r="C5" s="267"/>
      <c r="D5" s="272"/>
      <c r="E5" s="272"/>
      <c r="F5" s="350"/>
      <c r="G5" s="351"/>
      <c r="H5" s="351"/>
      <c r="I5" s="351"/>
      <c r="J5" s="352"/>
      <c r="K5" s="352"/>
      <c r="L5" s="352"/>
      <c r="M5" s="263"/>
      <c r="N5" s="459"/>
    </row>
    <row r="6" spans="1:16" ht="25.5" thickBot="1">
      <c r="A6" s="270" t="s">
        <v>904</v>
      </c>
      <c r="B6" s="645"/>
      <c r="C6" s="377"/>
      <c r="D6" s="344" t="s">
        <v>1136</v>
      </c>
      <c r="E6" s="344"/>
      <c r="F6" s="456" t="str">
        <f>IF(OR($B6=yes,$B6=yes),'5-2 Prim metal'!K6, IF(OR($B6=no,$B6=no),"-", IF($B6=que,que, pres)))</f>
        <v>Présent ?</v>
      </c>
      <c r="G6" s="279" t="str">
        <f>IF(OR($B6=yes,$B6=yes),'5-2 Prim metal'!V6, IF(OR($B6=no,$B6=no),"-", IF($B6=que,que, pres)))</f>
        <v>Présent ?</v>
      </c>
      <c r="H6" s="279" t="str">
        <f>IF(OR($B6=yes,$B6=yes),'5-2 Prim metal'!W6, IF(OR($B6=no,$B6=no),"-", IF($B6=que,que, pres)))</f>
        <v>Présent ?</v>
      </c>
      <c r="I6" s="279" t="str">
        <f>IF(OR($B6=yes,$B6=yes),'5-2 Prim metal'!X6, IF(OR($B6=no,$B6=no),"-", IF($B6=que,que, pres)))</f>
        <v>Présent ?</v>
      </c>
      <c r="J6" s="279" t="str">
        <f>IF(OR($B6=yes,$B6=yes),'5-2 Prim metal'!Y6, IF(OR($B6=no,$B6=no),"-", IF($B6=que,que, pres)))</f>
        <v>Présent ?</v>
      </c>
      <c r="K6" s="279" t="str">
        <f>IF(OR($B6=yes,$B6=yes),'5-2 Prim metal'!Z6, IF(OR($B6=no,$B6=no),"-", IF($B6=que,que, pres)))</f>
        <v>Présent ?</v>
      </c>
      <c r="L6" s="279" t="str">
        <f>IF(OR($B6=yes,$B6=yes),'5-2 Prim metal'!AA6, IF(OR($B6=no,$B6=no),"-", IF($B6=que,que, pres)))</f>
        <v>Présent ?</v>
      </c>
      <c r="M6" s="273" t="s">
        <v>157</v>
      </c>
      <c r="N6" s="459"/>
    </row>
    <row r="7" spans="1:16" ht="13" thickBot="1">
      <c r="A7" s="270" t="s">
        <v>905</v>
      </c>
      <c r="B7" s="647"/>
      <c r="C7" s="396"/>
      <c r="D7" s="773" t="s">
        <v>920</v>
      </c>
      <c r="E7" s="695"/>
      <c r="F7" s="456" t="str">
        <f>IF(OR($B7=yes,$B7=yes),'5-2 Prim metal'!K16, IF(OR($B7=no,$B7=no),"-", IF($B7=que,que, pres)))</f>
        <v>Présent ?</v>
      </c>
      <c r="G7" s="279" t="str">
        <f>IF(OR($B7=yes,$B7=yes),SUM('5-2 Prim metal'!V16:V19), IF(OR($B7=no,$B7=no),"-", IF($B7=que,que, pres)))</f>
        <v>Présent ?</v>
      </c>
      <c r="H7" s="279" t="str">
        <f>IF(OR($B7=yes,$B7=yes),SUM('5-2 Prim metal'!W16:W19), IF(OR($B7=no,$B7=no),"-", IF($B7=que,que, pres)))</f>
        <v>Présent ?</v>
      </c>
      <c r="I7" s="279" t="str">
        <f>IF(OR($B7=yes,$B7=yes),SUM('5-2 Prim metal'!X16:X19), IF(OR($B7=no,$B7=no),"-", IF($B7=que,que, pres)))</f>
        <v>Présent ?</v>
      </c>
      <c r="J7" s="279" t="str">
        <f>IF(OR($B7=yes,$B7=yes),SUM('5-2 Prim metal'!Y16:Y19), IF(OR($B7=no,$B7=no),"-", IF($B7=que,que, pres)))</f>
        <v>Présent ?</v>
      </c>
      <c r="K7" s="279" t="str">
        <f>IF(OR($B7=yes,$B7=yes),SUM('5-2 Prim metal'!Z16:Z19), IF(OR($B7=no,$B7=no),"-", IF($B7=que,que, pres)))</f>
        <v>Présent ?</v>
      </c>
      <c r="L7" s="279" t="str">
        <f>IF(OR($B7=yes,$B7=yes),SUM('5-2 Prim metal'!AA16:AA19), IF(OR($B7=no,$B7=no),"-", IF($B7=que,que, pres)))</f>
        <v>Présent ?</v>
      </c>
      <c r="M7" s="273" t="s">
        <v>362</v>
      </c>
      <c r="N7" s="459"/>
    </row>
    <row r="8" spans="1:16" ht="87.5">
      <c r="A8" s="270"/>
      <c r="B8" s="736"/>
      <c r="C8" s="740"/>
      <c r="D8" s="273"/>
      <c r="E8" s="703" t="s">
        <v>1120</v>
      </c>
      <c r="F8" s="681"/>
      <c r="G8" s="681" t="s">
        <v>1137</v>
      </c>
      <c r="H8" s="681" t="s">
        <v>1138</v>
      </c>
      <c r="I8" s="681" t="s">
        <v>1139</v>
      </c>
      <c r="J8" s="681" t="s">
        <v>1140</v>
      </c>
      <c r="K8" s="279"/>
      <c r="L8" s="279"/>
      <c r="M8" s="273"/>
      <c r="N8" s="459"/>
    </row>
    <row r="9" spans="1:16" ht="38" thickBot="1">
      <c r="A9" s="270"/>
      <c r="B9" s="737"/>
      <c r="C9" s="737"/>
      <c r="D9" s="682" t="s">
        <v>1129</v>
      </c>
      <c r="E9" s="681" t="s">
        <v>1121</v>
      </c>
      <c r="F9" s="681"/>
      <c r="G9" s="684">
        <f>100-H9-I9-J9-K9-L9</f>
        <v>0</v>
      </c>
      <c r="H9" s="689"/>
      <c r="I9" s="689">
        <v>100</v>
      </c>
      <c r="J9" s="689"/>
      <c r="K9" s="279"/>
      <c r="L9" s="279"/>
      <c r="M9" s="729" t="s">
        <v>1224</v>
      </c>
      <c r="N9" s="460"/>
      <c r="P9" s="730"/>
    </row>
    <row r="10" spans="1:16" ht="13" thickBot="1">
      <c r="A10" s="621" t="s">
        <v>906</v>
      </c>
      <c r="B10" s="738"/>
      <c r="C10" s="399"/>
      <c r="D10" s="767" t="s">
        <v>920</v>
      </c>
      <c r="E10" s="695"/>
      <c r="F10" s="456" t="str">
        <f>IF(OR($B10=yes,$B10=yes),'5-2 Prim metal'!K23, IF(OR($B10=no,$B10=no),"-", IF($B10=que,que, pres)))</f>
        <v>Présent ?</v>
      </c>
      <c r="G10" s="279" t="str">
        <f>IF(OR($B10=yes,$B10=yes),SUM('5-2 Prim metal'!V23:V26), IF(OR($B10=no,$B10=no),"-", IF($B10=que,que, pres)))</f>
        <v>Présent ?</v>
      </c>
      <c r="H10" s="279" t="str">
        <f>IF(OR($B10=yes,$B10=yes),SUM('5-2 Prim metal'!W23:W26), IF(OR($B10=no,$B10=no),"-", IF($B10=que,que, pres)))</f>
        <v>Présent ?</v>
      </c>
      <c r="I10" s="279" t="str">
        <f>IF(OR($B10=yes,$B10=yes),SUM('5-2 Prim metal'!X23:X26), IF(OR($B10=no,$B10=no),"-", IF($B10=que,que, pres)))</f>
        <v>Présent ?</v>
      </c>
      <c r="J10" s="279" t="str">
        <f>IF(OR($B10=yes,$B10=yes),SUM('5-2 Prim metal'!Y23:Y26), IF(OR($B10=no,$B10=no),"-", IF($B10=que,que, pres)))</f>
        <v>Présent ?</v>
      </c>
      <c r="K10" s="279" t="str">
        <f>IF(OR($B10=yes,$B10=yes),SUM('5-2 Prim metal'!Z23:Z26), IF(OR($B10=no,$B10=no),"-", IF($B10=que,que, pres)))</f>
        <v>Présent ?</v>
      </c>
      <c r="L10" s="279" t="str">
        <f>IF(OR($B10=yes,$B10=yes),SUM('5-2 Prim metal'!AA23:AA26), IF(OR($B10=no,$B10=no),"-", IF($B10=que,que, pres)))</f>
        <v>Présent ?</v>
      </c>
      <c r="M10" s="273" t="s">
        <v>363</v>
      </c>
      <c r="N10" s="459"/>
    </row>
    <row r="11" spans="1:16" ht="87.5">
      <c r="A11" s="270"/>
      <c r="B11" s="736"/>
      <c r="C11" s="736"/>
      <c r="D11" s="273"/>
      <c r="E11" s="703" t="s">
        <v>1120</v>
      </c>
      <c r="F11" s="681"/>
      <c r="G11" s="681" t="s">
        <v>1137</v>
      </c>
      <c r="H11" s="681" t="s">
        <v>1138</v>
      </c>
      <c r="I11" s="681" t="s">
        <v>1139</v>
      </c>
      <c r="J11" s="681" t="s">
        <v>1140</v>
      </c>
      <c r="K11" s="279"/>
      <c r="L11" s="279"/>
      <c r="M11" s="273"/>
      <c r="N11" s="459"/>
    </row>
    <row r="12" spans="1:16" ht="38" thickBot="1">
      <c r="A12" s="270"/>
      <c r="B12" s="737"/>
      <c r="C12" s="737"/>
      <c r="D12" s="682" t="s">
        <v>1129</v>
      </c>
      <c r="E12" s="681" t="s">
        <v>1121</v>
      </c>
      <c r="F12" s="681"/>
      <c r="G12" s="684">
        <f>100-H12-I12-J12-K12-L12</f>
        <v>0</v>
      </c>
      <c r="H12" s="689"/>
      <c r="I12" s="689">
        <v>100</v>
      </c>
      <c r="J12" s="689"/>
      <c r="K12" s="279"/>
      <c r="L12" s="279"/>
      <c r="M12" s="729" t="s">
        <v>1224</v>
      </c>
      <c r="N12" s="460"/>
    </row>
    <row r="13" spans="1:16" ht="13" thickBot="1">
      <c r="A13" s="621" t="s">
        <v>907</v>
      </c>
      <c r="B13" s="738"/>
      <c r="C13" s="399"/>
      <c r="D13" s="767" t="s">
        <v>920</v>
      </c>
      <c r="E13" s="695"/>
      <c r="F13" s="456" t="str">
        <f>IF(OR($B13=yes,$B13=yes),'5-2 Prim metal'!K30, IF(OR($B13=no,$B13=no),"-", IF($B13=que,que, pres)))</f>
        <v>Présent ?</v>
      </c>
      <c r="G13" s="279" t="str">
        <f>IF(OR($B13=yes,$B13=yes),'5-2 Prim metal'!V28, IF(OR($B13=no,$B13=no),"-", IF($B13=que,que, pres)))</f>
        <v>Présent ?</v>
      </c>
      <c r="H13" s="279" t="str">
        <f>IF(OR($B13=yes,$B13=yes),'5-2 Prim metal'!W28, IF(OR($B13=no,$B13=no),"-", IF($B13=que,que, pres)))</f>
        <v>Présent ?</v>
      </c>
      <c r="I13" s="279" t="str">
        <f>IF(OR($B13=yes,$B13=yes),'5-2 Prim metal'!X28, IF(OR($B13=no,$B13=no),"-", IF($B13=que,que, pres)))</f>
        <v>Présent ?</v>
      </c>
      <c r="J13" s="279" t="str">
        <f>IF(OR($B13=yes,$B13=yes),'5-2 Prim metal'!Y28, IF(OR($B13=no,$B13=no),"-", IF($B13=que,que, pres)))</f>
        <v>Présent ?</v>
      </c>
      <c r="K13" s="279" t="str">
        <f>IF(OR($B13=yes,$B13=yes),'5-2 Prim metal'!Z28, IF(OR($B13=no,$B13=no),"-", IF($B13=que,que, pres)))</f>
        <v>Présent ?</v>
      </c>
      <c r="L13" s="279" t="str">
        <f>IF(OR($B13=yes,$B13=yes),'5-2 Prim metal'!AA28, IF(OR($B13=no,$B13=no),"-", IF($B13=que,que, pres)))</f>
        <v>Présent ?</v>
      </c>
      <c r="M13" s="273" t="s">
        <v>364</v>
      </c>
      <c r="N13" s="459"/>
    </row>
    <row r="14" spans="1:16" ht="87.5">
      <c r="A14" s="270"/>
      <c r="B14" s="736"/>
      <c r="C14" s="736"/>
      <c r="D14" s="273"/>
      <c r="E14" s="703" t="s">
        <v>1120</v>
      </c>
      <c r="F14" s="681"/>
      <c r="G14" s="681" t="s">
        <v>1137</v>
      </c>
      <c r="H14" s="681" t="s">
        <v>1138</v>
      </c>
      <c r="I14" s="681" t="s">
        <v>1139</v>
      </c>
      <c r="J14" s="681" t="s">
        <v>1140</v>
      </c>
      <c r="K14" s="279"/>
      <c r="L14" s="279"/>
      <c r="M14" s="273"/>
      <c r="N14" s="459"/>
    </row>
    <row r="15" spans="1:16" ht="38" thickBot="1">
      <c r="A15" s="270"/>
      <c r="B15" s="737"/>
      <c r="C15" s="737"/>
      <c r="D15" s="682" t="s">
        <v>1129</v>
      </c>
      <c r="E15" s="681" t="s">
        <v>1121</v>
      </c>
      <c r="F15" s="681"/>
      <c r="G15" s="684">
        <f>100-H15-I15-J15-K15-L15</f>
        <v>0</v>
      </c>
      <c r="H15" s="689"/>
      <c r="I15" s="689">
        <v>100</v>
      </c>
      <c r="J15" s="689"/>
      <c r="K15" s="279"/>
      <c r="L15" s="279"/>
      <c r="M15" s="729" t="s">
        <v>1224</v>
      </c>
      <c r="N15" s="460"/>
    </row>
    <row r="16" spans="1:16" ht="25">
      <c r="A16" s="621" t="s">
        <v>908</v>
      </c>
      <c r="B16" s="365"/>
      <c r="C16" s="377"/>
      <c r="D16" s="557" t="s">
        <v>917</v>
      </c>
      <c r="E16" s="344"/>
      <c r="F16" s="456" t="str">
        <f>IF(OR($B16=yes,$B16=yes),'5-2 Prim metal'!K35, IF(OR($B16=no,$B16=no),"-", IF($B16=que,que, pres)))</f>
        <v>Présent ?</v>
      </c>
      <c r="G16" s="279" t="str">
        <f>IF(OR($B16=yes,$B16=yes),'5-2 Prim metal'!V35, IF(OR($B16=no,$B16=no),"-", IF($B16=que,que, pres)))</f>
        <v>Présent ?</v>
      </c>
      <c r="H16" s="279" t="str">
        <f>IF(OR($B16=yes,$B16=yes),'5-2 Prim metal'!W35, IF(OR($B16=no,$B16=no),"-", IF($B16=que,que, pres)))</f>
        <v>Présent ?</v>
      </c>
      <c r="I16" s="279" t="str">
        <f>IF(OR($B16=yes,$B16=yes),'5-2 Prim metal'!X35, IF(OR($B16=no,$B16=no),"-", IF($B16=que,que, pres)))</f>
        <v>Présent ?</v>
      </c>
      <c r="J16" s="279" t="str">
        <f>IF(OR($B16=yes,$B16=yes),'5-2 Prim metal'!Y35, IF(OR($B16=no,$B16=no),"-", IF($B16=que,que, pres)))</f>
        <v>Présent ?</v>
      </c>
      <c r="K16" s="279" t="str">
        <f>IF(OR($B16=yes,$B16=yes),'5-2 Prim metal'!Z35, IF(OR($B16=no,$B16=no),"-", IF($B16=que,que, pres)))</f>
        <v>Présent ?</v>
      </c>
      <c r="L16" s="279" t="str">
        <f>IF(OR($B16=yes,$B16=yes),'5-2 Prim metal'!AA35, IF(OR($B16=no,$B16=no),"-", IF($B16=que,que, pres)))</f>
        <v>Présent ?</v>
      </c>
      <c r="M16" s="273" t="s">
        <v>365</v>
      </c>
      <c r="N16" s="459"/>
    </row>
    <row r="17" spans="1:18" ht="25">
      <c r="A17" s="275" t="s">
        <v>909</v>
      </c>
      <c r="B17" s="646"/>
      <c r="C17" s="378"/>
      <c r="D17" s="557" t="s">
        <v>918</v>
      </c>
      <c r="E17" s="344"/>
      <c r="F17" s="456" t="str">
        <f>IF(OR($B17=yes,$B17=yes),'5-2 Prim metal'!K38, IF(OR($B17=no,$B17=no),"-", IF($B17=que,que, pres)))</f>
        <v>Présent ?</v>
      </c>
      <c r="G17" s="279" t="str">
        <f>IF(OR($B17=yes,$B17=yes),'5-2 Prim metal'!V38, IF(OR($B17=no,$B17=no),"-", IF($B17=que,que, pres)))</f>
        <v>Présent ?</v>
      </c>
      <c r="H17" s="279" t="str">
        <f>IF(OR($B17=yes,$B17=yes),'5-2 Prim metal'!W38, IF(OR($B17=no,$B17=no),"-", IF($B17=que,que, pres)))</f>
        <v>Présent ?</v>
      </c>
      <c r="I17" s="279" t="str">
        <f>IF(OR($B17=yes,$B17=yes),'5-2 Prim metal'!X38, IF(OR($B17=no,$B17=no),"-", IF($B17=que,que, pres)))</f>
        <v>Présent ?</v>
      </c>
      <c r="J17" s="279" t="str">
        <f>IF(OR($B17=yes,$B17=yes),'5-2 Prim metal'!Y38, IF(OR($B17=no,$B17=no),"-", IF($B17=que,que, pres)))</f>
        <v>Présent ?</v>
      </c>
      <c r="K17" s="279" t="str">
        <f>IF(OR($B17=yes,$B17=yes),'5-2 Prim metal'!Z38, IF(OR($B17=no,$B17=no),"-", IF($B17=que,que, pres)))</f>
        <v>Présent ?</v>
      </c>
      <c r="L17" s="279" t="str">
        <f>IF(OR($B17=yes,$B17=yes),'5-2 Prim metal'!AA38, IF(OR($B17=no,$B17=no),"-", IF($B17=que,que, pres)))</f>
        <v>Présent ?</v>
      </c>
      <c r="M17" s="273" t="s">
        <v>366</v>
      </c>
      <c r="N17" s="459"/>
    </row>
    <row r="18" spans="1:18" ht="25.5" thickBot="1">
      <c r="A18" s="275" t="s">
        <v>910</v>
      </c>
      <c r="B18" s="646"/>
      <c r="C18" s="378"/>
      <c r="D18" s="558" t="s">
        <v>919</v>
      </c>
      <c r="E18" s="354"/>
      <c r="F18" s="456" t="str">
        <f>IF(OR($B18=yes,$B18=yes),'5-2 Prim metal'!K43, IF(OR($B18=no,$B18=no),"-", IF($B18=que,que, pres)))</f>
        <v>Présent ?</v>
      </c>
      <c r="G18" s="279" t="str">
        <f>IF(OR($B18=yes,$B18=yes),'5-2 Prim metal'!V43, IF(OR($B18=no,$B18=no),"-", IF($B18=que,que, pres)))</f>
        <v>Présent ?</v>
      </c>
      <c r="H18" s="279" t="str">
        <f>IF(OR($B18=yes,$B18=yes),'5-2 Prim metal'!W43, IF(OR($B18=no,$B18=no),"-", IF($B18=que,que, pres)))</f>
        <v>Présent ?</v>
      </c>
      <c r="I18" s="279" t="str">
        <f>IF(OR($B18=yes,$B18=yes),'5-2 Prim metal'!X43, IF(OR($B18=no,$B18=no),"-", IF($B18=que,que, pres)))</f>
        <v>Présent ?</v>
      </c>
      <c r="J18" s="279" t="str">
        <f>IF(OR($B18=yes,$B18=yes),'5-2 Prim metal'!Y43, IF(OR($B18=no,$B18=no),"-", IF($B18=que,que, pres)))</f>
        <v>Présent ?</v>
      </c>
      <c r="K18" s="279" t="str">
        <f>IF(OR($B18=yes,$B18=yes),'5-2 Prim metal'!Z43, IF(OR($B18=no,$B18=no),"-", IF($B18=que,que, pres)))</f>
        <v>Présent ?</v>
      </c>
      <c r="L18" s="279" t="str">
        <f>IF(OR($B18=yes,$B18=yes),'5-2 Prim metal'!AA43, IF(OR($B18=no,$B18=no),"-", IF($B18=que,que, pres)))</f>
        <v>Présent ?</v>
      </c>
      <c r="M18" s="273" t="s">
        <v>367</v>
      </c>
      <c r="N18" s="459"/>
    </row>
    <row r="19" spans="1:18" ht="25.5" thickBot="1">
      <c r="A19" s="621" t="s">
        <v>1232</v>
      </c>
      <c r="B19" s="647"/>
      <c r="C19" s="396"/>
      <c r="D19" s="558" t="s">
        <v>916</v>
      </c>
      <c r="E19" s="695"/>
      <c r="F19" s="456" t="str">
        <f>IF(OR($B19=yes,$B19=yes),SUM('5-2 Prim metal'!K9:K10), IF(OR($B19=no,$B19=no),"-", IF($B19=que,que, pres)))</f>
        <v>Présent ?</v>
      </c>
      <c r="G19" s="279" t="str">
        <f>IF(OR($B19=yes,$B19=yes),SUM('5-2 Prim metal'!V9:V10), IF(OR($B19=no,$B19=no),"-", IF($B19=que,que, pres)))</f>
        <v>Présent ?</v>
      </c>
      <c r="H19" s="279" t="str">
        <f>IF(OR($B19=yes,$B19=yes),SUM('5-2 Prim metal'!W9:W10), IF(OR($B19=no,$B19=no),"-", IF($B19=que,que, pres)))</f>
        <v>Présent ?</v>
      </c>
      <c r="I19" s="279" t="str">
        <f>IF(OR($B19=yes,$B19=yes),SUM('5-2 Prim metal'!X9:X10), IF(OR($B19=no,$B19=no),"-", IF($B19=que,que, pres)))</f>
        <v>Présent ?</v>
      </c>
      <c r="J19" s="279" t="str">
        <f>IF(OR($B19=yes,$B19=yes),SUM('5-2 Prim metal'!Y9:Y10), IF(OR($B19=no,$B19=no),"-", IF($B19=que,que, pres)))</f>
        <v>Présent ?</v>
      </c>
      <c r="K19" s="279" t="str">
        <f>IF(OR($B19=yes,$B19=yes),SUM('5-2 Prim metal'!Z9:Z10), IF(OR($B19=no,$B19=no),"-", IF($B19=que,que, pres)))</f>
        <v>Présent ?</v>
      </c>
      <c r="L19" s="279" t="str">
        <f>IF(OR($B19=yes,$B19=yes),SUM('5-2 Prim metal'!AA9:AA10), IF(OR($B19=no,$B19=no),"-", IF($B19=que,que, pres)))</f>
        <v>Présent ?</v>
      </c>
      <c r="M19" s="273" t="s">
        <v>158</v>
      </c>
      <c r="N19" s="459"/>
    </row>
    <row r="20" spans="1:18" ht="50">
      <c r="A20" s="621"/>
      <c r="B20" s="621"/>
      <c r="C20" s="621"/>
      <c r="D20" s="273"/>
      <c r="E20" s="703" t="s">
        <v>1120</v>
      </c>
      <c r="F20" s="681"/>
      <c r="G20" s="681" t="s">
        <v>1141</v>
      </c>
      <c r="H20" s="681" t="s">
        <v>1142</v>
      </c>
      <c r="I20" s="279"/>
      <c r="J20" s="279"/>
      <c r="K20" s="279"/>
      <c r="L20" s="279"/>
      <c r="M20" s="273"/>
      <c r="N20" s="459"/>
    </row>
    <row r="21" spans="1:18" ht="38" thickBot="1">
      <c r="A21" s="621"/>
      <c r="B21" s="739"/>
      <c r="C21" s="739"/>
      <c r="D21" s="682" t="s">
        <v>1129</v>
      </c>
      <c r="E21" s="681" t="s">
        <v>1121</v>
      </c>
      <c r="F21" s="681"/>
      <c r="G21" s="690">
        <f>100-H21-I21-J21-K21-L21</f>
        <v>100</v>
      </c>
      <c r="H21" s="689"/>
      <c r="I21" s="279"/>
      <c r="J21" s="279"/>
      <c r="K21" s="279"/>
      <c r="L21" s="279"/>
      <c r="M21" s="729" t="s">
        <v>1224</v>
      </c>
      <c r="N21" s="460"/>
    </row>
    <row r="22" spans="1:18" ht="25.5" thickBot="1">
      <c r="A22" s="621" t="s">
        <v>1233</v>
      </c>
      <c r="B22" s="738"/>
      <c r="C22" s="399"/>
      <c r="D22" s="767" t="s">
        <v>916</v>
      </c>
      <c r="E22" s="695"/>
      <c r="F22" s="456" t="str">
        <f>IF(OR($B22=yes,$B22=yes),SUM('5-2 Prim metal'!K11:K12), IF(OR($B22=no,$B22=no),"-", IF($B22=que,que, pres)))</f>
        <v>Présent ?</v>
      </c>
      <c r="G22" s="279" t="str">
        <f>IF(OR($B22=yes,$B22=yes),SUM('5-2 Prim metal'!V11:V12), IF(OR($B22=no,$B22=no),"-", IF($B22=que,que, pres)))</f>
        <v>Présent ?</v>
      </c>
      <c r="H22" s="279" t="str">
        <f>IF(OR($B22=yes,$B22=yes),SUM('5-2 Prim metal'!W11:W12), IF(OR($B22=no,$B22=no),"-", IF($B22=que,que, pres)))</f>
        <v>Présent ?</v>
      </c>
      <c r="I22" s="279" t="str">
        <f>IF(OR($B22=yes,$B22=yes),SUM('5-2 Prim metal'!X11:X12), IF(OR($B22=no,$B22=no),"-", IF($B22=que,que, pres)))</f>
        <v>Présent ?</v>
      </c>
      <c r="J22" s="279" t="str">
        <f>IF(OR($B22=yes,$B22=yes),SUM('5-2 Prim metal'!Y11:Y12), IF(OR($B22=no,$B22=no),"-", IF($B22=que,que, pres)))</f>
        <v>Présent ?</v>
      </c>
      <c r="K22" s="279" t="str">
        <f>IF(OR($B22=yes,$B22=yes),SUM('5-2 Prim metal'!Z11:Z12), IF(OR($B22=no,$B22=no),"-", IF($B22=que,que, pres)))</f>
        <v>Présent ?</v>
      </c>
      <c r="L22" s="279" t="str">
        <f>IF(OR($B22=yes,$B22=yes),SUM('5-2 Prim metal'!AA11:AA12), IF(OR($B22=no,$B22=no),"-", IF($B22=que,que, pres)))</f>
        <v>Présent ?</v>
      </c>
      <c r="M22" s="273" t="s">
        <v>158</v>
      </c>
      <c r="N22" s="459"/>
    </row>
    <row r="23" spans="1:18" ht="57" customHeight="1">
      <c r="A23" s="275"/>
      <c r="B23" s="275"/>
      <c r="C23" s="275"/>
      <c r="D23" s="273"/>
      <c r="E23" s="703" t="s">
        <v>1120</v>
      </c>
      <c r="F23" s="681"/>
      <c r="G23" s="681" t="s">
        <v>1141</v>
      </c>
      <c r="H23" s="681" t="s">
        <v>1142</v>
      </c>
      <c r="I23" s="279"/>
      <c r="J23" s="279"/>
      <c r="K23" s="279"/>
      <c r="L23" s="279"/>
      <c r="M23" s="273"/>
      <c r="N23" s="459"/>
    </row>
    <row r="24" spans="1:18" ht="42.75" customHeight="1">
      <c r="A24" s="275"/>
      <c r="B24" s="275"/>
      <c r="C24" s="275"/>
      <c r="D24" s="682" t="s">
        <v>1129</v>
      </c>
      <c r="E24" s="681" t="s">
        <v>1121</v>
      </c>
      <c r="F24" s="681"/>
      <c r="G24" s="690">
        <f>100-H24-I24-J24-K24-L24</f>
        <v>100</v>
      </c>
      <c r="H24" s="689"/>
      <c r="I24" s="691"/>
      <c r="J24" s="279"/>
      <c r="K24" s="279"/>
      <c r="L24" s="691"/>
      <c r="M24" s="729" t="s">
        <v>1224</v>
      </c>
      <c r="N24" s="460"/>
    </row>
    <row r="25" spans="1:18" ht="13.5" thickBot="1">
      <c r="A25" s="353" t="s">
        <v>911</v>
      </c>
      <c r="B25" s="275"/>
      <c r="C25" s="275"/>
      <c r="D25" s="272"/>
      <c r="E25" s="354"/>
      <c r="F25" s="456"/>
      <c r="G25" s="279"/>
      <c r="H25" s="279"/>
      <c r="I25" s="279"/>
      <c r="J25" s="279"/>
      <c r="K25" s="279"/>
      <c r="L25" s="691"/>
      <c r="M25" s="272"/>
      <c r="N25" s="459"/>
    </row>
    <row r="26" spans="1:18" ht="13" thickBot="1">
      <c r="A26" s="275" t="s">
        <v>912</v>
      </c>
      <c r="B26" s="738"/>
      <c r="C26" s="399"/>
      <c r="D26" s="767" t="s">
        <v>915</v>
      </c>
      <c r="E26" s="695"/>
      <c r="F26" s="456" t="str">
        <f>IF(OR($B26=yes,$B26=yes),'5-3 Other min + mat'!K6, IF(OR($B26=no,$B26=no),"-", IF($B26=que,que, pres)))</f>
        <v>Présent ?</v>
      </c>
      <c r="G26" s="279" t="str">
        <f>IF(OR($B26=yes,$B26=yes),'5-3 Other min + mat'!V6, IF(OR($B26=no,$B26=no),"-", IF($B26=que,que, pres)))</f>
        <v>Présent ?</v>
      </c>
      <c r="H26" s="279" t="str">
        <f>IF(OR($B26=yes,$B26=yes),'5-3 Other min + mat'!W6, IF(OR($B26=no,$B26=no),"-", IF($B26=que,que, pres)))</f>
        <v>Présent ?</v>
      </c>
      <c r="I26" s="279" t="str">
        <f>IF(OR($B26=yes,$B26=yes),'5-3 Other min + mat'!X6, IF(OR($B26=no,$B26=no),"-", IF($B26=que,que, pres)))</f>
        <v>Présent ?</v>
      </c>
      <c r="J26" s="279" t="str">
        <f>IF(OR($B26=yes,$B26=yes),'5-3 Other min + mat'!Y6, IF(OR($B26=no,$B26=no),"-", IF($B26=que,que, pres)))</f>
        <v>Présent ?</v>
      </c>
      <c r="K26" s="279" t="str">
        <f>IF(OR($B26=yes,$B26=yes),'5-3 Other min + mat'!Z6, IF(OR($B26=no,$B26=no),"-", IF($B26=que,que, pres)))</f>
        <v>Présent ?</v>
      </c>
      <c r="L26" s="279" t="str">
        <f>IF(OR($B26=yes,$B26=yes),'5-3 Other min + mat'!AA6, IF(OR($B26=no,$B26=no),"-", IF($B26=que,que, pres)))</f>
        <v>Présent ?</v>
      </c>
      <c r="M26" s="273" t="s">
        <v>188</v>
      </c>
      <c r="N26" s="459"/>
    </row>
    <row r="27" spans="1:18" ht="96" customHeight="1">
      <c r="A27" s="275"/>
      <c r="B27" s="275"/>
      <c r="C27" s="275"/>
      <c r="D27" s="273"/>
      <c r="E27" s="703" t="s">
        <v>1143</v>
      </c>
      <c r="F27" s="681"/>
      <c r="G27" s="681" t="s">
        <v>1145</v>
      </c>
      <c r="H27" s="681" t="s">
        <v>1146</v>
      </c>
      <c r="I27" s="681" t="s">
        <v>1147</v>
      </c>
      <c r="J27" s="681" t="s">
        <v>1148</v>
      </c>
      <c r="K27" s="681" t="s">
        <v>1149</v>
      </c>
      <c r="L27" s="279"/>
      <c r="M27" s="273"/>
      <c r="N27" s="459"/>
    </row>
    <row r="28" spans="1:18" ht="37.5">
      <c r="A28" s="275"/>
      <c r="B28" s="275"/>
      <c r="C28" s="275"/>
      <c r="D28" s="682"/>
      <c r="E28" s="681" t="s">
        <v>1121</v>
      </c>
      <c r="F28" s="681"/>
      <c r="G28" s="689">
        <v>25</v>
      </c>
      <c r="H28" s="689">
        <v>25</v>
      </c>
      <c r="I28" s="689"/>
      <c r="J28" s="689"/>
      <c r="K28" s="689"/>
      <c r="L28" s="279"/>
      <c r="M28" s="273"/>
      <c r="N28" s="459"/>
    </row>
    <row r="29" spans="1:18" ht="93.75" customHeight="1">
      <c r="A29" s="275"/>
      <c r="B29" s="275"/>
      <c r="C29" s="275"/>
      <c r="D29" s="682" t="s">
        <v>1129</v>
      </c>
      <c r="E29" s="681" t="s">
        <v>1144</v>
      </c>
      <c r="F29" s="681"/>
      <c r="G29" s="681" t="s">
        <v>1145</v>
      </c>
      <c r="H29" s="681" t="s">
        <v>1146</v>
      </c>
      <c r="I29" s="681" t="s">
        <v>1147</v>
      </c>
      <c r="J29" s="681" t="s">
        <v>1148</v>
      </c>
      <c r="K29" s="681" t="s">
        <v>1149</v>
      </c>
      <c r="L29" s="279"/>
      <c r="M29" s="273"/>
      <c r="N29" s="459"/>
    </row>
    <row r="30" spans="1:18" ht="38" thickBot="1">
      <c r="A30" s="275"/>
      <c r="B30" s="275"/>
      <c r="C30" s="275"/>
      <c r="D30" s="682"/>
      <c r="E30" s="681" t="s">
        <v>1121</v>
      </c>
      <c r="F30" s="681"/>
      <c r="G30" s="684">
        <f>100-G28-SUM(H28:K30)</f>
        <v>25</v>
      </c>
      <c r="H30" s="689">
        <v>25</v>
      </c>
      <c r="I30" s="689"/>
      <c r="J30" s="689"/>
      <c r="K30" s="689"/>
      <c r="L30" s="279"/>
      <c r="M30" s="729" t="s">
        <v>1224</v>
      </c>
      <c r="N30" s="460"/>
      <c r="P30" s="460"/>
      <c r="R30" s="460" t="b">
        <f>OR($G$30&lt;&gt;'Contrôles par défaut'!$C$36,$H$30&lt;&gt;'Contrôles par défaut'!$D$36,$I$30&lt;&gt;'Contrôles par défaut'!$E$36,$J$30&lt;&gt;'Contrôles par défaut'!$F$36,$K$30&lt;&gt;'Contrôles par défaut'!$G$36,$L$30&lt;&gt;'Contrôles par défaut'!$H$36)</f>
        <v>0</v>
      </c>
    </row>
    <row r="31" spans="1:18" ht="25.5" thickBot="1">
      <c r="A31" s="739" t="s">
        <v>913</v>
      </c>
      <c r="B31" s="738"/>
      <c r="C31" s="399"/>
      <c r="D31" s="772" t="s">
        <v>914</v>
      </c>
      <c r="E31" s="695"/>
      <c r="F31" s="673" t="str">
        <f>IF(OR($B31=yes,$B31=yes),'5-3 Other min + mat'!K31, IF(OR($B31=no,$B31=no),"-", IF($B31=que,que, pres)))</f>
        <v>Présent ?</v>
      </c>
      <c r="G31" s="700" t="str">
        <f>IF(OR($B31=yes,$B31=yes),'5-3 Other min + mat'!V31, IF(OR($B31=no,$B31=no),"-", IF($B31=que,que, pres)))</f>
        <v>Présent ?</v>
      </c>
      <c r="H31" s="700" t="str">
        <f>IF(OR($B31=yes,$B31=yes),'5-3 Other min + mat'!W31, IF(OR($B31=no,$B31=no),"-", IF($B31=que,que, pres)))</f>
        <v>Présent ?</v>
      </c>
      <c r="I31" s="700" t="str">
        <f>IF(OR($B31=yes,$B31=yes),'5-3 Other min + mat'!X31, IF(OR($B31=no,$B31=no),"-", IF($B31=que,que, pres)))</f>
        <v>Présent ?</v>
      </c>
      <c r="J31" s="700" t="str">
        <f>IF(OR($B31=yes,$B31=yes),'5-3 Other min + mat'!Y31, IF(OR($B31=no,$B31=no),"-", IF($B31=que,que, pres)))</f>
        <v>Présent ?</v>
      </c>
      <c r="K31" s="700" t="str">
        <f>IF(OR($B31=yes,$B31=yes),'5-3 Other min + mat'!Z31, IF(OR($B31=no,$B31=no),"-", IF($B31=que,que, pres)))</f>
        <v>Présent ?</v>
      </c>
      <c r="L31" s="700" t="str">
        <f>IF(OR($B31=yes,$B31=yes),'5-3 Other min + mat'!AA31, IF(OR($B31=no,$B31=no),"-", IF($B31=que,que, pres)))</f>
        <v>Présent ?</v>
      </c>
      <c r="M31" s="687" t="s">
        <v>189</v>
      </c>
      <c r="N31" s="459"/>
    </row>
    <row r="32" spans="1:18" ht="78" customHeight="1">
      <c r="A32" s="367"/>
      <c r="B32" s="702"/>
      <c r="C32" s="702"/>
      <c r="D32" s="273"/>
      <c r="E32" s="703" t="s">
        <v>1120</v>
      </c>
      <c r="F32" s="681"/>
      <c r="G32" s="681" t="s">
        <v>1124</v>
      </c>
      <c r="H32" s="681" t="s">
        <v>1150</v>
      </c>
      <c r="I32" s="279"/>
      <c r="J32" s="279"/>
      <c r="K32" s="279"/>
      <c r="L32" s="279"/>
      <c r="M32" s="273"/>
      <c r="N32" s="459"/>
    </row>
    <row r="33" spans="1:14" ht="37.5">
      <c r="A33" s="367"/>
      <c r="B33" s="367"/>
      <c r="C33" s="367"/>
      <c r="D33" s="682" t="s">
        <v>1129</v>
      </c>
      <c r="E33" s="681" t="s">
        <v>1121</v>
      </c>
      <c r="F33" s="681"/>
      <c r="G33" s="690">
        <f>100-H33-I33-J33-K33-L33</f>
        <v>100</v>
      </c>
      <c r="H33" s="689"/>
      <c r="I33" s="279"/>
      <c r="J33" s="279"/>
      <c r="K33" s="279"/>
      <c r="L33" s="279"/>
      <c r="M33" s="729" t="s">
        <v>1224</v>
      </c>
      <c r="N33" s="460"/>
    </row>
    <row r="36" spans="1:14">
      <c r="A36" s="618" t="s">
        <v>747</v>
      </c>
    </row>
    <row r="37" spans="1:14">
      <c r="A37" s="618"/>
    </row>
  </sheetData>
  <sheetProtection algorithmName="SHA-512" hashValue="KECvuLdqt7kP3CGVt2EsWWFQ1GuI1ZsW6iAJ8DNX7k/kG8A0zdt3nl/U1BYSCOYHECt35S5umaAOLJKgfclmVw==" saltValue="7UZlferRxwTz2E/XqIFsSg==" spinCount="100000" sheet="1" objects="1" scenarios="1"/>
  <mergeCells count="2">
    <mergeCell ref="G3:L3"/>
    <mergeCell ref="A2:M2"/>
  </mergeCells>
  <conditionalFormatting sqref="A2">
    <cfRule type="expression" dxfId="94" priority="148" stopIfTrue="1">
      <formula>$A$2&lt;&gt;""</formula>
    </cfRule>
  </conditionalFormatting>
  <conditionalFormatting sqref="F6:F7 F10 F13 F16:F19 F25:F26 F31 F22">
    <cfRule type="expression" dxfId="93" priority="150" stopIfTrue="1">
      <formula>AND(B6="y",O6="n")</formula>
    </cfRule>
  </conditionalFormatting>
  <conditionalFormatting sqref="E9:G9 E8:J8">
    <cfRule type="expression" dxfId="92" priority="140">
      <formula>OR($E$7="y", $E$7="s", $E$7="o", $E$7="da")</formula>
    </cfRule>
  </conditionalFormatting>
  <conditionalFormatting sqref="H9:J9">
    <cfRule type="expression" dxfId="91" priority="139">
      <formula>OR($E$7="y", $E$7="s", $E$7="o", $E$7="da")</formula>
    </cfRule>
  </conditionalFormatting>
  <conditionalFormatting sqref="G9">
    <cfRule type="expression" dxfId="90" priority="138">
      <formula>$G$9&lt;0</formula>
    </cfRule>
  </conditionalFormatting>
  <conditionalFormatting sqref="D9">
    <cfRule type="expression" dxfId="89" priority="137">
      <formula>$G$9&lt;0</formula>
    </cfRule>
  </conditionalFormatting>
  <conditionalFormatting sqref="G12">
    <cfRule type="expression" dxfId="88" priority="127">
      <formula>$G$12&lt;0</formula>
    </cfRule>
  </conditionalFormatting>
  <conditionalFormatting sqref="D12">
    <cfRule type="expression" dxfId="87" priority="128">
      <formula>$G$12&lt;0</formula>
    </cfRule>
  </conditionalFormatting>
  <conditionalFormatting sqref="E11:J11 E12:G12">
    <cfRule type="expression" dxfId="86" priority="129">
      <formula>OR($E$10="y", $E$10="s", $E$10="o", $E$10="da")</formula>
    </cfRule>
  </conditionalFormatting>
  <conditionalFormatting sqref="G15">
    <cfRule type="expression" dxfId="85" priority="117">
      <formula>$G$15&lt;0</formula>
    </cfRule>
  </conditionalFormatting>
  <conditionalFormatting sqref="D15">
    <cfRule type="expression" dxfId="84" priority="118">
      <formula>$G$15&lt;0</formula>
    </cfRule>
  </conditionalFormatting>
  <conditionalFormatting sqref="E14:J14 E15:G15">
    <cfRule type="expression" dxfId="83" priority="119">
      <formula>OR($E$13="y", $E$13="s", $E$13="o", $E$13="da")</formula>
    </cfRule>
  </conditionalFormatting>
  <conditionalFormatting sqref="G24">
    <cfRule type="expression" dxfId="82" priority="106">
      <formula>$G$24&lt;0</formula>
    </cfRule>
  </conditionalFormatting>
  <conditionalFormatting sqref="D24">
    <cfRule type="expression" dxfId="81" priority="107">
      <formula>$G$24&lt;0</formula>
    </cfRule>
  </conditionalFormatting>
  <conditionalFormatting sqref="E23:H23 E24:G24">
    <cfRule type="expression" dxfId="80" priority="108">
      <formula>OR($E$22="y", $E$22="s", $E$22="o", $E$22="da")</formula>
    </cfRule>
  </conditionalFormatting>
  <conditionalFormatting sqref="E28:F28">
    <cfRule type="expression" dxfId="79" priority="72">
      <formula>OR($E$26="y", $E$26="s", $E$26="o", $E$26="da")</formula>
    </cfRule>
  </conditionalFormatting>
  <conditionalFormatting sqref="H28:K28">
    <cfRule type="expression" dxfId="78" priority="71">
      <formula>OR($E$26="y", $E$26="s", $E$26="o", $E$26="da")</formula>
    </cfRule>
  </conditionalFormatting>
  <conditionalFormatting sqref="E30:F30">
    <cfRule type="expression" dxfId="77" priority="64">
      <formula>OR($E$26="y", $E$26="s", $E$26="o", $E$26="da")</formula>
    </cfRule>
  </conditionalFormatting>
  <conditionalFormatting sqref="G28">
    <cfRule type="expression" dxfId="76" priority="60">
      <formula>OR($E$26="y", $E$26="s", $E$26="o", $E$26="da")</formula>
    </cfRule>
  </conditionalFormatting>
  <conditionalFormatting sqref="D28:D30">
    <cfRule type="expression" dxfId="75" priority="40">
      <formula>$G$30&lt;0</formula>
    </cfRule>
  </conditionalFormatting>
  <conditionalFormatting sqref="E27:K27">
    <cfRule type="expression" dxfId="74" priority="37">
      <formula>OR($E$26="y", $E$26="s", $E$26="o", $E$26="da")</formula>
    </cfRule>
  </conditionalFormatting>
  <conditionalFormatting sqref="E29:K29">
    <cfRule type="expression" dxfId="73" priority="36">
      <formula>OR($E$26="y", $E$26="s", $E$26="o", $E$26="da")</formula>
    </cfRule>
  </conditionalFormatting>
  <conditionalFormatting sqref="G30">
    <cfRule type="expression" dxfId="72" priority="32">
      <formula>$G$30&lt;0</formula>
    </cfRule>
  </conditionalFormatting>
  <conditionalFormatting sqref="G30">
    <cfRule type="expression" dxfId="71" priority="33">
      <formula>OR($E$26="y", $E$26="s", $E$26="o", $E$26="da")</formula>
    </cfRule>
  </conditionalFormatting>
  <conditionalFormatting sqref="H33">
    <cfRule type="expression" dxfId="70" priority="29">
      <formula>OR($E$31="y", $E$31="s", $E$31="o", $E$31="da")</formula>
    </cfRule>
  </conditionalFormatting>
  <conditionalFormatting sqref="G33">
    <cfRule type="expression" dxfId="69" priority="30">
      <formula>$G$33&lt;0</formula>
    </cfRule>
  </conditionalFormatting>
  <conditionalFormatting sqref="E32:H32 E33:G33">
    <cfRule type="expression" dxfId="68" priority="31">
      <formula>OR($E$31="y", $E$31="s", $E$31="o", $E$31="da")</formula>
    </cfRule>
  </conditionalFormatting>
  <conditionalFormatting sqref="D33">
    <cfRule type="expression" dxfId="67" priority="28">
      <formula>$G$33&lt;0</formula>
    </cfRule>
  </conditionalFormatting>
  <conditionalFormatting sqref="H21">
    <cfRule type="expression" dxfId="66" priority="18">
      <formula>OR($E$19="y", $E$19="s", $E$19="o", $E$19="da")</formula>
    </cfRule>
  </conditionalFormatting>
  <conditionalFormatting sqref="G21">
    <cfRule type="expression" dxfId="65" priority="19">
      <formula>$G$24&lt;0</formula>
    </cfRule>
  </conditionalFormatting>
  <conditionalFormatting sqref="D21">
    <cfRule type="expression" dxfId="64" priority="20">
      <formula>$G$21&lt;0</formula>
    </cfRule>
  </conditionalFormatting>
  <conditionalFormatting sqref="E20:F20 E21:G21">
    <cfRule type="expression" dxfId="63" priority="21">
      <formula>OR($E$19="y", $E$19="s", $E$19="o", $E$19="da")</formula>
    </cfRule>
  </conditionalFormatting>
  <conditionalFormatting sqref="G20">
    <cfRule type="expression" dxfId="62" priority="16">
      <formula>OR($E$19="y", $E$19="s", $E$19="o", $E$19="da")</formula>
    </cfRule>
  </conditionalFormatting>
  <conditionalFormatting sqref="H20">
    <cfRule type="expression" dxfId="61" priority="15">
      <formula>OR($E$19="y", $E$19="s", $E$19="o", $E$19="da")</formula>
    </cfRule>
  </conditionalFormatting>
  <conditionalFormatting sqref="I12">
    <cfRule type="expression" dxfId="60" priority="14">
      <formula>OR($E$10="y", $E$10="s", $E$10="o", $E$10="da")</formula>
    </cfRule>
  </conditionalFormatting>
  <conditionalFormatting sqref="H12">
    <cfRule type="expression" dxfId="59" priority="13">
      <formula>OR($E$10="y", $E$10="s", $E$10="o", $E$10="da")</formula>
    </cfRule>
  </conditionalFormatting>
  <conditionalFormatting sqref="J12">
    <cfRule type="expression" dxfId="58" priority="12">
      <formula>OR($E$10="y", $E$10="s", $E$10="o", $E$10="da")</formula>
    </cfRule>
  </conditionalFormatting>
  <conditionalFormatting sqref="H24">
    <cfRule type="expression" dxfId="57" priority="8">
      <formula>OR($E$22="y", $E$22="s", $E$22="o", $E$22="da")</formula>
    </cfRule>
  </conditionalFormatting>
  <conditionalFormatting sqref="H30">
    <cfRule type="expression" dxfId="56" priority="7">
      <formula>OR($E$26="y", $E$26="s", $E$26="o", $E$26="da")</formula>
    </cfRule>
  </conditionalFormatting>
  <conditionalFormatting sqref="I30">
    <cfRule type="expression" dxfId="55" priority="6">
      <formula>OR($E$26="y", $E$26="s", $E$26="o", $E$26="da")</formula>
    </cfRule>
  </conditionalFormatting>
  <conditionalFormatting sqref="J30">
    <cfRule type="expression" dxfId="54" priority="5">
      <formula>OR($E$26="y", $E$26="s", $E$26="o", $E$26="da")</formula>
    </cfRule>
  </conditionalFormatting>
  <conditionalFormatting sqref="K30">
    <cfRule type="expression" dxfId="53" priority="4">
      <formula>OR($E$26="y", $E$26="s", $E$26="o", $E$26="da")</formula>
    </cfRule>
  </conditionalFormatting>
  <conditionalFormatting sqref="I15">
    <cfRule type="expression" dxfId="52" priority="3">
      <formula>OR($E$13="y", $E$13="s", $E$13="o", $E$13="da")</formula>
    </cfRule>
  </conditionalFormatting>
  <conditionalFormatting sqref="H15">
    <cfRule type="expression" dxfId="51" priority="2">
      <formula>OR($E$13="y", $E$13="s", $E$13="o", $E$13="da")</formula>
    </cfRule>
  </conditionalFormatting>
  <conditionalFormatting sqref="J15">
    <cfRule type="expression" dxfId="50" priority="1">
      <formula>OR($E$13="y", $E$13="s", $E$13="o", $E$13="da")</formula>
    </cfRule>
  </conditionalFormatting>
  <dataValidations xWindow="778" yWindow="549" count="28">
    <dataValidation type="list" allowBlank="1" showInputMessage="1" showErrorMessage="1" sqref="E22 E7 E10 E13 E26 E31 E19" xr:uid="{00000000-0002-0000-0300-000000000000}">
      <formula1>yn</formula1>
    </dataValidation>
    <dataValidation allowBlank="1" showInputMessage="1" showErrorMessage="1" promptTitle="Contrôles" prompt="Inscrivez le pourcentage du taux d'activité total qui est utilisé dans les installations avec  filtres à poussière tels que les précipitateurs électrostatiques (ESP), épurateurs de particules (PS) ou similaire" sqref="H33" xr:uid="{00000000-0002-0000-0300-000001000000}"/>
    <dataValidation allowBlank="1" showInputMessage="1" showErrorMessage="1" promptTitle="Contrôles" prompt="Inscrivez le pourcentage du taux d'activité total qui est utilisé dans les installations sans filtre" sqref="G28" xr:uid="{00000000-0002-0000-0300-000002000000}"/>
    <dataValidation allowBlank="1" showInputMessage="1" showErrorMessage="1" prompt="Utiliser des chiffres et décimales seulement." sqref="C6:C7 C10 C13 C16:C19 C22 C26 C31" xr:uid="{00000000-0002-0000-0300-000003000000}"/>
    <dataValidation type="list" allowBlank="1" showInputMessage="1" showErrorMessage="1" errorTitle="Input error" error="Enter only y, n or ? (or translation of these)" prompt="Entrer: O, N ou ?" sqref="B6:B7 B10 B13 B16:B19 B22 B26 B31" xr:uid="{00000000-0002-0000-0300-000004000000}">
      <formula1>yn?</formula1>
    </dataValidation>
    <dataValidation allowBlank="1" showInputMessage="1" showErrorMessage="1" prompt="Sans filtre ou avec seulement une rétension approximative des PM sèches (précipitateurs électroniques et cyclones)" sqref="G8 G11 G14" xr:uid="{00000000-0002-0000-0300-000005000000}"/>
    <dataValidation allowBlank="1" showInputMessage="1" showErrorMessage="1" prompt="Purification humide des gaz issus du grillage du concentrat" sqref="H8 H11 H14" xr:uid="{00000000-0002-0000-0300-000006000000}"/>
    <dataValidation allowBlank="1" showInputMessage="1" showErrorMessage="1" prompt="Purification humide des gaz issus du grillage du concentrat et séparation des gaz acides (pour vendre comme sous-produit)" sqref="I8 I11" xr:uid="{00000000-0002-0000-0300-000007000000}"/>
    <dataValidation allowBlank="1" showInputMessage="1" showErrorMessage="1" prompt="Purification humide des gaz issus du grillage du concentrat, séparation des gaz acides (pour vendre comme sous-produit) et séparation spécifique du mercure (dont les sous-produits (calomel) peuvent être vendus ou éliminés sur site ou ailleurs)" sqref="J8 J11 J14" xr:uid="{00000000-0002-0000-0300-000008000000}"/>
    <dataValidation allowBlank="1" showInputMessage="1" showErrorMessage="1" prompt="Utilisation de cornue ou de dispositifs similaires qui empêchent le mercure de s'évaporer lors de la combustion de l'amalgame et le recupère pour une éventuelle réutilisation (parfois apres une procédure de nettoyage appelée &quot;réactivation&quot;)" sqref="H20 H23" xr:uid="{00000000-0002-0000-0300-000009000000}"/>
    <dataValidation allowBlank="1" showInputMessage="1" showErrorMessage="1" prompt="Contrôle simple de particules avec précipitateurs électrostatiques (ESP), épurateur de particules ou filtres en tissu (FF)" sqref="H29" xr:uid="{00000000-0002-0000-0300-00000A000000}"/>
    <dataValidation allowBlank="1" showInputMessage="1" showErrorMessage="1" prompt="Contrôle simple de particules avec précipitateurs électrostatiques (ESP), épurateur de particules ou filtres en tissu (FF)_x000a__x000a_" sqref="H27" xr:uid="{00000000-0002-0000-0300-00000B000000}"/>
    <dataValidation allowBlank="1" showInputMessage="1" showErrorMessage="1" prompt="Purification humide des gaz issus du grillage du concentrat et séparation des gaz acides (pour vendre comme sous-produit)_x000a__x000a_" sqref="I14" xr:uid="{00000000-0002-0000-0300-00000C000000}"/>
    <dataValidation allowBlank="1" showInputMessage="1" showErrorMessage="1" prompt="Contrôle de particules &quot;optimisé&quot; avec filtres en tissu + réduction non-catylique sélective OU filtres en tissu + épurateurs humides OU précipitateur électrostatique + désulférisation des gaz de combustion  OU filtres en tissu optimisés" sqref="I27 I29" xr:uid="{00000000-0002-0000-0300-00000D000000}"/>
    <dataValidation allowBlank="1" showInputMessage="1" showErrorMessage="1" prompt="Contrôle efficace de la pollution de l'air avec filtres en tissu + épurateurs secs OU précipitateur électrostatique ) + épurateur sec OU précipitateur électrostatique + épurateur humide OU précipitateur électrostatique + réduction non-catylique sélective" sqref="J27 J29" xr:uid="{00000000-0002-0000-0300-00000E000000}"/>
    <dataValidation allowBlank="1" showInputMessage="1" showErrorMessage="1" prompt="Contrôle de la pollution très efficace avec désulférisation himde des gaz de combustion   + injection de carbone activé OU filtre en tissu) + épurateur + réduction non-catylique sélective" sqref="K27 K29" xr:uid="{00000000-0002-0000-0300-00000F000000}"/>
    <dataValidation allowBlank="1" showInputMessage="1" showErrorMessage="1" prompt="Filtres à poussière tels que les précipitateurs électrostatiques (ESP), épurateurs de particules (PS) ou similaire" sqref="H32" xr:uid="{00000000-0002-0000-0300-000010000000}"/>
    <dataValidation allowBlank="1" showErrorMessage="1" promptTitle="Controls" prompt="No filters in place (automatically calculated)" sqref="G9" xr:uid="{00000000-0002-0000-0300-000011000000}"/>
    <dataValidation allowBlank="1" showErrorMessage="1" sqref="G12 G15 G21 G24 G30 G33" xr:uid="{00000000-0002-0000-0300-000012000000}"/>
    <dataValidation allowBlank="1" showInputMessage="1" showErrorMessage="1" promptTitle="Contrôles" prompt="Inscrivez le pourcentage du taux d'activité total qui est utilisé dans les installations avec purification humide des gaz issus du grillage du concentrat" sqref="H9 H12 H15" xr:uid="{00000000-0002-0000-0300-000013000000}"/>
    <dataValidation allowBlank="1" showInputMessage="1" showErrorMessage="1" promptTitle="Contrôles" prompt="Inscrivez le pourcentage du taux d'activité total qui est utilisé dans les installations avec purification humide des gaz issus du grillage du concentrat et séparation des gaz acides (pour vendre comme sous-produit)" sqref="I9 I12 I15" xr:uid="{00000000-0002-0000-0300-000014000000}"/>
    <dataValidation allowBlank="1" showInputMessage="1" showErrorMessage="1" promptTitle="Contrôles" prompt="Inscrivez le pourcentage du taux d'activité total qui est utilisé dans les installations avec purification humide des gaz issus du grillage du concentrat, séparation des gaz acides et séparation spécifique du mercure" sqref="J9 J12 J15" xr:uid="{00000000-0002-0000-0300-000015000000}"/>
    <dataValidation allowBlank="1" showInputMessage="1" showErrorMessage="1" promptTitle="Contrôles" prompt="Inscrivez le pourcentage du taux d'activité total qui est utilisé dans les installations avec utilisation de cornue" sqref="H21 H24" xr:uid="{00000000-0002-0000-0300-000016000000}"/>
    <dataValidation allowBlank="1" showInputMessage="1" showErrorMessage="1" promptTitle="Contrôles" prompt="Inscrivez le pourcentage du taux d'activité total qui est utilisé dans les installations avec contrôle simple de particules avec précipitateurs électrostatiques (ESP), épurateur de particules ou filtres en tissu (FF)" sqref="H28 H30" xr:uid="{00000000-0002-0000-0300-000017000000}"/>
    <dataValidation allowBlank="1" showInputMessage="1" showErrorMessage="1" promptTitle="Contrôles" prompt="Inscrivez le pourcentage du taux d'activité total qui est utilisé dans les installations avec contrôle de particules &quot;optimisé&quot;" sqref="I28 I30" xr:uid="{00000000-0002-0000-0300-000018000000}"/>
    <dataValidation allowBlank="1" showInputMessage="1" showErrorMessage="1" promptTitle="Contrôles" prompt="Pourcentage du taux d'activité total qui est utilisé dans les installations avec  filtres en tissu(FF)+réduction non-catylique sélective OU FF+épurateurs humides OU précipitateur électrostatique+ désulférisation des gaz de combustion  OU FF optimisés" sqref="J28 J30" xr:uid="{00000000-0002-0000-0300-000019000000}"/>
    <dataValidation allowBlank="1" showInputMessage="1" showErrorMessage="1" promptTitle="Contrôles" prompt="Pourcentage du taux d'activité total qui est utilisé dans les installations avec désulférisation himde des gaz de combustion   + injection de carbone activé OU filtre en tissu + épurateur + réduction non-catylique sélective" sqref="K28 K30" xr:uid="{00000000-0002-0000-0300-00001A000000}"/>
    <dataValidation allowBlank="1" showInputMessage="1" showErrorMessage="1" promptTitle="Contrôles" prompt="La cellule est bleue, si vous avez modifié la sélection des contrôles par défaut entrée à l'origine. Pour le restaurer, entrez la sélection des contrôles par défaut indiquée dans l'onglet &quot;Contrôles par défaut&quot;" sqref="M33 M30 M24 M21 M15 M12 M9" xr:uid="{00000000-0002-0000-0300-00001B000000}"/>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44" id="{A0FFF478-3E03-489F-AA30-8F390A41034B}">
            <xm:f>'Insérer résultats IN2'!$K$25&lt;&gt;""</xm:f>
            <x14:dxf>
              <font>
                <color rgb="FFFF0000"/>
              </font>
            </x14:dxf>
          </x14:cfRule>
          <xm:sqref>A36</xm:sqref>
        </x14:conditionalFormatting>
        <x14:conditionalFormatting xmlns:xm="http://schemas.microsoft.com/office/excel/2006/main">
          <x14:cfRule type="expression" priority="27" id="{9B28BD67-6923-4DEB-BBD6-EEAE5D4EBBE4}">
            <xm:f>OR($G$9&lt;&gt;'Contrôles par défaut'!$C$19,$H$9&lt;&gt;'Contrôles par défaut'!$D$19,$I$9&lt;&gt;'Contrôles par défaut'!$E$19,$J$9&lt;&gt;'Contrôles par défaut'!$F$19,$K$9&lt;&gt;'Contrôles par défaut'!$G$19,$L$9&lt;&gt;'Contrôles par défaut'!$H$19)</xm:f>
            <x14:dxf>
              <font>
                <color theme="1"/>
              </font>
              <fill>
                <patternFill>
                  <bgColor theme="8" tint="0.39994506668294322"/>
                </patternFill>
              </fill>
            </x14:dxf>
          </x14:cfRule>
          <xm:sqref>M9</xm:sqref>
        </x14:conditionalFormatting>
        <x14:conditionalFormatting xmlns:xm="http://schemas.microsoft.com/office/excel/2006/main">
          <x14:cfRule type="expression" priority="26" id="{632E9C89-662A-40C4-B47E-22282E971F85}">
            <xm:f>OR($G$12&lt;&gt;'Contrôles par défaut'!$C$22,$H$12&lt;&gt;'Contrôles par défaut'!$D$22,$I$12&lt;&gt;'Contrôles par défaut'!$E$22,$J$12&lt;&gt;'Contrôles par défaut'!$F$22,$K$12&lt;&gt;'Contrôles par défaut'!$G$22,$L$12&lt;&gt;'Contrôles par défaut'!$H$22)</xm:f>
            <x14:dxf>
              <font>
                <color theme="1"/>
              </font>
              <fill>
                <patternFill>
                  <bgColor theme="8" tint="0.39994506668294322"/>
                </patternFill>
              </fill>
            </x14:dxf>
          </x14:cfRule>
          <xm:sqref>M12</xm:sqref>
        </x14:conditionalFormatting>
        <x14:conditionalFormatting xmlns:xm="http://schemas.microsoft.com/office/excel/2006/main">
          <x14:cfRule type="expression" priority="25" id="{904519FF-9C1B-42DD-B176-EAF71AEE46A6}">
            <xm:f>OR($K$15&lt;&gt;'Contrôles par défaut'!$G$25,$L$15&lt;&gt;'Contrôles par défaut'!$H$25,$G$15&lt;&gt;'Contrôles par défaut'!$C$25,$H$15&lt;&gt;'Contrôles par défaut'!$D$25,$H$15&lt;&gt;'Contrôles par défaut'!$D$25,$I$15&lt;&gt;'Contrôles par défaut'!$E$25)</xm:f>
            <x14:dxf>
              <font>
                <color theme="1"/>
              </font>
              <fill>
                <patternFill>
                  <bgColor theme="8" tint="0.39994506668294322"/>
                </patternFill>
              </fill>
            </x14:dxf>
          </x14:cfRule>
          <xm:sqref>M15</xm:sqref>
        </x14:conditionalFormatting>
        <x14:conditionalFormatting xmlns:xm="http://schemas.microsoft.com/office/excel/2006/main">
          <x14:cfRule type="expression" priority="24" id="{76126931-2939-4791-BBD8-A8F43665EDBA}">
            <xm:f>OR($G$24&lt;&gt;'Contrôles par défaut'!$C$31,$H$24&lt;&gt;'Contrôles par défaut'!$D$31,$I$24&lt;&gt;'Contrôles par défaut'!$E$31,$J$24&lt;&gt;'Contrôles par défaut'!$F$31,$K$24&lt;&gt;'Contrôles par défaut'!$G$31,$L$24&lt;&gt;'Contrôles par défaut'!$H$31)</xm:f>
            <x14:dxf>
              <font>
                <color theme="1"/>
              </font>
              <fill>
                <patternFill>
                  <bgColor theme="8" tint="0.39994506668294322"/>
                </patternFill>
              </fill>
            </x14:dxf>
          </x14:cfRule>
          <xm:sqref>M24</xm:sqref>
        </x14:conditionalFormatting>
        <x14:conditionalFormatting xmlns:xm="http://schemas.microsoft.com/office/excel/2006/main">
          <x14:cfRule type="expression" priority="23" id="{EFD37204-6FE7-4B4B-BFE3-E76AC48697CA}">
            <xm:f>OR($G$33&lt;&gt;'Contrôles par défaut'!$C$39,$H$33&lt;&gt;'Contrôles par défaut'!$D$39,$I$33&lt;&gt;'Contrôles par défaut'!$E$39,$J$33&lt;&gt;'Contrôles par défaut'!$F$39,$K$33&lt;&gt;'Contrôles par défaut'!$G$39,$L$33&lt;&gt;'Contrôles par défaut'!$H$39)</xm:f>
            <x14:dxf>
              <font>
                <color theme="1"/>
              </font>
              <fill>
                <patternFill>
                  <bgColor theme="8" tint="0.39994506668294322"/>
                </patternFill>
              </fill>
            </x14:dxf>
          </x14:cfRule>
          <xm:sqref>M33</xm:sqref>
        </x14:conditionalFormatting>
        <x14:conditionalFormatting xmlns:xm="http://schemas.microsoft.com/office/excel/2006/main">
          <x14:cfRule type="expression" priority="22" id="{3C468096-E80E-4AF9-A971-1C81B30AECD4}">
            <xm:f>OR($G$28&lt;&gt;'Contrôles par défaut'!$C$34,$H$28&lt;&gt;'Contrôles par défaut'!$D$34,$I$28&lt;&gt;'Contrôles par défaut'!$E$34,$J$28&lt;&gt;'Contrôles par défaut'!$F$34,$K$28&lt;&gt;'Contrôles par défaut'!$G$34,$L$28&lt;&gt;'Contrôles par défaut'!$H$34,$G$30&lt;&gt;'Contrôles par défaut'!$C$36,$H$30&lt;&gt;'Contrôles par défaut'!$D$36,$I$30&lt;&gt;'Contrôles par défaut'!$E$36,$J$30&lt;&gt;'Contrôles par défaut'!$F$36,$K$30&lt;&gt;'Contrôles par défaut'!$G$36,$L$30&lt;&gt;'Contrôles par défaut'!$H$36)</xm:f>
            <x14:dxf>
              <font>
                <color theme="1"/>
              </font>
              <fill>
                <patternFill>
                  <bgColor theme="8" tint="0.39994506668294322"/>
                </patternFill>
              </fill>
            </x14:dxf>
          </x14:cfRule>
          <xm:sqref>M30</xm:sqref>
        </x14:conditionalFormatting>
        <x14:conditionalFormatting xmlns:xm="http://schemas.microsoft.com/office/excel/2006/main">
          <x14:cfRule type="expression" priority="17" id="{D9C3B02C-9EA8-4882-A670-BA366A0441A1}">
            <xm:f>OR($G$21&lt;&gt;'Contrôles par défaut'!$C$28,$H$21&lt;&gt;'Contrôles par défaut'!$D$28,$I$21&lt;&gt;'Contrôles par défaut'!$E$28,$J$21&lt;&gt;'Contrôles par défaut'!$F$28,$K$21&lt;&gt;'Contrôles par défaut'!$G$28,$L$21&lt;&gt;'Contrôles par défaut'!$H$28)</xm:f>
            <x14:dxf>
              <font>
                <color theme="1"/>
              </font>
              <fill>
                <patternFill>
                  <bgColor theme="8" tint="0.39994506668294322"/>
                </patternFill>
              </fill>
            </x14:dxf>
          </x14:cfRule>
          <xm:sqref>M21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8"/>
  <sheetViews>
    <sheetView topLeftCell="A12" zoomScale="90" zoomScaleNormal="90" workbookViewId="0">
      <selection activeCell="G36" sqref="G36"/>
    </sheetView>
  </sheetViews>
  <sheetFormatPr defaultColWidth="8.81640625" defaultRowHeight="12.5"/>
  <cols>
    <col min="1" max="1" width="3" customWidth="1"/>
    <col min="2" max="2" width="6.1796875" customWidth="1"/>
    <col min="3" max="3" width="36.36328125" customWidth="1"/>
    <col min="4" max="4" width="7.36328125" customWidth="1"/>
    <col min="5" max="5" width="9.36328125" customWidth="1"/>
    <col min="6" max="6" width="22.453125" customWidth="1"/>
    <col min="7" max="7" width="10.36328125" customWidth="1"/>
    <col min="8" max="8" width="19.1796875" customWidth="1"/>
    <col min="9" max="9" width="12.453125" style="240" customWidth="1"/>
    <col min="10" max="10" width="17.6328125" customWidth="1"/>
    <col min="11" max="11" width="12.36328125" style="240" customWidth="1"/>
    <col min="12" max="12" width="11.453125" customWidth="1"/>
    <col min="13" max="13" width="17.453125" style="13" customWidth="1"/>
    <col min="14" max="14" width="9.1796875" style="240"/>
    <col min="15" max="15" width="10.81640625" customWidth="1"/>
    <col min="16" max="16" width="6.453125" customWidth="1"/>
    <col min="17" max="18" width="7.453125" customWidth="1"/>
    <col min="19" max="19" width="9.6328125" customWidth="1"/>
    <col min="20" max="20" width="8.453125" customWidth="1"/>
    <col min="21" max="21" width="18.6328125" customWidth="1"/>
    <col min="22" max="22" width="12.453125" customWidth="1"/>
    <col min="24" max="24" width="9.6328125" customWidth="1"/>
    <col min="25" max="25" width="11.1796875" customWidth="1"/>
    <col min="26" max="26" width="11.453125" customWidth="1"/>
    <col min="27" max="27" width="17" customWidth="1"/>
    <col min="28" max="28" width="42.36328125" customWidth="1"/>
  </cols>
  <sheetData>
    <row r="1" spans="1:28" ht="18">
      <c r="A1" s="1" t="s">
        <v>764</v>
      </c>
      <c r="I1" s="231"/>
      <c r="K1" s="231"/>
      <c r="L1" s="48"/>
      <c r="M1" s="48"/>
      <c r="N1" s="231"/>
    </row>
    <row r="2" spans="1:28" ht="14">
      <c r="A2" s="54" t="s">
        <v>313</v>
      </c>
      <c r="I2" s="231"/>
      <c r="K2" s="231"/>
      <c r="L2" s="48"/>
      <c r="M2" s="48"/>
      <c r="N2" s="231"/>
    </row>
    <row r="3" spans="1:28" ht="13">
      <c r="D3" s="3"/>
      <c r="E3" s="3"/>
      <c r="F3" s="3"/>
      <c r="G3" s="3"/>
      <c r="H3" s="3"/>
      <c r="I3" s="232"/>
      <c r="J3" s="3"/>
      <c r="K3" s="232"/>
      <c r="L3" s="104"/>
      <c r="M3" s="104"/>
      <c r="N3" s="232"/>
      <c r="O3" s="3"/>
      <c r="P3" s="65" t="s">
        <v>55</v>
      </c>
      <c r="Q3" s="2"/>
      <c r="R3" s="2"/>
      <c r="S3" s="2"/>
      <c r="T3" s="2"/>
      <c r="U3" s="2"/>
      <c r="V3" s="10" t="s">
        <v>54</v>
      </c>
      <c r="W3" s="4"/>
      <c r="X3" s="4"/>
      <c r="Y3" s="4"/>
      <c r="Z3" s="4"/>
      <c r="AA3" s="4"/>
      <c r="AB3" s="2"/>
    </row>
    <row r="4" spans="1:28" s="123" customFormat="1" ht="39">
      <c r="A4" s="123" t="s">
        <v>52</v>
      </c>
      <c r="B4" s="123" t="s">
        <v>50</v>
      </c>
      <c r="C4" s="140" t="s">
        <v>59</v>
      </c>
      <c r="D4" s="112" t="s">
        <v>153</v>
      </c>
      <c r="E4" s="141" t="s">
        <v>49</v>
      </c>
      <c r="F4" s="142" t="s">
        <v>35</v>
      </c>
      <c r="G4" s="112" t="s">
        <v>37</v>
      </c>
      <c r="H4" s="143" t="s">
        <v>35</v>
      </c>
      <c r="I4" s="245" t="s">
        <v>51</v>
      </c>
      <c r="J4" s="144" t="s">
        <v>35</v>
      </c>
      <c r="K4" s="241" t="s">
        <v>61</v>
      </c>
      <c r="L4" s="155" t="s">
        <v>35</v>
      </c>
      <c r="M4" s="156" t="s">
        <v>280</v>
      </c>
      <c r="N4" s="245" t="s">
        <v>92</v>
      </c>
      <c r="O4" s="145"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row>
    <row r="5" spans="1:28" s="129" customFormat="1" ht="26">
      <c r="A5" s="129" t="s">
        <v>156</v>
      </c>
      <c r="C5" s="134" t="s">
        <v>316</v>
      </c>
      <c r="D5" s="111"/>
      <c r="F5" s="128"/>
      <c r="G5" s="76"/>
      <c r="H5" s="128"/>
      <c r="I5" s="247"/>
      <c r="K5" s="235"/>
      <c r="L5" s="128"/>
      <c r="M5" s="135"/>
      <c r="N5" s="247"/>
      <c r="O5" s="128"/>
      <c r="P5" s="127"/>
      <c r="Q5" s="127"/>
      <c r="R5" s="127"/>
      <c r="S5" s="127"/>
      <c r="T5" s="127"/>
      <c r="U5" s="127"/>
      <c r="V5" s="58"/>
      <c r="W5" s="58"/>
      <c r="X5" s="58"/>
      <c r="Y5" s="58"/>
      <c r="Z5" s="58"/>
      <c r="AA5" s="58"/>
      <c r="AB5" s="76"/>
    </row>
    <row r="6" spans="1:28" ht="26">
      <c r="B6" t="s">
        <v>157</v>
      </c>
      <c r="C6" s="12" t="s">
        <v>161</v>
      </c>
      <c r="D6" s="120"/>
      <c r="E6" s="338" t="s">
        <v>443</v>
      </c>
      <c r="F6" s="3" t="s">
        <v>431</v>
      </c>
      <c r="G6" s="337">
        <v>1030</v>
      </c>
      <c r="H6" s="3" t="s">
        <v>431</v>
      </c>
      <c r="I6" s="250">
        <f>'Etape 3-Métaux-MatPre'!C6</f>
        <v>0</v>
      </c>
      <c r="J6" s="278" t="s">
        <v>382</v>
      </c>
      <c r="K6" s="233">
        <f>I6*G6</f>
        <v>0</v>
      </c>
      <c r="L6" s="3" t="s">
        <v>36</v>
      </c>
      <c r="M6" s="14"/>
      <c r="N6" s="246">
        <f>K6</f>
        <v>0</v>
      </c>
      <c r="O6" s="3" t="s">
        <v>36</v>
      </c>
      <c r="P6" s="342">
        <f>0.25*(G6-1000)/G6</f>
        <v>7.2815533980582527E-3</v>
      </c>
      <c r="Q6" s="342">
        <f>0.06*(G6-1000)/G6</f>
        <v>1.7475728155339804E-3</v>
      </c>
      <c r="R6" s="342">
        <f>0.69*(G6-1000)/G6</f>
        <v>2.0097087378640775E-2</v>
      </c>
      <c r="S6" s="342"/>
      <c r="T6" s="342"/>
      <c r="U6" s="342"/>
      <c r="V6" s="133">
        <f t="shared" ref="V6:AA6" si="0">$N6*P6</f>
        <v>0</v>
      </c>
      <c r="W6" s="133">
        <f t="shared" si="0"/>
        <v>0</v>
      </c>
      <c r="X6" s="133">
        <f t="shared" si="0"/>
        <v>0</v>
      </c>
      <c r="Y6" s="133">
        <f t="shared" si="0"/>
        <v>0</v>
      </c>
      <c r="Z6" s="133">
        <f t="shared" si="0"/>
        <v>0</v>
      </c>
      <c r="AA6" s="133">
        <f t="shared" si="0"/>
        <v>0</v>
      </c>
      <c r="AB6" s="119"/>
    </row>
    <row r="7" spans="1:28" s="55" customFormat="1" ht="13">
      <c r="C7" s="136"/>
      <c r="D7" s="111"/>
      <c r="E7" s="106"/>
      <c r="F7" s="104"/>
      <c r="G7" s="76"/>
      <c r="H7" s="104"/>
      <c r="I7" s="248"/>
      <c r="K7" s="234"/>
      <c r="L7" s="104"/>
      <c r="M7" s="110"/>
      <c r="N7" s="248"/>
      <c r="O7" s="104"/>
      <c r="P7" s="132"/>
      <c r="Q7" s="132"/>
      <c r="R7" s="132"/>
      <c r="S7" s="132"/>
      <c r="T7" s="132"/>
      <c r="U7" s="132"/>
      <c r="V7" s="116"/>
      <c r="W7" s="116"/>
      <c r="X7" s="116"/>
      <c r="Y7" s="116"/>
      <c r="Z7" s="116"/>
      <c r="AA7" s="116"/>
      <c r="AB7" s="76"/>
    </row>
    <row r="8" spans="1:28" ht="26">
      <c r="B8" s="3" t="s">
        <v>158</v>
      </c>
      <c r="C8" s="26" t="s">
        <v>159</v>
      </c>
      <c r="D8" s="120"/>
      <c r="E8" s="6"/>
      <c r="F8" s="3"/>
      <c r="G8" s="119"/>
      <c r="H8" s="3"/>
      <c r="I8" s="250"/>
      <c r="K8" s="242"/>
      <c r="L8" s="3"/>
      <c r="M8" s="33"/>
      <c r="N8" s="250"/>
      <c r="O8" s="3"/>
      <c r="P8" s="132"/>
      <c r="Q8" s="132"/>
      <c r="R8" s="132"/>
      <c r="S8" s="132"/>
      <c r="T8" s="132"/>
      <c r="U8" s="132"/>
      <c r="V8" s="133">
        <f t="shared" ref="V8:AA8" si="1">SUM(V9:V12)</f>
        <v>0</v>
      </c>
      <c r="W8" s="133">
        <f t="shared" si="1"/>
        <v>0</v>
      </c>
      <c r="X8" s="133">
        <f t="shared" si="1"/>
        <v>0</v>
      </c>
      <c r="Y8" s="133">
        <f t="shared" si="1"/>
        <v>0</v>
      </c>
      <c r="Z8" s="133">
        <f t="shared" si="1"/>
        <v>0</v>
      </c>
      <c r="AA8" s="133">
        <f t="shared" si="1"/>
        <v>0</v>
      </c>
      <c r="AB8" s="119"/>
    </row>
    <row r="9" spans="1:28" ht="37.5">
      <c r="B9" s="3"/>
      <c r="C9" s="66" t="s">
        <v>182</v>
      </c>
      <c r="D9" s="76"/>
      <c r="E9" s="11">
        <v>5</v>
      </c>
      <c r="F9" s="3" t="s">
        <v>183</v>
      </c>
      <c r="G9" s="282">
        <v>5</v>
      </c>
      <c r="H9" s="3" t="s">
        <v>183</v>
      </c>
      <c r="I9" s="248">
        <f>'Etape 3-Métaux-MatPre'!$C$19*'Etape 3-Métaux-MatPre'!$G$21/100</f>
        <v>0</v>
      </c>
      <c r="J9" s="3" t="s">
        <v>184</v>
      </c>
      <c r="K9" s="235">
        <f>G9*I9</f>
        <v>0</v>
      </c>
      <c r="L9" s="3" t="s">
        <v>36</v>
      </c>
      <c r="M9" s="649" t="s">
        <v>729</v>
      </c>
      <c r="N9" s="277">
        <f>K9</f>
        <v>0</v>
      </c>
      <c r="O9" s="3" t="s">
        <v>36</v>
      </c>
      <c r="P9" s="342">
        <v>0.2</v>
      </c>
      <c r="Q9" s="342">
        <v>0.4</v>
      </c>
      <c r="R9" s="342">
        <v>0.4</v>
      </c>
      <c r="S9" s="132"/>
      <c r="T9" s="132"/>
      <c r="U9" s="132"/>
      <c r="V9" s="116">
        <f t="shared" ref="V9:AA9" si="2">$N9*P9</f>
        <v>0</v>
      </c>
      <c r="W9" s="116">
        <f t="shared" si="2"/>
        <v>0</v>
      </c>
      <c r="X9" s="116">
        <f t="shared" si="2"/>
        <v>0</v>
      </c>
      <c r="Y9" s="116">
        <f t="shared" si="2"/>
        <v>0</v>
      </c>
      <c r="Z9" s="116">
        <f t="shared" si="2"/>
        <v>0</v>
      </c>
      <c r="AA9" s="116">
        <f t="shared" si="2"/>
        <v>0</v>
      </c>
      <c r="AB9" s="76"/>
    </row>
    <row r="10" spans="1:28" ht="55.5" customHeight="1">
      <c r="B10" s="3"/>
      <c r="C10" s="685" t="s">
        <v>829</v>
      </c>
      <c r="D10" s="76"/>
      <c r="E10" s="655" t="s">
        <v>831</v>
      </c>
      <c r="F10" s="3" t="s">
        <v>183</v>
      </c>
      <c r="G10" s="282">
        <v>4.25</v>
      </c>
      <c r="H10" s="3" t="s">
        <v>183</v>
      </c>
      <c r="I10" s="248">
        <f>'Etape 3-Métaux-MatPre'!$C$19*'Etape 3-Métaux-MatPre'!$H$21/100</f>
        <v>0</v>
      </c>
      <c r="J10" s="3" t="s">
        <v>184</v>
      </c>
      <c r="K10" s="235">
        <f>G10*I10</f>
        <v>0</v>
      </c>
      <c r="L10" s="3" t="s">
        <v>36</v>
      </c>
      <c r="M10" s="649" t="s">
        <v>798</v>
      </c>
      <c r="N10" s="277">
        <f t="shared" ref="N10:N12" si="3">K10</f>
        <v>0</v>
      </c>
      <c r="O10" s="3" t="s">
        <v>36</v>
      </c>
      <c r="P10" s="342">
        <v>0.06</v>
      </c>
      <c r="Q10" s="342">
        <v>0.47</v>
      </c>
      <c r="R10" s="342">
        <v>0.47</v>
      </c>
      <c r="S10" s="132"/>
      <c r="T10" s="132"/>
      <c r="U10" s="132"/>
      <c r="V10" s="116">
        <f>$N10*P10</f>
        <v>0</v>
      </c>
      <c r="W10" s="116">
        <f t="shared" ref="W10:AA10" si="4">$N10*Q10</f>
        <v>0</v>
      </c>
      <c r="X10" s="116">
        <f t="shared" si="4"/>
        <v>0</v>
      </c>
      <c r="Y10" s="116">
        <f t="shared" si="4"/>
        <v>0</v>
      </c>
      <c r="Z10" s="116">
        <f>$N10*T10</f>
        <v>0</v>
      </c>
      <c r="AA10" s="116">
        <f t="shared" si="4"/>
        <v>0</v>
      </c>
      <c r="AB10" s="76"/>
    </row>
    <row r="11" spans="1:28" ht="37.5">
      <c r="B11" s="3"/>
      <c r="C11" s="666" t="s">
        <v>185</v>
      </c>
      <c r="D11" s="76"/>
      <c r="E11" s="565" t="s">
        <v>728</v>
      </c>
      <c r="F11" s="3" t="s">
        <v>183</v>
      </c>
      <c r="G11" s="335">
        <v>1.3</v>
      </c>
      <c r="H11" s="3" t="s">
        <v>183</v>
      </c>
      <c r="I11" s="248">
        <f>'Etape 3-Métaux-MatPre'!$C$22*'Etape 3-Métaux-MatPre'!$G$24/100</f>
        <v>0</v>
      </c>
      <c r="J11" s="3" t="s">
        <v>184</v>
      </c>
      <c r="K11" s="235">
        <f>G11*I11</f>
        <v>0</v>
      </c>
      <c r="L11" s="3" t="s">
        <v>36</v>
      </c>
      <c r="M11" s="33" t="s">
        <v>730</v>
      </c>
      <c r="N11" s="277">
        <f t="shared" si="3"/>
        <v>0</v>
      </c>
      <c r="O11" s="3" t="s">
        <v>36</v>
      </c>
      <c r="P11" s="342">
        <v>0.77</v>
      </c>
      <c r="Q11" s="342">
        <v>0.12</v>
      </c>
      <c r="R11" s="342">
        <v>0.11</v>
      </c>
      <c r="S11" s="132"/>
      <c r="T11" s="132"/>
      <c r="U11" s="132"/>
      <c r="V11" s="116">
        <f t="shared" ref="V11:AA12" si="5">$N11*P11</f>
        <v>0</v>
      </c>
      <c r="W11" s="116">
        <f t="shared" si="5"/>
        <v>0</v>
      </c>
      <c r="X11" s="116">
        <f t="shared" si="5"/>
        <v>0</v>
      </c>
      <c r="Y11" s="116">
        <f t="shared" si="5"/>
        <v>0</v>
      </c>
      <c r="Z11" s="116">
        <f t="shared" si="5"/>
        <v>0</v>
      </c>
      <c r="AA11" s="116">
        <f t="shared" si="5"/>
        <v>0</v>
      </c>
      <c r="AB11" s="76"/>
    </row>
    <row r="12" spans="1:28" ht="62.5">
      <c r="B12" s="3"/>
      <c r="C12" s="666" t="s">
        <v>830</v>
      </c>
      <c r="D12" s="319"/>
      <c r="E12" s="655" t="s">
        <v>832</v>
      </c>
      <c r="F12" s="232" t="s">
        <v>183</v>
      </c>
      <c r="G12" s="657">
        <v>0.55000000000000004</v>
      </c>
      <c r="H12" s="232" t="s">
        <v>183</v>
      </c>
      <c r="I12" s="248">
        <f>'Etape 3-Métaux-MatPre'!$C$22*'Etape 3-Métaux-MatPre'!$H$24/100</f>
        <v>0</v>
      </c>
      <c r="J12" s="232" t="s">
        <v>184</v>
      </c>
      <c r="K12" s="173">
        <f>G12*I12</f>
        <v>0</v>
      </c>
      <c r="L12" s="232" t="s">
        <v>36</v>
      </c>
      <c r="M12" s="33" t="s">
        <v>731</v>
      </c>
      <c r="N12" s="277">
        <f t="shared" si="3"/>
        <v>0</v>
      </c>
      <c r="O12" s="3" t="s">
        <v>36</v>
      </c>
      <c r="P12" s="342">
        <v>0.45</v>
      </c>
      <c r="Q12" s="342">
        <v>0.28000000000000003</v>
      </c>
      <c r="R12" s="342">
        <v>0.27</v>
      </c>
      <c r="S12" s="132"/>
      <c r="T12" s="132"/>
      <c r="U12" s="132"/>
      <c r="V12" s="116">
        <f t="shared" si="5"/>
        <v>0</v>
      </c>
      <c r="W12" s="116">
        <f t="shared" si="5"/>
        <v>0</v>
      </c>
      <c r="X12" s="116">
        <f t="shared" si="5"/>
        <v>0</v>
      </c>
      <c r="Y12" s="116">
        <f t="shared" si="5"/>
        <v>0</v>
      </c>
      <c r="Z12" s="116">
        <f t="shared" si="5"/>
        <v>0</v>
      </c>
      <c r="AA12" s="116">
        <f t="shared" si="5"/>
        <v>0</v>
      </c>
      <c r="AB12" s="76"/>
    </row>
    <row r="13" spans="1:28" s="55" customFormat="1" ht="13">
      <c r="B13" s="104"/>
      <c r="C13" s="137"/>
      <c r="D13" s="76"/>
      <c r="E13" s="106"/>
      <c r="F13" s="104"/>
      <c r="G13" s="76"/>
      <c r="H13" s="104"/>
      <c r="I13" s="248"/>
      <c r="K13" s="234"/>
      <c r="L13" s="104"/>
      <c r="M13" s="138"/>
      <c r="N13" s="248"/>
      <c r="O13" s="104"/>
      <c r="P13" s="132"/>
      <c r="Q13" s="132"/>
      <c r="R13" s="132"/>
      <c r="S13" s="132"/>
      <c r="T13" s="132"/>
      <c r="U13" s="132"/>
      <c r="V13" s="116"/>
      <c r="W13" s="116"/>
      <c r="X13" s="116"/>
      <c r="Y13" s="116"/>
      <c r="Z13" s="116"/>
      <c r="AA13" s="116"/>
      <c r="AB13" s="76"/>
    </row>
    <row r="14" spans="1:28" ht="13">
      <c r="B14" t="s">
        <v>168</v>
      </c>
      <c r="C14" s="12" t="s">
        <v>160</v>
      </c>
      <c r="D14" s="119"/>
      <c r="E14" s="6"/>
      <c r="F14" s="3"/>
      <c r="G14" s="119"/>
      <c r="H14" s="3"/>
      <c r="I14" s="250"/>
      <c r="K14" s="242"/>
      <c r="L14" s="3" t="s">
        <v>36</v>
      </c>
      <c r="M14" s="33"/>
      <c r="N14" s="250"/>
      <c r="O14" s="3"/>
      <c r="P14" s="132"/>
      <c r="Q14" s="132"/>
      <c r="R14" s="132"/>
      <c r="S14" s="132"/>
      <c r="T14" s="132"/>
      <c r="U14" s="132"/>
      <c r="V14" s="133">
        <f>SUM(V15:V19)</f>
        <v>0</v>
      </c>
      <c r="W14" s="133">
        <f t="shared" ref="W14:Z14" si="6">SUM(W15:W19)</f>
        <v>0</v>
      </c>
      <c r="X14" s="133">
        <f t="shared" si="6"/>
        <v>0</v>
      </c>
      <c r="Y14" s="133">
        <f t="shared" si="6"/>
        <v>0</v>
      </c>
      <c r="Z14" s="133">
        <f t="shared" si="6"/>
        <v>0</v>
      </c>
      <c r="AA14" s="133">
        <f>SUM(AA15:AA19)</f>
        <v>0</v>
      </c>
      <c r="AB14" s="119"/>
    </row>
    <row r="15" spans="1:28" ht="13">
      <c r="C15" s="12" t="s">
        <v>162</v>
      </c>
      <c r="D15" s="76"/>
      <c r="E15" s="35" t="s">
        <v>43</v>
      </c>
      <c r="F15" s="3" t="s">
        <v>43</v>
      </c>
      <c r="G15" s="76" t="s">
        <v>43</v>
      </c>
      <c r="H15" s="3" t="s">
        <v>43</v>
      </c>
      <c r="I15" s="248"/>
      <c r="K15" s="234"/>
      <c r="L15" s="3" t="s">
        <v>36</v>
      </c>
      <c r="M15" s="33"/>
      <c r="N15" s="247"/>
      <c r="O15" s="3" t="s">
        <v>36</v>
      </c>
      <c r="P15" s="132"/>
      <c r="Q15" s="132"/>
      <c r="R15" s="132"/>
      <c r="S15" s="132"/>
      <c r="T15" s="132"/>
      <c r="U15" s="132"/>
      <c r="V15" s="116">
        <f>$N15*P15</f>
        <v>0</v>
      </c>
      <c r="W15" s="116">
        <f t="shared" ref="V15:AA19" si="7">$N15*Q15</f>
        <v>0</v>
      </c>
      <c r="X15" s="116">
        <f t="shared" si="7"/>
        <v>0</v>
      </c>
      <c r="Y15" s="116">
        <f t="shared" si="7"/>
        <v>0</v>
      </c>
      <c r="Z15" s="116">
        <f t="shared" si="7"/>
        <v>0</v>
      </c>
      <c r="AA15" s="116">
        <f t="shared" si="7"/>
        <v>0</v>
      </c>
      <c r="AB15" s="76"/>
    </row>
    <row r="16" spans="1:28" ht="50.5">
      <c r="C16" s="12" t="s">
        <v>163</v>
      </c>
      <c r="D16" s="76"/>
      <c r="E16" s="563" t="s">
        <v>716</v>
      </c>
      <c r="F16" s="3" t="s">
        <v>342</v>
      </c>
      <c r="G16" s="76">
        <v>65</v>
      </c>
      <c r="H16" s="36" t="s">
        <v>383</v>
      </c>
      <c r="I16" s="248">
        <f>'Etape 3-Métaux-MatPre'!C7</f>
        <v>0</v>
      </c>
      <c r="J16" s="231" t="s">
        <v>348</v>
      </c>
      <c r="K16" s="234">
        <f>G16*I16/1000</f>
        <v>0</v>
      </c>
      <c r="L16" s="3" t="s">
        <v>36</v>
      </c>
      <c r="M16" s="33" t="s">
        <v>761</v>
      </c>
      <c r="N16" s="253">
        <f>$K$16*'Etape 3-Métaux-MatPre'!G$9/100</f>
        <v>0</v>
      </c>
      <c r="O16" s="3" t="s">
        <v>36</v>
      </c>
      <c r="P16" s="132">
        <v>0.9</v>
      </c>
      <c r="Q16" s="132"/>
      <c r="R16" s="132"/>
      <c r="S16" s="132"/>
      <c r="T16" s="132"/>
      <c r="U16" s="132">
        <v>0.1</v>
      </c>
      <c r="V16" s="116">
        <f t="shared" si="7"/>
        <v>0</v>
      </c>
      <c r="W16" s="116">
        <f t="shared" si="7"/>
        <v>0</v>
      </c>
      <c r="X16" s="116">
        <f t="shared" si="7"/>
        <v>0</v>
      </c>
      <c r="Y16" s="116">
        <f t="shared" si="7"/>
        <v>0</v>
      </c>
      <c r="Z16" s="116">
        <f t="shared" si="7"/>
        <v>0</v>
      </c>
      <c r="AA16" s="116">
        <f t="shared" si="7"/>
        <v>0</v>
      </c>
      <c r="AB16" s="76"/>
    </row>
    <row r="17" spans="1:28" ht="25.5">
      <c r="C17" s="12"/>
      <c r="D17" s="76"/>
      <c r="E17" s="563"/>
      <c r="F17" s="3"/>
      <c r="G17" s="76"/>
      <c r="H17" s="36"/>
      <c r="I17" s="248"/>
      <c r="K17" s="234"/>
      <c r="L17" s="3"/>
      <c r="M17" s="649" t="s">
        <v>762</v>
      </c>
      <c r="N17" s="253">
        <f>$K$16*'Etape 3-Métaux-MatPre'!H$9/100</f>
        <v>0</v>
      </c>
      <c r="O17" s="3" t="s">
        <v>36</v>
      </c>
      <c r="P17" s="132">
        <v>0.49</v>
      </c>
      <c r="Q17" s="132">
        <v>0.02</v>
      </c>
      <c r="R17" s="132"/>
      <c r="S17" s="132"/>
      <c r="T17" s="132"/>
      <c r="U17" s="132">
        <v>0.49</v>
      </c>
      <c r="V17" s="116">
        <f t="shared" si="7"/>
        <v>0</v>
      </c>
      <c r="W17" s="116">
        <f t="shared" si="7"/>
        <v>0</v>
      </c>
      <c r="X17" s="116">
        <f t="shared" si="7"/>
        <v>0</v>
      </c>
      <c r="Y17" s="116">
        <f t="shared" si="7"/>
        <v>0</v>
      </c>
      <c r="Z17" s="116">
        <f t="shared" si="7"/>
        <v>0</v>
      </c>
      <c r="AA17" s="116">
        <f t="shared" si="7"/>
        <v>0</v>
      </c>
      <c r="AB17" s="76"/>
    </row>
    <row r="18" spans="1:28" ht="38">
      <c r="C18" s="12"/>
      <c r="D18" s="76"/>
      <c r="E18" s="563"/>
      <c r="F18" s="3"/>
      <c r="G18" s="76"/>
      <c r="H18" s="36"/>
      <c r="I18" s="248"/>
      <c r="K18" s="234"/>
      <c r="L18" s="3"/>
      <c r="M18" s="649" t="s">
        <v>717</v>
      </c>
      <c r="N18" s="253">
        <f>$K$16*'Etape 3-Métaux-MatPre'!I$9/100</f>
        <v>0</v>
      </c>
      <c r="O18" s="3" t="s">
        <v>36</v>
      </c>
      <c r="P18" s="132">
        <v>0.1</v>
      </c>
      <c r="Q18" s="132">
        <v>0.02</v>
      </c>
      <c r="R18" s="132"/>
      <c r="S18" s="132">
        <v>0.42</v>
      </c>
      <c r="T18" s="132"/>
      <c r="U18" s="132">
        <v>0.46</v>
      </c>
      <c r="V18" s="116">
        <f t="shared" si="7"/>
        <v>0</v>
      </c>
      <c r="W18" s="116">
        <f t="shared" si="7"/>
        <v>0</v>
      </c>
      <c r="X18" s="116">
        <f t="shared" si="7"/>
        <v>0</v>
      </c>
      <c r="Y18" s="116">
        <f t="shared" si="7"/>
        <v>0</v>
      </c>
      <c r="Z18" s="116">
        <f t="shared" si="7"/>
        <v>0</v>
      </c>
      <c r="AA18" s="116">
        <f t="shared" si="7"/>
        <v>0</v>
      </c>
      <c r="AB18" s="76"/>
    </row>
    <row r="19" spans="1:28" ht="50.5">
      <c r="C19" s="12"/>
      <c r="D19" s="76"/>
      <c r="E19" s="563"/>
      <c r="F19" s="3"/>
      <c r="G19" s="76"/>
      <c r="H19" s="36"/>
      <c r="I19" s="248"/>
      <c r="K19" s="234"/>
      <c r="L19" s="3"/>
      <c r="M19" s="649" t="s">
        <v>763</v>
      </c>
      <c r="N19" s="253">
        <f>$K$16*'Etape 3-Métaux-MatPre'!J$9/100</f>
        <v>0</v>
      </c>
      <c r="O19" s="3" t="s">
        <v>36</v>
      </c>
      <c r="P19" s="132">
        <v>0.02</v>
      </c>
      <c r="Q19" s="132">
        <v>0.02</v>
      </c>
      <c r="R19" s="132"/>
      <c r="S19" s="132">
        <v>0.48</v>
      </c>
      <c r="T19" s="132"/>
      <c r="U19" s="132">
        <v>0.48</v>
      </c>
      <c r="V19" s="116">
        <f t="shared" si="7"/>
        <v>0</v>
      </c>
      <c r="W19" s="116">
        <f t="shared" si="7"/>
        <v>0</v>
      </c>
      <c r="X19" s="116">
        <f t="shared" si="7"/>
        <v>0</v>
      </c>
      <c r="Y19" s="116">
        <f t="shared" si="7"/>
        <v>0</v>
      </c>
      <c r="Z19" s="116">
        <f t="shared" si="7"/>
        <v>0</v>
      </c>
      <c r="AA19" s="116">
        <f t="shared" si="7"/>
        <v>0</v>
      </c>
      <c r="AB19" s="76"/>
    </row>
    <row r="20" spans="1:28" s="55" customFormat="1" ht="13">
      <c r="C20" s="105"/>
      <c r="D20" s="76"/>
      <c r="G20" s="76"/>
      <c r="I20" s="247"/>
      <c r="K20" s="235"/>
      <c r="M20" s="107"/>
      <c r="N20" s="248"/>
      <c r="O20" s="104"/>
      <c r="P20" s="132"/>
      <c r="Q20" s="132"/>
      <c r="R20" s="132"/>
      <c r="S20" s="132"/>
      <c r="T20" s="132"/>
      <c r="U20" s="132"/>
      <c r="V20" s="58"/>
      <c r="W20" s="58"/>
      <c r="X20" s="58"/>
      <c r="Y20" s="58"/>
      <c r="Z20" s="58"/>
      <c r="AA20" s="58"/>
      <c r="AB20" s="76"/>
    </row>
    <row r="21" spans="1:28" ht="13">
      <c r="B21" t="s">
        <v>169</v>
      </c>
      <c r="C21" s="12" t="s">
        <v>164</v>
      </c>
      <c r="D21" s="119"/>
      <c r="E21" s="6"/>
      <c r="F21" s="3"/>
      <c r="G21" s="119"/>
      <c r="H21" s="3"/>
      <c r="I21" s="250"/>
      <c r="K21" s="242"/>
      <c r="L21" s="3"/>
      <c r="M21" s="33"/>
      <c r="N21" s="250"/>
      <c r="O21" s="3"/>
      <c r="P21" s="132"/>
      <c r="Q21" s="132"/>
      <c r="R21" s="132"/>
      <c r="S21" s="132"/>
      <c r="T21" s="132"/>
      <c r="U21" s="132"/>
      <c r="V21" s="133">
        <f>SUM(V22:V26)</f>
        <v>0</v>
      </c>
      <c r="W21" s="133">
        <f t="shared" ref="W21:Z21" si="8">SUM(W22:W26)</f>
        <v>0</v>
      </c>
      <c r="X21" s="133">
        <f t="shared" si="8"/>
        <v>0</v>
      </c>
      <c r="Y21" s="133">
        <f t="shared" si="8"/>
        <v>0</v>
      </c>
      <c r="Z21" s="133">
        <f t="shared" si="8"/>
        <v>0</v>
      </c>
      <c r="AA21" s="133">
        <f>SUM(AA22:AA26)</f>
        <v>0</v>
      </c>
      <c r="AB21" s="119"/>
    </row>
    <row r="22" spans="1:28" ht="13">
      <c r="C22" s="12" t="s">
        <v>162</v>
      </c>
      <c r="D22" s="76"/>
      <c r="E22" s="35" t="s">
        <v>43</v>
      </c>
      <c r="F22" s="3" t="s">
        <v>43</v>
      </c>
      <c r="G22" s="76" t="s">
        <v>43</v>
      </c>
      <c r="H22" s="3" t="s">
        <v>43</v>
      </c>
      <c r="I22" s="248"/>
      <c r="K22" s="234"/>
      <c r="L22" s="3" t="s">
        <v>36</v>
      </c>
      <c r="M22" s="33"/>
      <c r="N22" s="248"/>
      <c r="O22" s="3" t="s">
        <v>36</v>
      </c>
      <c r="P22" s="132"/>
      <c r="Q22" s="132"/>
      <c r="R22" s="132"/>
      <c r="S22" s="132"/>
      <c r="T22" s="132"/>
      <c r="U22" s="132"/>
      <c r="V22" s="116">
        <f>$N22*P22</f>
        <v>0</v>
      </c>
      <c r="W22" s="116">
        <f t="shared" ref="V22:AA26" si="9">$N22*Q22</f>
        <v>0</v>
      </c>
      <c r="X22" s="116">
        <f t="shared" si="9"/>
        <v>0</v>
      </c>
      <c r="Y22" s="116">
        <f t="shared" si="9"/>
        <v>0</v>
      </c>
      <c r="Z22" s="116">
        <f t="shared" si="9"/>
        <v>0</v>
      </c>
      <c r="AA22" s="116">
        <f t="shared" si="9"/>
        <v>0</v>
      </c>
      <c r="AB22" s="76"/>
    </row>
    <row r="23" spans="1:28" ht="50.5">
      <c r="C23" s="12" t="s">
        <v>165</v>
      </c>
      <c r="D23" s="76"/>
      <c r="E23" s="566" t="s">
        <v>718</v>
      </c>
      <c r="F23" s="3" t="s">
        <v>342</v>
      </c>
      <c r="G23" s="76">
        <v>30</v>
      </c>
      <c r="H23" s="36" t="s">
        <v>383</v>
      </c>
      <c r="I23" s="248">
        <f>'Etape 3-Métaux-MatPre'!C10</f>
        <v>0</v>
      </c>
      <c r="J23" t="s">
        <v>348</v>
      </c>
      <c r="K23" s="234">
        <f>G23*I23/1000</f>
        <v>0</v>
      </c>
      <c r="L23" s="3" t="s">
        <v>36</v>
      </c>
      <c r="M23" s="33" t="s">
        <v>761</v>
      </c>
      <c r="N23" s="253">
        <f>$K$23*'Etape 3-Métaux-MatPre'!G$12/100</f>
        <v>0</v>
      </c>
      <c r="O23" s="3" t="s">
        <v>36</v>
      </c>
      <c r="P23" s="132">
        <v>0.9</v>
      </c>
      <c r="Q23" s="132"/>
      <c r="R23" s="132"/>
      <c r="S23" s="132"/>
      <c r="T23" s="132"/>
      <c r="U23" s="132">
        <v>0.1</v>
      </c>
      <c r="V23" s="116">
        <f t="shared" si="9"/>
        <v>0</v>
      </c>
      <c r="W23" s="116">
        <f t="shared" si="9"/>
        <v>0</v>
      </c>
      <c r="X23" s="116">
        <f t="shared" si="9"/>
        <v>0</v>
      </c>
      <c r="Y23" s="116">
        <f t="shared" si="9"/>
        <v>0</v>
      </c>
      <c r="Z23" s="116">
        <f t="shared" si="9"/>
        <v>0</v>
      </c>
      <c r="AA23" s="116">
        <f t="shared" si="9"/>
        <v>0</v>
      </c>
      <c r="AB23" s="76"/>
    </row>
    <row r="24" spans="1:28" ht="25.5">
      <c r="C24" s="12"/>
      <c r="D24" s="76"/>
      <c r="E24" s="566"/>
      <c r="F24" s="3"/>
      <c r="G24" s="76"/>
      <c r="H24" s="36"/>
      <c r="I24" s="248"/>
      <c r="K24" s="234"/>
      <c r="L24" s="3"/>
      <c r="M24" s="33" t="s">
        <v>762</v>
      </c>
      <c r="N24" s="253">
        <f>$K$23*'Etape 3-Métaux-MatPre'!H$12/100</f>
        <v>0</v>
      </c>
      <c r="O24" s="3" t="s">
        <v>36</v>
      </c>
      <c r="P24" s="132">
        <v>0.49</v>
      </c>
      <c r="Q24" s="132">
        <v>0.02</v>
      </c>
      <c r="R24" s="132"/>
      <c r="S24" s="132"/>
      <c r="T24" s="132"/>
      <c r="U24" s="132">
        <v>0.49</v>
      </c>
      <c r="V24" s="116">
        <f t="shared" si="9"/>
        <v>0</v>
      </c>
      <c r="W24" s="116">
        <f t="shared" si="9"/>
        <v>0</v>
      </c>
      <c r="X24" s="116">
        <f t="shared" si="9"/>
        <v>0</v>
      </c>
      <c r="Y24" s="116">
        <f t="shared" si="9"/>
        <v>0</v>
      </c>
      <c r="Z24" s="116">
        <f t="shared" si="9"/>
        <v>0</v>
      </c>
      <c r="AA24" s="116">
        <f t="shared" si="9"/>
        <v>0</v>
      </c>
      <c r="AB24" s="76"/>
    </row>
    <row r="25" spans="1:28" ht="38">
      <c r="C25" s="12"/>
      <c r="D25" s="76"/>
      <c r="E25" s="566"/>
      <c r="F25" s="3"/>
      <c r="G25" s="76"/>
      <c r="H25" s="36"/>
      <c r="I25" s="248"/>
      <c r="K25" s="234"/>
      <c r="L25" s="3"/>
      <c r="M25" s="33" t="s">
        <v>717</v>
      </c>
      <c r="N25" s="253">
        <f>$K$23*'Etape 3-Métaux-MatPre'!I$12/100</f>
        <v>0</v>
      </c>
      <c r="O25" s="3" t="s">
        <v>36</v>
      </c>
      <c r="P25" s="132">
        <v>0.1</v>
      </c>
      <c r="Q25" s="132">
        <v>0.02</v>
      </c>
      <c r="R25" s="132"/>
      <c r="S25" s="132">
        <v>0.42</v>
      </c>
      <c r="T25" s="132"/>
      <c r="U25" s="132">
        <v>0.46</v>
      </c>
      <c r="V25" s="116">
        <f t="shared" si="9"/>
        <v>0</v>
      </c>
      <c r="W25" s="116">
        <f t="shared" si="9"/>
        <v>0</v>
      </c>
      <c r="X25" s="116">
        <f t="shared" si="9"/>
        <v>0</v>
      </c>
      <c r="Y25" s="116">
        <f t="shared" si="9"/>
        <v>0</v>
      </c>
      <c r="Z25" s="116">
        <f t="shared" si="9"/>
        <v>0</v>
      </c>
      <c r="AA25" s="116">
        <f t="shared" si="9"/>
        <v>0</v>
      </c>
      <c r="AB25" s="76"/>
    </row>
    <row r="26" spans="1:28" ht="50.5">
      <c r="C26" s="12"/>
      <c r="D26" s="76"/>
      <c r="E26" s="566"/>
      <c r="F26" s="3"/>
      <c r="G26" s="76"/>
      <c r="H26" s="36"/>
      <c r="I26" s="248"/>
      <c r="K26" s="234"/>
      <c r="L26" s="3"/>
      <c r="M26" s="33" t="s">
        <v>763</v>
      </c>
      <c r="N26" s="253">
        <f>$K$23*'Etape 3-Métaux-MatPre'!J$12/100</f>
        <v>0</v>
      </c>
      <c r="O26" s="3" t="s">
        <v>36</v>
      </c>
      <c r="P26" s="132">
        <v>0.02</v>
      </c>
      <c r="Q26" s="132">
        <v>0.02</v>
      </c>
      <c r="R26" s="132"/>
      <c r="S26" s="132">
        <v>0.48</v>
      </c>
      <c r="T26" s="132"/>
      <c r="U26" s="132">
        <v>0.48</v>
      </c>
      <c r="V26" s="116">
        <f t="shared" si="9"/>
        <v>0</v>
      </c>
      <c r="W26" s="116">
        <f t="shared" si="9"/>
        <v>0</v>
      </c>
      <c r="X26" s="116">
        <f t="shared" si="9"/>
        <v>0</v>
      </c>
      <c r="Y26" s="116">
        <f t="shared" si="9"/>
        <v>0</v>
      </c>
      <c r="Z26" s="116">
        <f t="shared" si="9"/>
        <v>0</v>
      </c>
      <c r="AA26" s="116">
        <f t="shared" si="9"/>
        <v>0</v>
      </c>
      <c r="AB26" s="76"/>
    </row>
    <row r="27" spans="1:28" s="55" customFormat="1" ht="13">
      <c r="A27" s="139"/>
      <c r="B27" s="104"/>
      <c r="C27" s="136"/>
      <c r="D27" s="111"/>
      <c r="E27" s="106"/>
      <c r="F27" s="104"/>
      <c r="G27" s="76"/>
      <c r="H27" s="104"/>
      <c r="I27" s="248"/>
      <c r="K27" s="234"/>
      <c r="L27" s="104"/>
      <c r="M27" s="110"/>
      <c r="N27" s="248"/>
      <c r="O27" s="104"/>
      <c r="P27" s="132"/>
      <c r="Q27" s="132"/>
      <c r="R27" s="132"/>
      <c r="S27" s="132"/>
      <c r="T27" s="132"/>
      <c r="U27" s="132"/>
      <c r="V27" s="116"/>
      <c r="W27" s="116"/>
      <c r="X27" s="116"/>
      <c r="Y27" s="116"/>
      <c r="Z27" s="116"/>
      <c r="AA27" s="116"/>
      <c r="AB27" s="76"/>
    </row>
    <row r="28" spans="1:28" ht="13">
      <c r="B28" t="s">
        <v>170</v>
      </c>
      <c r="C28" s="12" t="s">
        <v>166</v>
      </c>
      <c r="D28" s="119"/>
      <c r="E28" s="6"/>
      <c r="F28" s="3"/>
      <c r="G28" s="119"/>
      <c r="H28" s="3"/>
      <c r="I28" s="250"/>
      <c r="K28" s="242"/>
      <c r="L28" s="3"/>
      <c r="M28" s="33"/>
      <c r="N28" s="250"/>
      <c r="O28" s="3"/>
      <c r="P28" s="132"/>
      <c r="Q28" s="132"/>
      <c r="R28" s="132"/>
      <c r="S28" s="132"/>
      <c r="T28" s="132"/>
      <c r="U28" s="132"/>
      <c r="V28" s="133">
        <f>SUM(V29:V33)</f>
        <v>0</v>
      </c>
      <c r="W28" s="133">
        <f t="shared" ref="W28:Z28" si="10">SUM(W29:W33)</f>
        <v>0</v>
      </c>
      <c r="X28" s="133">
        <f t="shared" si="10"/>
        <v>0</v>
      </c>
      <c r="Y28" s="133">
        <f t="shared" si="10"/>
        <v>0</v>
      </c>
      <c r="Z28" s="133">
        <f t="shared" si="10"/>
        <v>0</v>
      </c>
      <c r="AA28" s="133">
        <f>SUM(AA29:AA33)</f>
        <v>0</v>
      </c>
      <c r="AB28" s="119"/>
    </row>
    <row r="29" spans="1:28" ht="13">
      <c r="C29" s="12" t="s">
        <v>162</v>
      </c>
      <c r="D29" s="76"/>
      <c r="E29" s="35" t="s">
        <v>43</v>
      </c>
      <c r="F29" s="3" t="s">
        <v>43</v>
      </c>
      <c r="G29" s="76" t="s">
        <v>43</v>
      </c>
      <c r="H29" s="3" t="s">
        <v>43</v>
      </c>
      <c r="I29" s="248"/>
      <c r="K29" s="234"/>
      <c r="L29" s="3" t="s">
        <v>36</v>
      </c>
      <c r="M29" s="33"/>
      <c r="N29" s="248"/>
      <c r="O29" s="3" t="s">
        <v>36</v>
      </c>
      <c r="P29" s="132"/>
      <c r="Q29" s="132"/>
      <c r="R29" s="132"/>
      <c r="S29" s="132"/>
      <c r="T29" s="132"/>
      <c r="U29" s="132"/>
      <c r="V29" s="116">
        <f>$N29*P29</f>
        <v>0</v>
      </c>
      <c r="W29" s="116">
        <f t="shared" ref="W29:AA29" si="11">$N29*Q29</f>
        <v>0</v>
      </c>
      <c r="X29" s="116">
        <f t="shared" si="11"/>
        <v>0</v>
      </c>
      <c r="Y29" s="116">
        <f t="shared" si="11"/>
        <v>0</v>
      </c>
      <c r="Z29" s="116">
        <f t="shared" si="11"/>
        <v>0</v>
      </c>
      <c r="AA29" s="116">
        <f t="shared" si="11"/>
        <v>0</v>
      </c>
      <c r="AB29" s="76"/>
    </row>
    <row r="30" spans="1:28" ht="50.5">
      <c r="C30" s="12" t="s">
        <v>167</v>
      </c>
      <c r="D30" s="76"/>
      <c r="E30" s="563" t="s">
        <v>719</v>
      </c>
      <c r="F30" s="3" t="s">
        <v>342</v>
      </c>
      <c r="G30" s="76">
        <v>30</v>
      </c>
      <c r="H30" s="36" t="s">
        <v>383</v>
      </c>
      <c r="I30" s="248">
        <f>'Etape 3-Métaux-MatPre'!C13</f>
        <v>0</v>
      </c>
      <c r="J30" t="s">
        <v>348</v>
      </c>
      <c r="K30" s="234">
        <f>G30*I30/1000</f>
        <v>0</v>
      </c>
      <c r="L30" s="3" t="s">
        <v>36</v>
      </c>
      <c r="M30" s="33" t="s">
        <v>761</v>
      </c>
      <c r="N30" s="253">
        <f>$K$30*'Etape 3-Métaux-MatPre'!G$15/100</f>
        <v>0</v>
      </c>
      <c r="O30" s="3" t="s">
        <v>36</v>
      </c>
      <c r="P30" s="132">
        <v>0.9</v>
      </c>
      <c r="Q30" s="132"/>
      <c r="R30" s="132"/>
      <c r="S30" s="132"/>
      <c r="T30" s="132"/>
      <c r="U30" s="132">
        <v>0.1</v>
      </c>
      <c r="V30" s="116">
        <f t="shared" ref="V30:AA33" si="12">$N30*P30</f>
        <v>0</v>
      </c>
      <c r="W30" s="116">
        <f t="shared" si="12"/>
        <v>0</v>
      </c>
      <c r="X30" s="116">
        <f t="shared" si="12"/>
        <v>0</v>
      </c>
      <c r="Y30" s="116">
        <f t="shared" si="12"/>
        <v>0</v>
      </c>
      <c r="Z30" s="116">
        <f t="shared" si="12"/>
        <v>0</v>
      </c>
      <c r="AA30" s="116">
        <f t="shared" si="12"/>
        <v>0</v>
      </c>
      <c r="AB30" s="76"/>
    </row>
    <row r="31" spans="1:28" ht="25.5">
      <c r="C31" s="12"/>
      <c r="D31" s="76"/>
      <c r="E31" s="563"/>
      <c r="F31" s="3"/>
      <c r="G31" s="76"/>
      <c r="H31" s="36"/>
      <c r="I31" s="248"/>
      <c r="K31" s="234"/>
      <c r="L31" s="3"/>
      <c r="M31" s="33" t="s">
        <v>762</v>
      </c>
      <c r="N31" s="253">
        <f>$K$30*'Etape 3-Métaux-MatPre'!H$15/100</f>
        <v>0</v>
      </c>
      <c r="O31" s="3" t="s">
        <v>36</v>
      </c>
      <c r="P31" s="132">
        <v>0.49</v>
      </c>
      <c r="Q31" s="132">
        <v>0.02</v>
      </c>
      <c r="R31" s="132"/>
      <c r="S31" s="132"/>
      <c r="T31" s="132"/>
      <c r="U31" s="132">
        <v>0.49</v>
      </c>
      <c r="V31" s="116">
        <f t="shared" si="12"/>
        <v>0</v>
      </c>
      <c r="W31" s="116">
        <f t="shared" si="12"/>
        <v>0</v>
      </c>
      <c r="X31" s="116">
        <f t="shared" si="12"/>
        <v>0</v>
      </c>
      <c r="Y31" s="116">
        <f t="shared" si="12"/>
        <v>0</v>
      </c>
      <c r="Z31" s="116">
        <f t="shared" si="12"/>
        <v>0</v>
      </c>
      <c r="AA31" s="116">
        <f t="shared" si="12"/>
        <v>0</v>
      </c>
      <c r="AB31" s="76"/>
    </row>
    <row r="32" spans="1:28" ht="38">
      <c r="C32" s="12"/>
      <c r="D32" s="76"/>
      <c r="E32" s="563"/>
      <c r="F32" s="3"/>
      <c r="G32" s="76"/>
      <c r="H32" s="36"/>
      <c r="I32" s="248"/>
      <c r="K32" s="234"/>
      <c r="L32" s="3"/>
      <c r="M32" s="33" t="s">
        <v>717</v>
      </c>
      <c r="N32" s="253">
        <f>$K$30*'Etape 3-Métaux-MatPre'!I$15/100</f>
        <v>0</v>
      </c>
      <c r="O32" s="3" t="s">
        <v>36</v>
      </c>
      <c r="P32" s="132">
        <v>0.1</v>
      </c>
      <c r="Q32" s="132">
        <v>0.02</v>
      </c>
      <c r="R32" s="132"/>
      <c r="S32" s="132">
        <v>0.42</v>
      </c>
      <c r="T32" s="132"/>
      <c r="U32" s="132">
        <v>0.46</v>
      </c>
      <c r="V32" s="116">
        <f t="shared" si="12"/>
        <v>0</v>
      </c>
      <c r="W32" s="116">
        <f t="shared" si="12"/>
        <v>0</v>
      </c>
      <c r="X32" s="116">
        <f t="shared" si="12"/>
        <v>0</v>
      </c>
      <c r="Y32" s="116">
        <f t="shared" si="12"/>
        <v>0</v>
      </c>
      <c r="Z32" s="116">
        <f t="shared" si="12"/>
        <v>0</v>
      </c>
      <c r="AA32" s="116">
        <f t="shared" si="12"/>
        <v>0</v>
      </c>
      <c r="AB32" s="76"/>
    </row>
    <row r="33" spans="1:28" ht="50.5">
      <c r="C33" s="12"/>
      <c r="D33" s="76"/>
      <c r="E33" s="563"/>
      <c r="F33" s="3"/>
      <c r="G33" s="76"/>
      <c r="H33" s="36"/>
      <c r="I33" s="248"/>
      <c r="K33" s="234"/>
      <c r="L33" s="3"/>
      <c r="M33" s="33" t="s">
        <v>763</v>
      </c>
      <c r="N33" s="253">
        <f>$K$30*'Etape 3-Métaux-MatPre'!J$15/100</f>
        <v>0</v>
      </c>
      <c r="O33" s="3" t="s">
        <v>36</v>
      </c>
      <c r="P33" s="132">
        <v>0.02</v>
      </c>
      <c r="Q33" s="132">
        <v>0.02</v>
      </c>
      <c r="R33" s="132"/>
      <c r="S33" s="132">
        <v>0.48</v>
      </c>
      <c r="T33" s="132"/>
      <c r="U33" s="132">
        <v>0.48</v>
      </c>
      <c r="V33" s="116">
        <f t="shared" si="12"/>
        <v>0</v>
      </c>
      <c r="W33" s="116">
        <f t="shared" si="12"/>
        <v>0</v>
      </c>
      <c r="X33" s="116">
        <f t="shared" si="12"/>
        <v>0</v>
      </c>
      <c r="Y33" s="116">
        <f t="shared" si="12"/>
        <v>0</v>
      </c>
      <c r="Z33" s="116">
        <f t="shared" si="12"/>
        <v>0</v>
      </c>
      <c r="AA33" s="116">
        <f t="shared" si="12"/>
        <v>0</v>
      </c>
      <c r="AB33" s="76"/>
    </row>
    <row r="34" spans="1:28" s="55" customFormat="1">
      <c r="A34" s="104"/>
      <c r="B34" s="104"/>
      <c r="C34" s="105"/>
      <c r="D34" s="76"/>
      <c r="E34" s="106"/>
      <c r="F34" s="104"/>
      <c r="G34" s="76"/>
      <c r="H34" s="104"/>
      <c r="I34" s="248"/>
      <c r="K34" s="234"/>
      <c r="L34" s="104"/>
      <c r="M34" s="138"/>
      <c r="N34" s="248"/>
      <c r="O34" s="104"/>
      <c r="P34" s="132"/>
      <c r="Q34" s="132"/>
      <c r="R34" s="132"/>
      <c r="S34" s="132"/>
      <c r="T34" s="132"/>
      <c r="U34" s="132"/>
      <c r="V34" s="116"/>
      <c r="W34" s="116"/>
      <c r="X34" s="116"/>
      <c r="Y34" s="116"/>
      <c r="Z34" s="116"/>
      <c r="AA34" s="116"/>
      <c r="AB34" s="76"/>
    </row>
    <row r="35" spans="1:28" ht="39">
      <c r="B35" t="s">
        <v>171</v>
      </c>
      <c r="C35" s="12" t="s">
        <v>317</v>
      </c>
      <c r="D35" s="119"/>
      <c r="E35" s="565" t="s">
        <v>720</v>
      </c>
      <c r="F35" s="36" t="s">
        <v>432</v>
      </c>
      <c r="G35" s="337">
        <v>5.5</v>
      </c>
      <c r="H35" s="36" t="s">
        <v>442</v>
      </c>
      <c r="I35" s="438">
        <f>'Etape 3-Métaux-MatPre'!C16</f>
        <v>0</v>
      </c>
      <c r="J35" s="53" t="s">
        <v>441</v>
      </c>
      <c r="K35" s="234">
        <f>G35*I35/1000</f>
        <v>0</v>
      </c>
      <c r="L35" s="3" t="s">
        <v>36</v>
      </c>
      <c r="M35" s="33"/>
      <c r="N35" s="251">
        <f>K35</f>
        <v>0</v>
      </c>
      <c r="O35" s="3" t="s">
        <v>36</v>
      </c>
      <c r="P35" s="132">
        <v>0.04</v>
      </c>
      <c r="Q35" s="132">
        <v>0.02</v>
      </c>
      <c r="R35" s="132">
        <v>0.9</v>
      </c>
      <c r="S35" s="132">
        <v>0.04</v>
      </c>
      <c r="T35" s="132"/>
      <c r="U35" s="132"/>
      <c r="V35" s="133">
        <f t="shared" ref="V35:AA35" si="13">$N35*P35</f>
        <v>0</v>
      </c>
      <c r="W35" s="133">
        <f t="shared" si="13"/>
        <v>0</v>
      </c>
      <c r="X35" s="133">
        <f t="shared" si="13"/>
        <v>0</v>
      </c>
      <c r="Y35" s="133">
        <f t="shared" si="13"/>
        <v>0</v>
      </c>
      <c r="Z35" s="133">
        <f t="shared" si="13"/>
        <v>0</v>
      </c>
      <c r="AA35" s="133">
        <f t="shared" si="13"/>
        <v>0</v>
      </c>
      <c r="AB35" s="119"/>
    </row>
    <row r="36" spans="1:28" s="55" customFormat="1" ht="13">
      <c r="A36" s="104"/>
      <c r="B36" s="104"/>
      <c r="C36" s="136"/>
      <c r="D36" s="111"/>
      <c r="E36" s="106"/>
      <c r="F36" s="104"/>
      <c r="G36" s="76"/>
      <c r="H36" s="104"/>
      <c r="I36" s="248"/>
      <c r="K36" s="234"/>
      <c r="L36" s="104"/>
      <c r="M36" s="107"/>
      <c r="N36" s="248"/>
      <c r="O36" s="104"/>
      <c r="P36" s="132"/>
      <c r="Q36" s="132"/>
      <c r="R36" s="132"/>
      <c r="S36" s="132"/>
      <c r="T36" s="132"/>
      <c r="U36" s="132"/>
      <c r="V36" s="116"/>
      <c r="W36" s="116"/>
      <c r="X36" s="116"/>
      <c r="Y36" s="116"/>
      <c r="Z36" s="116"/>
      <c r="AA36" s="116"/>
      <c r="AB36" s="76"/>
    </row>
    <row r="37" spans="1:28" ht="26">
      <c r="B37" t="s">
        <v>176</v>
      </c>
      <c r="C37" s="12" t="s">
        <v>174</v>
      </c>
      <c r="D37" s="119"/>
      <c r="E37" s="6"/>
      <c r="F37" s="3"/>
      <c r="G37" s="119"/>
      <c r="H37" s="3"/>
      <c r="I37" s="250"/>
      <c r="K37" s="242"/>
      <c r="L37" s="3"/>
      <c r="M37" s="33"/>
      <c r="N37" s="250"/>
      <c r="O37" s="3"/>
      <c r="P37" s="132"/>
      <c r="Q37" s="132"/>
      <c r="R37" s="132"/>
      <c r="S37" s="132"/>
      <c r="T37" s="132"/>
      <c r="U37" s="132"/>
      <c r="V37" s="133">
        <f t="shared" ref="V37:AA37" si="14">SUM(V38:V39)</f>
        <v>0</v>
      </c>
      <c r="W37" s="133">
        <f t="shared" si="14"/>
        <v>0</v>
      </c>
      <c r="X37" s="133">
        <f t="shared" si="14"/>
        <v>0</v>
      </c>
      <c r="Y37" s="133">
        <f t="shared" si="14"/>
        <v>0</v>
      </c>
      <c r="Z37" s="133">
        <f t="shared" si="14"/>
        <v>0</v>
      </c>
      <c r="AA37" s="133">
        <f t="shared" si="14"/>
        <v>0</v>
      </c>
      <c r="AB37" s="119"/>
    </row>
    <row r="38" spans="1:28" ht="13">
      <c r="C38" s="12" t="s">
        <v>408</v>
      </c>
      <c r="D38" s="76"/>
      <c r="E38" s="8" t="s">
        <v>405</v>
      </c>
      <c r="F38" s="36" t="s">
        <v>407</v>
      </c>
      <c r="G38" s="76">
        <v>0.5</v>
      </c>
      <c r="H38" s="36" t="s">
        <v>407</v>
      </c>
      <c r="I38" s="248">
        <f>'Etape 3-Métaux-MatPre'!C17</f>
        <v>0</v>
      </c>
      <c r="J38" s="8" t="s">
        <v>406</v>
      </c>
      <c r="K38" s="234">
        <f>G38*I38/1000</f>
        <v>0</v>
      </c>
      <c r="L38" s="3" t="s">
        <v>36</v>
      </c>
      <c r="M38" s="33"/>
      <c r="N38" s="248">
        <f>K38</f>
        <v>0</v>
      </c>
      <c r="O38" s="3" t="s">
        <v>36</v>
      </c>
      <c r="P38" s="132">
        <v>0.15</v>
      </c>
      <c r="Q38" s="132">
        <v>0.1</v>
      </c>
      <c r="R38" s="132"/>
      <c r="S38" s="132"/>
      <c r="T38" s="132">
        <v>0.65</v>
      </c>
      <c r="U38" s="132">
        <v>0.1</v>
      </c>
      <c r="V38" s="116">
        <f t="shared" ref="V38:AA39" si="15">$N38*P38</f>
        <v>0</v>
      </c>
      <c r="W38" s="116">
        <f t="shared" si="15"/>
        <v>0</v>
      </c>
      <c r="X38" s="116">
        <f t="shared" si="15"/>
        <v>0</v>
      </c>
      <c r="Y38" s="116">
        <f t="shared" si="15"/>
        <v>0</v>
      </c>
      <c r="Z38" s="116">
        <f t="shared" si="15"/>
        <v>0</v>
      </c>
      <c r="AA38" s="116">
        <f t="shared" si="15"/>
        <v>0</v>
      </c>
      <c r="AB38" s="76"/>
    </row>
    <row r="39" spans="1:28" ht="13">
      <c r="C39" s="12" t="s">
        <v>175</v>
      </c>
      <c r="D39" s="76"/>
      <c r="E39" t="s">
        <v>43</v>
      </c>
      <c r="F39" s="3" t="s">
        <v>43</v>
      </c>
      <c r="G39" s="76" t="s">
        <v>43</v>
      </c>
      <c r="H39" s="3" t="s">
        <v>43</v>
      </c>
      <c r="I39" s="248"/>
      <c r="J39" t="s">
        <v>43</v>
      </c>
      <c r="K39" s="234"/>
      <c r="L39" s="3" t="s">
        <v>36</v>
      </c>
      <c r="M39" s="33"/>
      <c r="N39" s="248"/>
      <c r="O39" s="3" t="s">
        <v>36</v>
      </c>
      <c r="P39" s="132"/>
      <c r="Q39" s="132"/>
      <c r="R39" s="132"/>
      <c r="S39" s="132"/>
      <c r="T39" s="132"/>
      <c r="U39" s="132"/>
      <c r="V39" s="116">
        <f t="shared" si="15"/>
        <v>0</v>
      </c>
      <c r="W39" s="116">
        <f t="shared" si="15"/>
        <v>0</v>
      </c>
      <c r="X39" s="116">
        <f t="shared" si="15"/>
        <v>0</v>
      </c>
      <c r="Y39" s="116">
        <f t="shared" si="15"/>
        <v>0</v>
      </c>
      <c r="Z39" s="116">
        <f t="shared" si="15"/>
        <v>0</v>
      </c>
      <c r="AA39" s="116">
        <f t="shared" si="15"/>
        <v>0</v>
      </c>
      <c r="AB39" s="76"/>
    </row>
    <row r="40" spans="1:28" s="55" customFormat="1">
      <c r="A40" s="104"/>
      <c r="B40" s="104"/>
      <c r="C40" s="105"/>
      <c r="D40" s="76"/>
      <c r="E40" s="106"/>
      <c r="F40" s="104"/>
      <c r="G40" s="76"/>
      <c r="H40" s="104"/>
      <c r="I40" s="248"/>
      <c r="K40" s="237"/>
      <c r="L40" s="104"/>
      <c r="M40" s="138"/>
      <c r="N40" s="248"/>
      <c r="O40" s="104"/>
      <c r="P40" s="132"/>
      <c r="Q40" s="132"/>
      <c r="R40" s="132"/>
      <c r="S40" s="132"/>
      <c r="T40" s="132"/>
      <c r="U40" s="132"/>
      <c r="V40" s="116"/>
      <c r="W40" s="116"/>
      <c r="X40" s="116"/>
      <c r="Y40" s="116"/>
      <c r="Z40" s="116"/>
      <c r="AA40" s="116"/>
      <c r="AB40" s="76"/>
    </row>
    <row r="41" spans="1:28" ht="26">
      <c r="B41" t="s">
        <v>177</v>
      </c>
      <c r="C41" s="12" t="s">
        <v>180</v>
      </c>
      <c r="D41" s="119"/>
      <c r="E41" t="s">
        <v>43</v>
      </c>
      <c r="F41" s="3" t="s">
        <v>43</v>
      </c>
      <c r="G41" s="119" t="s">
        <v>43</v>
      </c>
      <c r="H41" s="3" t="s">
        <v>43</v>
      </c>
      <c r="I41" s="250"/>
      <c r="J41" t="s">
        <v>43</v>
      </c>
      <c r="K41" s="243" t="s">
        <v>43</v>
      </c>
      <c r="L41" s="3" t="s">
        <v>36</v>
      </c>
      <c r="M41" s="33"/>
      <c r="N41" s="250"/>
      <c r="O41" s="3" t="s">
        <v>36</v>
      </c>
      <c r="P41" s="132">
        <v>1</v>
      </c>
      <c r="Q41" s="132"/>
      <c r="R41" s="132"/>
      <c r="S41" s="132"/>
      <c r="T41" s="132"/>
      <c r="U41" s="132"/>
      <c r="V41" s="133">
        <f t="shared" ref="V41:AA41" si="16">$N41*P41</f>
        <v>0</v>
      </c>
      <c r="W41" s="133">
        <f t="shared" si="16"/>
        <v>0</v>
      </c>
      <c r="X41" s="133">
        <f t="shared" si="16"/>
        <v>0</v>
      </c>
      <c r="Y41" s="133">
        <f t="shared" si="16"/>
        <v>0</v>
      </c>
      <c r="Z41" s="133">
        <f t="shared" si="16"/>
        <v>0</v>
      </c>
      <c r="AA41" s="133">
        <f t="shared" si="16"/>
        <v>0</v>
      </c>
      <c r="AB41" s="119"/>
    </row>
    <row r="42" spans="1:28" s="55" customFormat="1" ht="13">
      <c r="A42" s="104"/>
      <c r="B42" s="104"/>
      <c r="C42" s="136"/>
      <c r="D42" s="112"/>
      <c r="E42" s="106"/>
      <c r="F42" s="104"/>
      <c r="G42" s="76"/>
      <c r="H42" s="104"/>
      <c r="I42" s="248"/>
      <c r="K42" s="237"/>
      <c r="L42" s="104"/>
      <c r="M42" s="107"/>
      <c r="N42" s="248"/>
      <c r="O42" s="104"/>
      <c r="P42" s="132"/>
      <c r="Q42" s="132"/>
      <c r="R42" s="132"/>
      <c r="S42" s="132"/>
      <c r="T42" s="132"/>
      <c r="U42" s="132"/>
      <c r="V42" s="116"/>
      <c r="W42" s="116"/>
      <c r="X42" s="116"/>
      <c r="Y42" s="116"/>
      <c r="Z42" s="116"/>
      <c r="AA42" s="116"/>
      <c r="AB42" s="76"/>
    </row>
    <row r="43" spans="1:28" ht="13">
      <c r="B43" t="s">
        <v>178</v>
      </c>
      <c r="C43" s="12" t="s">
        <v>179</v>
      </c>
      <c r="D43" s="119"/>
      <c r="E43" t="s">
        <v>181</v>
      </c>
      <c r="F43" s="3" t="s">
        <v>343</v>
      </c>
      <c r="G43" s="119">
        <v>0.05</v>
      </c>
      <c r="H43" s="3" t="s">
        <v>343</v>
      </c>
      <c r="I43" s="250">
        <f>'Etape 3-Métaux-MatPre'!C18</f>
        <v>0</v>
      </c>
      <c r="J43" t="s">
        <v>327</v>
      </c>
      <c r="K43" s="243">
        <f>G43*I43/1000</f>
        <v>0</v>
      </c>
      <c r="L43" s="3" t="s">
        <v>36</v>
      </c>
      <c r="M43" s="33"/>
      <c r="N43" s="250">
        <f>K43</f>
        <v>0</v>
      </c>
      <c r="O43" s="3" t="s">
        <v>36</v>
      </c>
      <c r="P43" s="132">
        <v>0.95</v>
      </c>
      <c r="Q43" s="132"/>
      <c r="R43" s="132"/>
      <c r="S43" s="132"/>
      <c r="T43" s="132"/>
      <c r="U43" s="132">
        <v>0.05</v>
      </c>
      <c r="V43" s="133">
        <f t="shared" ref="V43:AA43" si="17">$N43*P43</f>
        <v>0</v>
      </c>
      <c r="W43" s="133">
        <f t="shared" si="17"/>
        <v>0</v>
      </c>
      <c r="X43" s="133">
        <f t="shared" si="17"/>
        <v>0</v>
      </c>
      <c r="Y43" s="133">
        <f t="shared" si="17"/>
        <v>0</v>
      </c>
      <c r="Z43" s="133">
        <f t="shared" si="17"/>
        <v>0</v>
      </c>
      <c r="AA43" s="133">
        <f t="shared" si="17"/>
        <v>0</v>
      </c>
      <c r="AB43" s="119"/>
    </row>
    <row r="44" spans="1:28" s="55" customFormat="1" ht="13">
      <c r="A44" s="104"/>
      <c r="B44" s="104"/>
      <c r="D44" s="76"/>
      <c r="E44" s="106"/>
      <c r="F44" s="104"/>
      <c r="G44" s="76"/>
      <c r="H44" s="104"/>
      <c r="I44" s="248"/>
      <c r="K44" s="237"/>
      <c r="L44" s="104"/>
      <c r="M44" s="138"/>
      <c r="N44" s="248"/>
      <c r="O44" s="104"/>
      <c r="P44" s="130"/>
      <c r="Q44" s="130"/>
      <c r="R44" s="130"/>
      <c r="S44" s="130"/>
      <c r="T44" s="130"/>
      <c r="U44" s="127"/>
      <c r="V44" s="116"/>
      <c r="W44" s="116"/>
      <c r="X44" s="116"/>
      <c r="Y44" s="116"/>
      <c r="Z44" s="116"/>
      <c r="AA44" s="116"/>
      <c r="AB44" s="76"/>
    </row>
    <row r="45" spans="1:28" ht="13">
      <c r="M45" s="14"/>
      <c r="N45" s="239"/>
      <c r="O45" s="3"/>
    </row>
    <row r="46" spans="1:28" ht="13">
      <c r="M46" s="14"/>
      <c r="N46" s="249"/>
      <c r="O46" s="3"/>
    </row>
    <row r="47" spans="1:28" ht="13">
      <c r="C47" s="5" t="s">
        <v>56</v>
      </c>
      <c r="D47" s="8" t="s">
        <v>172</v>
      </c>
    </row>
    <row r="48" spans="1:28">
      <c r="D48" s="6" t="s">
        <v>173</v>
      </c>
    </row>
  </sheetData>
  <sheetProtection algorithmName="SHA-512" hashValue="BmLBRrdEVKfyAYn+GCGPN4380QLw2BmoswiWQkyD0kTtV2FUaQFA1SlAOUIwZ7gZGcWaWKH6YDIgdqIFbv+Qiw==" saltValue="iNiihOAJPD5wEFRFE5RSM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48"/>
  <sheetViews>
    <sheetView zoomScale="60" zoomScaleNormal="60" workbookViewId="0">
      <selection activeCell="A4" sqref="A4"/>
    </sheetView>
  </sheetViews>
  <sheetFormatPr defaultColWidth="8.81640625" defaultRowHeight="12.5"/>
  <cols>
    <col min="1" max="1" width="3" customWidth="1"/>
    <col min="2" max="2" width="6.1796875" customWidth="1"/>
    <col min="3" max="3" width="28.36328125" customWidth="1"/>
    <col min="4" max="4" width="12.453125" customWidth="1"/>
    <col min="5" max="5" width="14.453125" customWidth="1"/>
    <col min="6" max="6" width="27.453125" customWidth="1"/>
    <col min="7" max="7" width="10.36328125" customWidth="1"/>
    <col min="8" max="8" width="24.81640625" customWidth="1"/>
    <col min="9" max="9" width="12.453125" style="240" customWidth="1"/>
    <col min="10" max="10" width="20.453125" customWidth="1"/>
    <col min="11" max="11" width="12" customWidth="1"/>
    <col min="12" max="12" width="12.36328125" customWidth="1"/>
    <col min="13" max="13" width="27.1796875" style="13" customWidth="1"/>
    <col min="14" max="14" width="9.1796875" style="240"/>
    <col min="16" max="16" width="4.453125" customWidth="1"/>
    <col min="17" max="17" width="5.36328125" customWidth="1"/>
    <col min="18" max="18" width="5" customWidth="1"/>
    <col min="19" max="19" width="8.453125" customWidth="1"/>
    <col min="21" max="21" width="19.1796875" customWidth="1"/>
    <col min="22" max="22" width="12.453125" customWidth="1"/>
    <col min="24" max="24" width="9.6328125" customWidth="1"/>
    <col min="25" max="25" width="11.1796875" customWidth="1"/>
    <col min="26" max="26" width="11.453125" customWidth="1"/>
    <col min="27" max="27" width="17" customWidth="1"/>
    <col min="28" max="28" width="34" customWidth="1"/>
  </cols>
  <sheetData>
    <row r="1" spans="1:39" ht="18">
      <c r="A1" s="1" t="s">
        <v>34</v>
      </c>
      <c r="I1" s="231"/>
      <c r="L1" s="48"/>
      <c r="M1" s="48"/>
      <c r="N1" s="231"/>
    </row>
    <row r="2" spans="1:39" ht="14">
      <c r="A2" s="54" t="s">
        <v>313</v>
      </c>
      <c r="I2" s="231"/>
      <c r="L2" s="48"/>
      <c r="M2" s="48"/>
      <c r="N2" s="231"/>
    </row>
    <row r="3" spans="1:39" ht="13">
      <c r="C3" s="3"/>
      <c r="D3" s="3"/>
      <c r="E3" s="3"/>
      <c r="F3" s="3"/>
      <c r="G3" s="3"/>
      <c r="H3" s="3"/>
      <c r="I3" s="232"/>
      <c r="J3" s="3"/>
      <c r="K3" s="3"/>
      <c r="L3" s="104"/>
      <c r="M3" s="104"/>
      <c r="N3" s="232"/>
      <c r="O3" s="3"/>
      <c r="P3" s="65" t="s">
        <v>55</v>
      </c>
      <c r="Q3" s="65"/>
      <c r="R3" s="65"/>
      <c r="S3" s="65"/>
      <c r="T3" s="65"/>
      <c r="U3" s="65"/>
      <c r="V3" s="10" t="s">
        <v>54</v>
      </c>
      <c r="W3" s="4"/>
      <c r="X3" s="4"/>
      <c r="Y3" s="4"/>
      <c r="Z3" s="4"/>
      <c r="AA3" s="4"/>
      <c r="AB3" s="2"/>
      <c r="AC3" s="718" t="s">
        <v>817</v>
      </c>
      <c r="AD3" s="718"/>
      <c r="AE3" s="718"/>
      <c r="AF3" s="718"/>
      <c r="AG3" s="718" t="s">
        <v>818</v>
      </c>
      <c r="AH3" s="718"/>
      <c r="AI3" s="718"/>
      <c r="AJ3" s="718"/>
      <c r="AK3" s="718"/>
      <c r="AL3" s="718"/>
      <c r="AM3" s="718"/>
    </row>
    <row r="4" spans="1:39" s="144" customFormat="1" ht="39">
      <c r="A4" s="144" t="s">
        <v>52</v>
      </c>
      <c r="B4" s="144" t="s">
        <v>50</v>
      </c>
      <c r="C4" s="134" t="s">
        <v>59</v>
      </c>
      <c r="D4" s="112" t="s">
        <v>153</v>
      </c>
      <c r="E4" s="134" t="s">
        <v>49</v>
      </c>
      <c r="F4" s="143" t="s">
        <v>35</v>
      </c>
      <c r="G4" s="112" t="s">
        <v>37</v>
      </c>
      <c r="H4" s="143" t="s">
        <v>35</v>
      </c>
      <c r="I4" s="245" t="s">
        <v>51</v>
      </c>
      <c r="J4" s="144" t="s">
        <v>35</v>
      </c>
      <c r="K4" s="84" t="s">
        <v>61</v>
      </c>
      <c r="L4" s="139" t="s">
        <v>35</v>
      </c>
      <c r="M4" s="156" t="s">
        <v>280</v>
      </c>
      <c r="N4" s="245" t="s">
        <v>92</v>
      </c>
      <c r="O4" s="143"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c r="AC4" s="719"/>
      <c r="AD4" s="719"/>
      <c r="AE4" s="719"/>
      <c r="AF4" s="719"/>
      <c r="AG4" s="10"/>
      <c r="AH4" s="10" t="s">
        <v>819</v>
      </c>
      <c r="AI4" s="10"/>
      <c r="AJ4" s="10"/>
      <c r="AK4" s="10"/>
      <c r="AL4" s="10"/>
      <c r="AM4" s="10"/>
    </row>
    <row r="5" spans="1:39" ht="88">
      <c r="A5" t="s">
        <v>186</v>
      </c>
      <c r="C5" s="12" t="s">
        <v>187</v>
      </c>
      <c r="D5" s="111"/>
      <c r="F5" s="3"/>
      <c r="G5" s="76"/>
      <c r="H5" s="3"/>
      <c r="I5" s="247"/>
      <c r="K5" s="113"/>
      <c r="L5" s="3"/>
      <c r="M5" s="14"/>
      <c r="N5" s="247"/>
      <c r="O5" s="3"/>
      <c r="P5" s="127"/>
      <c r="Q5" s="127"/>
      <c r="R5" s="127"/>
      <c r="S5" s="127"/>
      <c r="T5" s="127"/>
      <c r="U5" s="127"/>
      <c r="V5" s="58"/>
      <c r="W5" s="58"/>
      <c r="X5" s="58"/>
      <c r="Y5" s="58"/>
      <c r="Z5" s="58"/>
      <c r="AA5" s="58"/>
      <c r="AB5" s="76"/>
      <c r="AC5" s="720" t="s">
        <v>811</v>
      </c>
      <c r="AD5" s="719"/>
      <c r="AE5" s="720" t="s">
        <v>812</v>
      </c>
      <c r="AF5" s="719"/>
      <c r="AG5" s="84" t="s">
        <v>820</v>
      </c>
      <c r="AH5" s="56" t="s">
        <v>38</v>
      </c>
      <c r="AI5" s="56" t="s">
        <v>39</v>
      </c>
      <c r="AJ5" s="56" t="s">
        <v>40</v>
      </c>
      <c r="AK5" s="56" t="s">
        <v>41</v>
      </c>
      <c r="AL5" s="57" t="s">
        <v>42</v>
      </c>
      <c r="AM5" s="57" t="s">
        <v>228</v>
      </c>
    </row>
    <row r="6" spans="1:39" ht="13">
      <c r="B6" t="s">
        <v>188</v>
      </c>
      <c r="C6" s="26" t="s">
        <v>368</v>
      </c>
      <c r="D6" s="111"/>
      <c r="E6" s="3"/>
      <c r="F6" s="3"/>
      <c r="G6" s="335"/>
      <c r="H6" s="36"/>
      <c r="I6" s="331"/>
      <c r="J6" s="9"/>
      <c r="K6" s="339">
        <f>K7+K19</f>
        <v>0</v>
      </c>
      <c r="L6" s="3" t="s">
        <v>36</v>
      </c>
      <c r="M6" s="340" t="s">
        <v>368</v>
      </c>
      <c r="N6" s="252"/>
      <c r="O6" s="3"/>
      <c r="P6" s="283"/>
      <c r="Q6" s="283"/>
      <c r="R6" s="283"/>
      <c r="S6" s="283"/>
      <c r="T6" s="283"/>
      <c r="U6" s="283"/>
      <c r="V6" s="114">
        <f t="shared" ref="V6:AA6" si="0">SUM(V7:V30)</f>
        <v>0</v>
      </c>
      <c r="W6" s="114">
        <f t="shared" si="0"/>
        <v>0</v>
      </c>
      <c r="X6" s="114">
        <f t="shared" si="0"/>
        <v>0</v>
      </c>
      <c r="Y6" s="114">
        <f t="shared" si="0"/>
        <v>0</v>
      </c>
      <c r="Z6" s="114">
        <f t="shared" si="0"/>
        <v>0</v>
      </c>
      <c r="AA6" s="114">
        <f t="shared" si="0"/>
        <v>0</v>
      </c>
      <c r="AB6" s="76"/>
      <c r="AC6" s="719"/>
      <c r="AD6" s="719"/>
      <c r="AE6" s="719"/>
      <c r="AF6" s="719"/>
      <c r="AG6" s="114">
        <f>SUM(AG7:AG25)</f>
        <v>0</v>
      </c>
      <c r="AH6" s="114" t="e">
        <f t="shared" ref="AH6:AM6" si="1">SUM(AH7:AH25)</f>
        <v>#DIV/0!</v>
      </c>
      <c r="AI6" s="114" t="e">
        <f t="shared" si="1"/>
        <v>#DIV/0!</v>
      </c>
      <c r="AJ6" s="114" t="e">
        <f t="shared" si="1"/>
        <v>#DIV/0!</v>
      </c>
      <c r="AK6" s="114" t="e">
        <f t="shared" si="1"/>
        <v>#DIV/0!</v>
      </c>
      <c r="AL6" s="114" t="e">
        <f t="shared" si="1"/>
        <v>#DIV/0!</v>
      </c>
      <c r="AM6" s="114" t="e">
        <f t="shared" si="1"/>
        <v>#DIV/0!</v>
      </c>
    </row>
    <row r="7" spans="1:39" ht="38">
      <c r="C7" s="26" t="s">
        <v>721</v>
      </c>
      <c r="D7" s="111"/>
      <c r="E7" s="36" t="s">
        <v>723</v>
      </c>
      <c r="F7" s="36" t="s">
        <v>381</v>
      </c>
      <c r="G7" s="335">
        <v>0.11</v>
      </c>
      <c r="H7" s="36" t="s">
        <v>381</v>
      </c>
      <c r="I7" s="248">
        <f>'Etape 3-Métaux-MatPre'!C$26*('Etape 3-Métaux-MatPre'!G30+'Etape 3-Métaux-MatPre'!H30+'Etape 3-Métaux-MatPre'!I30+'Etape 3-Métaux-MatPre'!J30+'Etape 3-Métaux-MatPre'!K30)/100</f>
        <v>0</v>
      </c>
      <c r="J7" s="9" t="s">
        <v>328</v>
      </c>
      <c r="K7" s="667">
        <f>I7*G7/1000+SUM(K9:K13)</f>
        <v>0</v>
      </c>
      <c r="L7" s="666" t="s">
        <v>786</v>
      </c>
      <c r="M7" s="14" t="s">
        <v>766</v>
      </c>
      <c r="N7" s="652">
        <f>$K$6*'Etape 3-Métaux-MatPre'!G$28/100</f>
        <v>0</v>
      </c>
      <c r="O7" s="3" t="s">
        <v>36</v>
      </c>
      <c r="P7" s="283">
        <v>0.8</v>
      </c>
      <c r="Q7" s="283"/>
      <c r="R7" s="283"/>
      <c r="S7" s="283">
        <v>0.2</v>
      </c>
      <c r="T7" s="283"/>
      <c r="U7" s="283"/>
      <c r="V7" s="653">
        <f t="shared" ref="V7:AA17" si="2">$N7*P7</f>
        <v>0</v>
      </c>
      <c r="W7" s="653">
        <f t="shared" si="2"/>
        <v>0</v>
      </c>
      <c r="X7" s="653">
        <f t="shared" si="2"/>
        <v>0</v>
      </c>
      <c r="Y7" s="653">
        <f t="shared" si="2"/>
        <v>0</v>
      </c>
      <c r="Z7" s="653">
        <f t="shared" si="2"/>
        <v>0</v>
      </c>
      <c r="AA7" s="653">
        <f t="shared" si="2"/>
        <v>0</v>
      </c>
      <c r="AB7" s="76"/>
      <c r="AC7" s="719"/>
      <c r="AD7" s="719"/>
      <c r="AE7" s="719"/>
      <c r="AF7" s="719"/>
      <c r="AG7" s="719"/>
      <c r="AH7" s="719"/>
      <c r="AI7" s="719"/>
      <c r="AJ7" s="719"/>
      <c r="AK7" s="719"/>
      <c r="AL7" s="719"/>
      <c r="AM7" s="719"/>
    </row>
    <row r="8" spans="1:39" ht="97.25" customHeight="1">
      <c r="C8" s="654" t="s">
        <v>806</v>
      </c>
      <c r="D8" s="111"/>
      <c r="E8" s="655"/>
      <c r="F8" s="656"/>
      <c r="G8" s="657"/>
      <c r="H8" s="232"/>
      <c r="I8" s="658"/>
      <c r="J8" s="9"/>
      <c r="K8" s="659"/>
      <c r="L8" s="3"/>
      <c r="M8" s="32" t="s">
        <v>767</v>
      </c>
      <c r="N8" s="652"/>
      <c r="O8" s="3"/>
      <c r="P8" s="283"/>
      <c r="Q8" s="283"/>
      <c r="R8" s="283"/>
      <c r="S8" s="283"/>
      <c r="T8" s="283"/>
      <c r="U8" s="283"/>
      <c r="V8" s="653"/>
      <c r="W8" s="653"/>
      <c r="X8" s="653"/>
      <c r="Y8" s="653"/>
      <c r="Z8" s="653"/>
      <c r="AA8" s="653"/>
      <c r="AB8" s="76"/>
      <c r="AC8" s="720"/>
      <c r="AD8" s="719"/>
      <c r="AE8" s="720"/>
      <c r="AF8" s="719"/>
      <c r="AG8" s="719"/>
      <c r="AH8" s="719"/>
      <c r="AI8" s="719"/>
      <c r="AJ8" s="719"/>
      <c r="AK8" s="719"/>
      <c r="AL8" s="719"/>
      <c r="AM8" s="719"/>
    </row>
    <row r="9" spans="1:39" ht="38">
      <c r="C9" s="611" t="s">
        <v>774</v>
      </c>
      <c r="D9" s="111"/>
      <c r="E9" s="660" t="s">
        <v>775</v>
      </c>
      <c r="F9" s="661" t="s">
        <v>776</v>
      </c>
      <c r="G9" s="662">
        <v>2E-3</v>
      </c>
      <c r="H9" s="656" t="s">
        <v>381</v>
      </c>
      <c r="I9" s="658">
        <f>0.2*$I$7</f>
        <v>0</v>
      </c>
      <c r="J9" s="612" t="s">
        <v>777</v>
      </c>
      <c r="K9" s="672">
        <f>I9*G9/1000</f>
        <v>0</v>
      </c>
      <c r="L9" s="656" t="s">
        <v>36</v>
      </c>
      <c r="M9" s="649" t="s">
        <v>768</v>
      </c>
      <c r="N9" s="652"/>
      <c r="O9" s="3" t="s">
        <v>36</v>
      </c>
      <c r="P9" s="283">
        <v>0.6</v>
      </c>
      <c r="Q9" s="283"/>
      <c r="R9" s="283"/>
      <c r="S9" s="283">
        <v>0.2</v>
      </c>
      <c r="T9" s="283"/>
      <c r="U9" s="283">
        <v>0.2</v>
      </c>
      <c r="V9" s="653">
        <f t="shared" si="2"/>
        <v>0</v>
      </c>
      <c r="W9" s="653">
        <f t="shared" si="2"/>
        <v>0</v>
      </c>
      <c r="X9" s="653">
        <f t="shared" si="2"/>
        <v>0</v>
      </c>
      <c r="Y9" s="653">
        <f t="shared" si="2"/>
        <v>0</v>
      </c>
      <c r="Z9" s="653">
        <f t="shared" si="2"/>
        <v>0</v>
      </c>
      <c r="AA9" s="653">
        <f t="shared" si="2"/>
        <v>0</v>
      </c>
      <c r="AB9" s="76"/>
      <c r="AC9" s="721">
        <v>0.09</v>
      </c>
      <c r="AD9" s="722" t="s">
        <v>813</v>
      </c>
      <c r="AE9" s="723">
        <f>ROUND(I9*AC9,-3)</f>
        <v>0</v>
      </c>
      <c r="AF9" s="724" t="s">
        <v>814</v>
      </c>
      <c r="AG9" s="719">
        <f>K9</f>
        <v>0</v>
      </c>
      <c r="AH9" s="719" t="e">
        <f>$AG9*(V$6/$K$6)</f>
        <v>#DIV/0!</v>
      </c>
      <c r="AI9" s="719" t="e">
        <f t="shared" ref="AI9:AM9" si="3">$AG9*(W$6/$K$6)</f>
        <v>#DIV/0!</v>
      </c>
      <c r="AJ9" s="719" t="e">
        <f t="shared" si="3"/>
        <v>#DIV/0!</v>
      </c>
      <c r="AK9" s="719" t="e">
        <f t="shared" si="3"/>
        <v>#DIV/0!</v>
      </c>
      <c r="AL9" s="719" t="e">
        <f t="shared" si="3"/>
        <v>#DIV/0!</v>
      </c>
      <c r="AM9" s="719" t="e">
        <f t="shared" si="3"/>
        <v>#DIV/0!</v>
      </c>
    </row>
    <row r="10" spans="1:39" ht="38">
      <c r="C10" s="612" t="s">
        <v>778</v>
      </c>
      <c r="D10" s="111"/>
      <c r="E10" s="660" t="s">
        <v>779</v>
      </c>
      <c r="F10" s="661" t="s">
        <v>776</v>
      </c>
      <c r="G10" s="664">
        <v>1.6E-2</v>
      </c>
      <c r="H10" s="656" t="s">
        <v>381</v>
      </c>
      <c r="I10" s="658">
        <f t="shared" ref="I10:I13" si="4">0.2*$I$7</f>
        <v>0</v>
      </c>
      <c r="J10" s="612" t="s">
        <v>777</v>
      </c>
      <c r="K10" s="672">
        <f>I10*G10/1000</f>
        <v>0</v>
      </c>
      <c r="L10" s="656" t="s">
        <v>36</v>
      </c>
      <c r="M10" s="649" t="s">
        <v>769</v>
      </c>
      <c r="N10" s="652"/>
      <c r="O10" s="3" t="s">
        <v>36</v>
      </c>
      <c r="P10" s="283">
        <v>0.4</v>
      </c>
      <c r="Q10" s="283"/>
      <c r="R10" s="283"/>
      <c r="S10" s="283">
        <v>0.2</v>
      </c>
      <c r="T10" s="283"/>
      <c r="U10" s="283">
        <v>0.4</v>
      </c>
      <c r="V10" s="653">
        <f t="shared" si="2"/>
        <v>0</v>
      </c>
      <c r="W10" s="653">
        <f t="shared" si="2"/>
        <v>0</v>
      </c>
      <c r="X10" s="653">
        <f t="shared" si="2"/>
        <v>0</v>
      </c>
      <c r="Y10" s="653">
        <f t="shared" si="2"/>
        <v>0</v>
      </c>
      <c r="Z10" s="653">
        <f t="shared" si="2"/>
        <v>0</v>
      </c>
      <c r="AA10" s="653">
        <f t="shared" si="2"/>
        <v>0</v>
      </c>
      <c r="AB10" s="76"/>
      <c r="AC10" s="721">
        <v>0.10571428571428573</v>
      </c>
      <c r="AD10" s="722" t="s">
        <v>813</v>
      </c>
      <c r="AE10" s="723">
        <f>ROUND(I10*AC10,-3)</f>
        <v>0</v>
      </c>
      <c r="AF10" s="724" t="s">
        <v>814</v>
      </c>
      <c r="AG10" s="719">
        <f t="shared" ref="AG10:AG13" si="5">K10</f>
        <v>0</v>
      </c>
      <c r="AH10" s="719" t="e">
        <f t="shared" ref="AH10:AH13" si="6">$AG10*(V$6/$K$6)</f>
        <v>#DIV/0!</v>
      </c>
      <c r="AI10" s="719" t="e">
        <f t="shared" ref="AI10:AI13" si="7">$AG10*(W$6/$K$6)</f>
        <v>#DIV/0!</v>
      </c>
      <c r="AJ10" s="719" t="e">
        <f t="shared" ref="AJ10:AJ13" si="8">$AG10*(X$6/$K$6)</f>
        <v>#DIV/0!</v>
      </c>
      <c r="AK10" s="719" t="e">
        <f t="shared" ref="AK10:AK13" si="9">$AG10*(Y$6/$K$6)</f>
        <v>#DIV/0!</v>
      </c>
      <c r="AL10" s="719" t="e">
        <f t="shared" ref="AL10:AL13" si="10">$AG10*(Z$6/$K$6)</f>
        <v>#DIV/0!</v>
      </c>
      <c r="AM10" s="719" t="e">
        <f t="shared" ref="AM10:AM13" si="11">$AG10*(AA$6/$K$6)</f>
        <v>#DIV/0!</v>
      </c>
    </row>
    <row r="11" spans="1:39" ht="38">
      <c r="C11" s="611" t="s">
        <v>780</v>
      </c>
      <c r="D11" s="111"/>
      <c r="E11" s="660" t="s">
        <v>795</v>
      </c>
      <c r="F11" s="661" t="s">
        <v>776</v>
      </c>
      <c r="G11" s="662">
        <v>1.7000000000000001E-2</v>
      </c>
      <c r="H11" s="656" t="s">
        <v>381</v>
      </c>
      <c r="I11" s="658">
        <f t="shared" si="4"/>
        <v>0</v>
      </c>
      <c r="J11" s="612" t="s">
        <v>777</v>
      </c>
      <c r="K11" s="672">
        <f>I11*G11/1000</f>
        <v>0</v>
      </c>
      <c r="L11" s="656" t="s">
        <v>36</v>
      </c>
      <c r="M11" s="649" t="s">
        <v>770</v>
      </c>
      <c r="N11" s="652"/>
      <c r="O11" s="3" t="s">
        <v>36</v>
      </c>
      <c r="P11" s="283">
        <v>0.2</v>
      </c>
      <c r="Q11" s="283"/>
      <c r="R11" s="283"/>
      <c r="S11" s="283">
        <v>0.2</v>
      </c>
      <c r="T11" s="283"/>
      <c r="U11" s="283">
        <v>0.6</v>
      </c>
      <c r="V11" s="653">
        <f t="shared" si="2"/>
        <v>0</v>
      </c>
      <c r="W11" s="653">
        <f t="shared" si="2"/>
        <v>0</v>
      </c>
      <c r="X11" s="653">
        <f t="shared" si="2"/>
        <v>0</v>
      </c>
      <c r="Y11" s="653">
        <f t="shared" si="2"/>
        <v>0</v>
      </c>
      <c r="Z11" s="653">
        <f t="shared" si="2"/>
        <v>0</v>
      </c>
      <c r="AA11" s="653">
        <f t="shared" si="2"/>
        <v>0</v>
      </c>
      <c r="AB11" s="76"/>
      <c r="AC11" s="721">
        <v>0.17411764705882354</v>
      </c>
      <c r="AD11" s="722" t="s">
        <v>813</v>
      </c>
      <c r="AE11" s="723">
        <f>ROUND(I11*AC11,-3)</f>
        <v>0</v>
      </c>
      <c r="AF11" s="724" t="s">
        <v>814</v>
      </c>
      <c r="AG11" s="719">
        <f t="shared" si="5"/>
        <v>0</v>
      </c>
      <c r="AH11" s="719" t="e">
        <f t="shared" si="6"/>
        <v>#DIV/0!</v>
      </c>
      <c r="AI11" s="719" t="e">
        <f t="shared" si="7"/>
        <v>#DIV/0!</v>
      </c>
      <c r="AJ11" s="719" t="e">
        <f t="shared" si="8"/>
        <v>#DIV/0!</v>
      </c>
      <c r="AK11" s="719" t="e">
        <f t="shared" si="9"/>
        <v>#DIV/0!</v>
      </c>
      <c r="AL11" s="719" t="e">
        <f t="shared" si="10"/>
        <v>#DIV/0!</v>
      </c>
      <c r="AM11" s="719" t="e">
        <f t="shared" si="11"/>
        <v>#DIV/0!</v>
      </c>
    </row>
    <row r="12" spans="1:39" ht="38">
      <c r="C12" s="611" t="s">
        <v>781</v>
      </c>
      <c r="D12" s="111"/>
      <c r="E12" s="660" t="s">
        <v>796</v>
      </c>
      <c r="F12" s="661" t="s">
        <v>776</v>
      </c>
      <c r="G12" s="662">
        <v>1E-3</v>
      </c>
      <c r="H12" s="656" t="s">
        <v>381</v>
      </c>
      <c r="I12" s="658">
        <f t="shared" si="4"/>
        <v>0</v>
      </c>
      <c r="J12" s="612" t="s">
        <v>777</v>
      </c>
      <c r="K12" s="672">
        <f>I12*G12/1000</f>
        <v>0</v>
      </c>
      <c r="L12" s="656" t="s">
        <v>36</v>
      </c>
      <c r="M12" s="649" t="s">
        <v>771</v>
      </c>
      <c r="N12" s="652"/>
      <c r="O12" s="3" t="s">
        <v>36</v>
      </c>
      <c r="P12" s="283">
        <v>0.04</v>
      </c>
      <c r="Q12" s="283"/>
      <c r="R12" s="283"/>
      <c r="S12" s="283">
        <v>0.2</v>
      </c>
      <c r="T12" s="283"/>
      <c r="U12" s="283">
        <v>0.76</v>
      </c>
      <c r="V12" s="653">
        <f t="shared" si="2"/>
        <v>0</v>
      </c>
      <c r="W12" s="653">
        <f t="shared" si="2"/>
        <v>0</v>
      </c>
      <c r="X12" s="653">
        <f t="shared" si="2"/>
        <v>0</v>
      </c>
      <c r="Y12" s="653">
        <f t="shared" si="2"/>
        <v>0</v>
      </c>
      <c r="Z12" s="653">
        <f t="shared" si="2"/>
        <v>0</v>
      </c>
      <c r="AA12" s="653">
        <f t="shared" si="2"/>
        <v>0</v>
      </c>
      <c r="AB12" s="76"/>
      <c r="AC12" s="721">
        <v>7.0000000000000007E-2</v>
      </c>
      <c r="AD12" s="722" t="s">
        <v>813</v>
      </c>
      <c r="AE12" s="723">
        <f>ROUND(I12*AC12,-3)</f>
        <v>0</v>
      </c>
      <c r="AF12" s="724" t="s">
        <v>814</v>
      </c>
      <c r="AG12" s="719">
        <f t="shared" si="5"/>
        <v>0</v>
      </c>
      <c r="AH12" s="719" t="e">
        <f t="shared" si="6"/>
        <v>#DIV/0!</v>
      </c>
      <c r="AI12" s="719" t="e">
        <f t="shared" si="7"/>
        <v>#DIV/0!</v>
      </c>
      <c r="AJ12" s="719" t="e">
        <f t="shared" si="8"/>
        <v>#DIV/0!</v>
      </c>
      <c r="AK12" s="719" t="e">
        <f t="shared" si="9"/>
        <v>#DIV/0!</v>
      </c>
      <c r="AL12" s="719" t="e">
        <f t="shared" si="10"/>
        <v>#DIV/0!</v>
      </c>
      <c r="AM12" s="719" t="e">
        <f t="shared" si="11"/>
        <v>#DIV/0!</v>
      </c>
    </row>
    <row r="13" spans="1:39" ht="38">
      <c r="C13" s="611" t="s">
        <v>783</v>
      </c>
      <c r="D13" s="111"/>
      <c r="E13" s="661" t="s">
        <v>784</v>
      </c>
      <c r="F13" s="661" t="s">
        <v>776</v>
      </c>
      <c r="G13" s="662">
        <v>2.0000000000000002E-5</v>
      </c>
      <c r="H13" s="656" t="s">
        <v>381</v>
      </c>
      <c r="I13" s="658">
        <f t="shared" si="4"/>
        <v>0</v>
      </c>
      <c r="J13" s="612" t="s">
        <v>777</v>
      </c>
      <c r="K13" s="672">
        <f>I13*G13/1000</f>
        <v>0</v>
      </c>
      <c r="L13" s="656" t="s">
        <v>36</v>
      </c>
      <c r="M13" s="32" t="s">
        <v>772</v>
      </c>
      <c r="N13" s="652"/>
      <c r="O13" s="3" t="s">
        <v>36</v>
      </c>
      <c r="P13" s="283"/>
      <c r="Q13" s="283"/>
      <c r="R13" s="283"/>
      <c r="S13" s="283"/>
      <c r="T13" s="283"/>
      <c r="U13" s="283"/>
      <c r="V13" s="653">
        <f t="shared" si="2"/>
        <v>0</v>
      </c>
      <c r="W13" s="653">
        <f t="shared" si="2"/>
        <v>0</v>
      </c>
      <c r="X13" s="653">
        <f t="shared" si="2"/>
        <v>0</v>
      </c>
      <c r="Y13" s="653">
        <f t="shared" si="2"/>
        <v>0</v>
      </c>
      <c r="Z13" s="653">
        <f t="shared" si="2"/>
        <v>0</v>
      </c>
      <c r="AA13" s="653">
        <f t="shared" si="2"/>
        <v>0</v>
      </c>
      <c r="AB13" s="76"/>
      <c r="AC13" s="721">
        <v>75.897435897435898</v>
      </c>
      <c r="AD13" s="720" t="s">
        <v>815</v>
      </c>
      <c r="AE13" s="723">
        <f>ROUND(I13*AC13,-5)</f>
        <v>0</v>
      </c>
      <c r="AF13" s="724" t="s">
        <v>816</v>
      </c>
      <c r="AG13" s="719">
        <f t="shared" si="5"/>
        <v>0</v>
      </c>
      <c r="AH13" s="719" t="e">
        <f t="shared" si="6"/>
        <v>#DIV/0!</v>
      </c>
      <c r="AI13" s="719" t="e">
        <f t="shared" si="7"/>
        <v>#DIV/0!</v>
      </c>
      <c r="AJ13" s="719" t="e">
        <f t="shared" si="8"/>
        <v>#DIV/0!</v>
      </c>
      <c r="AK13" s="719" t="e">
        <f t="shared" si="9"/>
        <v>#DIV/0!</v>
      </c>
      <c r="AL13" s="719" t="e">
        <f t="shared" si="10"/>
        <v>#DIV/0!</v>
      </c>
      <c r="AM13" s="719" t="e">
        <f t="shared" si="11"/>
        <v>#DIV/0!</v>
      </c>
    </row>
    <row r="14" spans="1:39" ht="50.5">
      <c r="C14" s="611"/>
      <c r="D14" s="111"/>
      <c r="E14" s="660"/>
      <c r="F14" s="661"/>
      <c r="G14" s="662"/>
      <c r="H14" s="656"/>
      <c r="I14" s="665">
        <f>SUM(I9:I13)</f>
        <v>0</v>
      </c>
      <c r="J14" s="612" t="s">
        <v>785</v>
      </c>
      <c r="K14" s="663"/>
      <c r="L14" s="656"/>
      <c r="M14" s="649" t="s">
        <v>768</v>
      </c>
      <c r="N14" s="652">
        <f>$K$6*'Etape 3-Métaux-MatPre'!H$28/100</f>
        <v>0</v>
      </c>
      <c r="O14" s="3" t="s">
        <v>36</v>
      </c>
      <c r="P14" s="283">
        <v>0.7</v>
      </c>
      <c r="Q14" s="283"/>
      <c r="R14" s="283"/>
      <c r="S14" s="283">
        <v>0.3</v>
      </c>
      <c r="T14" s="283"/>
      <c r="U14" s="283"/>
      <c r="V14" s="653">
        <f t="shared" si="2"/>
        <v>0</v>
      </c>
      <c r="W14" s="653">
        <f t="shared" si="2"/>
        <v>0</v>
      </c>
      <c r="X14" s="653">
        <f t="shared" si="2"/>
        <v>0</v>
      </c>
      <c r="Y14" s="653">
        <f t="shared" si="2"/>
        <v>0</v>
      </c>
      <c r="Z14" s="653">
        <f t="shared" si="2"/>
        <v>0</v>
      </c>
      <c r="AA14" s="653">
        <f t="shared" si="2"/>
        <v>0</v>
      </c>
      <c r="AB14" s="76"/>
      <c r="AC14" s="721"/>
      <c r="AD14" s="719"/>
      <c r="AE14" s="719"/>
      <c r="AF14" s="719"/>
      <c r="AG14" s="719"/>
      <c r="AH14" s="719"/>
      <c r="AI14" s="719"/>
      <c r="AJ14" s="719"/>
      <c r="AK14" s="719"/>
      <c r="AL14" s="719"/>
      <c r="AM14" s="719"/>
    </row>
    <row r="15" spans="1:39" ht="38">
      <c r="C15" s="26"/>
      <c r="D15" s="111"/>
      <c r="E15" s="36"/>
      <c r="F15" s="36"/>
      <c r="G15" s="335"/>
      <c r="H15" s="36"/>
      <c r="I15" s="248"/>
      <c r="J15" s="9"/>
      <c r="K15" s="172"/>
      <c r="L15" s="3"/>
      <c r="M15" s="649" t="s">
        <v>769</v>
      </c>
      <c r="N15" s="652">
        <f>$K$6*'Etape 3-Métaux-MatPre'!I$28/100</f>
        <v>0</v>
      </c>
      <c r="O15" s="3" t="s">
        <v>36</v>
      </c>
      <c r="P15" s="283">
        <v>0.6</v>
      </c>
      <c r="Q15" s="283"/>
      <c r="R15" s="283"/>
      <c r="S15" s="283">
        <v>0.4</v>
      </c>
      <c r="T15" s="283"/>
      <c r="U15" s="283"/>
      <c r="V15" s="653">
        <f t="shared" si="2"/>
        <v>0</v>
      </c>
      <c r="W15" s="653">
        <f t="shared" si="2"/>
        <v>0</v>
      </c>
      <c r="X15" s="653">
        <f t="shared" si="2"/>
        <v>0</v>
      </c>
      <c r="Y15" s="653">
        <f t="shared" si="2"/>
        <v>0</v>
      </c>
      <c r="Z15" s="653">
        <f t="shared" si="2"/>
        <v>0</v>
      </c>
      <c r="AA15" s="653">
        <f t="shared" si="2"/>
        <v>0</v>
      </c>
      <c r="AB15" s="76"/>
      <c r="AC15" s="721"/>
      <c r="AD15" s="719"/>
      <c r="AE15" s="719"/>
      <c r="AF15" s="719"/>
      <c r="AG15" s="719"/>
      <c r="AH15" s="719"/>
      <c r="AI15" s="719"/>
      <c r="AJ15" s="719"/>
      <c r="AK15" s="719"/>
      <c r="AL15" s="719"/>
      <c r="AM15" s="719"/>
    </row>
    <row r="16" spans="1:39" ht="38">
      <c r="C16" s="26"/>
      <c r="D16" s="111"/>
      <c r="E16" s="36"/>
      <c r="F16" s="36"/>
      <c r="G16" s="335"/>
      <c r="H16" s="36"/>
      <c r="I16" s="248"/>
      <c r="J16" s="9"/>
      <c r="K16" s="172"/>
      <c r="L16" s="3"/>
      <c r="M16" s="649" t="s">
        <v>770</v>
      </c>
      <c r="N16" s="652">
        <f>$K$6*'Etape 3-Métaux-MatPre'!J$28/100</f>
        <v>0</v>
      </c>
      <c r="O16" s="3" t="s">
        <v>36</v>
      </c>
      <c r="P16" s="283">
        <v>0.5</v>
      </c>
      <c r="Q16" s="283"/>
      <c r="R16" s="283"/>
      <c r="S16" s="283">
        <v>0.5</v>
      </c>
      <c r="T16" s="283"/>
      <c r="U16" s="283"/>
      <c r="V16" s="653">
        <f t="shared" si="2"/>
        <v>0</v>
      </c>
      <c r="W16" s="653">
        <f t="shared" si="2"/>
        <v>0</v>
      </c>
      <c r="X16" s="653">
        <f t="shared" si="2"/>
        <v>0</v>
      </c>
      <c r="Y16" s="653">
        <f t="shared" si="2"/>
        <v>0</v>
      </c>
      <c r="Z16" s="653">
        <f t="shared" si="2"/>
        <v>0</v>
      </c>
      <c r="AA16" s="653">
        <f t="shared" si="2"/>
        <v>0</v>
      </c>
      <c r="AB16" s="76"/>
      <c r="AC16" s="721"/>
      <c r="AD16" s="719"/>
      <c r="AE16" s="719"/>
      <c r="AF16" s="719"/>
      <c r="AG16" s="719"/>
      <c r="AH16" s="719"/>
      <c r="AI16" s="719"/>
      <c r="AJ16" s="719"/>
      <c r="AK16" s="719"/>
      <c r="AL16" s="719"/>
      <c r="AM16" s="719"/>
    </row>
    <row r="17" spans="2:39" ht="50.5">
      <c r="C17" s="26"/>
      <c r="D17" s="111"/>
      <c r="E17" s="36"/>
      <c r="F17" s="36"/>
      <c r="G17" s="335"/>
      <c r="H17" s="36"/>
      <c r="I17" s="248"/>
      <c r="J17" s="9"/>
      <c r="K17" s="172"/>
      <c r="L17" s="3"/>
      <c r="M17" s="649" t="s">
        <v>773</v>
      </c>
      <c r="N17" s="652">
        <f>$K$6*'Etape 3-Métaux-MatPre'!K$28/100</f>
        <v>0</v>
      </c>
      <c r="O17" s="3" t="s">
        <v>36</v>
      </c>
      <c r="P17" s="283">
        <v>0.04</v>
      </c>
      <c r="Q17" s="283"/>
      <c r="R17" s="283"/>
      <c r="S17" s="283">
        <v>0.5</v>
      </c>
      <c r="T17" s="283"/>
      <c r="U17" s="283">
        <v>0.46</v>
      </c>
      <c r="V17" s="653">
        <f t="shared" si="2"/>
        <v>0</v>
      </c>
      <c r="W17" s="653">
        <f t="shared" si="2"/>
        <v>0</v>
      </c>
      <c r="X17" s="653">
        <f t="shared" si="2"/>
        <v>0</v>
      </c>
      <c r="Y17" s="653">
        <f t="shared" si="2"/>
        <v>0</v>
      </c>
      <c r="Z17" s="653">
        <f t="shared" si="2"/>
        <v>0</v>
      </c>
      <c r="AA17" s="653">
        <f t="shared" si="2"/>
        <v>0</v>
      </c>
      <c r="AB17" s="76"/>
      <c r="AC17" s="721"/>
      <c r="AD17" s="719"/>
      <c r="AE17" s="719"/>
      <c r="AF17" s="719"/>
      <c r="AG17" s="719"/>
      <c r="AH17" s="719"/>
      <c r="AI17" s="719"/>
      <c r="AJ17" s="719"/>
      <c r="AK17" s="719"/>
      <c r="AL17" s="719"/>
      <c r="AM17" s="719"/>
    </row>
    <row r="18" spans="2:39" ht="13">
      <c r="C18" s="26"/>
      <c r="D18" s="111"/>
      <c r="E18" s="36"/>
      <c r="F18" s="36"/>
      <c r="G18" s="335"/>
      <c r="H18" s="36"/>
      <c r="I18" s="248"/>
      <c r="J18" s="9"/>
      <c r="K18" s="172"/>
      <c r="L18" s="3"/>
      <c r="M18" s="437"/>
      <c r="N18" s="252"/>
      <c r="O18" s="3"/>
      <c r="P18" s="283"/>
      <c r="Q18" s="283"/>
      <c r="R18" s="283"/>
      <c r="S18" s="283"/>
      <c r="T18" s="283"/>
      <c r="U18" s="283"/>
      <c r="V18" s="171"/>
      <c r="W18" s="171"/>
      <c r="X18" s="171"/>
      <c r="Y18" s="171"/>
      <c r="Z18" s="171"/>
      <c r="AA18" s="171"/>
      <c r="AB18" s="76"/>
      <c r="AC18" s="719"/>
      <c r="AD18" s="719"/>
      <c r="AE18" s="719"/>
      <c r="AF18" s="719"/>
      <c r="AG18" s="719"/>
      <c r="AH18" s="719"/>
      <c r="AI18" s="719"/>
      <c r="AJ18" s="719"/>
      <c r="AK18" s="719"/>
      <c r="AL18" s="719"/>
      <c r="AM18" s="719"/>
    </row>
    <row r="19" spans="2:39" ht="38">
      <c r="C19" s="26" t="s">
        <v>722</v>
      </c>
      <c r="D19" s="111"/>
      <c r="E19" s="278" t="s">
        <v>724</v>
      </c>
      <c r="F19" s="36" t="s">
        <v>381</v>
      </c>
      <c r="G19" s="335">
        <v>0.15</v>
      </c>
      <c r="H19" s="36" t="s">
        <v>381</v>
      </c>
      <c r="I19" s="248">
        <f>'Etape 3-Métaux-MatPre'!C$26*('Etape 3-Métaux-MatPre'!G28+'Etape 3-Métaux-MatPre'!H28+'Etape 3-Métaux-MatPre'!I28+'Etape 3-Métaux-MatPre'!J28+'Etape 3-Métaux-MatPre'!K28)/100</f>
        <v>0</v>
      </c>
      <c r="J19" s="9" t="s">
        <v>328</v>
      </c>
      <c r="K19" s="667">
        <f>I19*G19/1000+SUM(K21:K25)</f>
        <v>0</v>
      </c>
      <c r="L19" s="666" t="s">
        <v>786</v>
      </c>
      <c r="M19" s="14" t="s">
        <v>766</v>
      </c>
      <c r="N19" s="652">
        <f>$K$6*'Etape 3-Métaux-MatPre'!G$30/100</f>
        <v>0</v>
      </c>
      <c r="O19" s="3" t="s">
        <v>36</v>
      </c>
      <c r="P19" s="283">
        <v>0.8</v>
      </c>
      <c r="Q19" s="283"/>
      <c r="R19" s="283"/>
      <c r="S19" s="283">
        <v>0.2</v>
      </c>
      <c r="T19" s="283"/>
      <c r="U19" s="283"/>
      <c r="V19" s="653">
        <f t="shared" ref="V19:AA29" si="12">$N19*P19</f>
        <v>0</v>
      </c>
      <c r="W19" s="653">
        <f t="shared" si="12"/>
        <v>0</v>
      </c>
      <c r="X19" s="653">
        <f t="shared" si="12"/>
        <v>0</v>
      </c>
      <c r="Y19" s="653">
        <f t="shared" si="12"/>
        <v>0</v>
      </c>
      <c r="Z19" s="653">
        <f t="shared" si="12"/>
        <v>0</v>
      </c>
      <c r="AA19" s="653">
        <f t="shared" si="12"/>
        <v>0</v>
      </c>
      <c r="AB19" s="76"/>
      <c r="AC19" s="719"/>
      <c r="AD19" s="719"/>
      <c r="AE19" s="719"/>
      <c r="AF19" s="719"/>
      <c r="AG19" s="719"/>
      <c r="AH19" s="719"/>
      <c r="AI19" s="719"/>
      <c r="AJ19" s="719"/>
      <c r="AK19" s="719"/>
      <c r="AL19" s="719"/>
      <c r="AM19" s="719"/>
    </row>
    <row r="20" spans="2:39" ht="88">
      <c r="C20" s="654" t="s">
        <v>797</v>
      </c>
      <c r="D20" s="111"/>
      <c r="E20" s="655"/>
      <c r="F20" s="656"/>
      <c r="G20" s="657"/>
      <c r="H20" s="232"/>
      <c r="I20" s="253"/>
      <c r="J20" s="9"/>
      <c r="K20" s="659"/>
      <c r="L20" s="3"/>
      <c r="M20" s="32" t="s">
        <v>767</v>
      </c>
      <c r="N20" s="652"/>
      <c r="O20" s="3" t="s">
        <v>36</v>
      </c>
      <c r="P20" s="283"/>
      <c r="Q20" s="283"/>
      <c r="R20" s="283"/>
      <c r="S20" s="283"/>
      <c r="T20" s="283"/>
      <c r="U20" s="283"/>
      <c r="V20" s="653">
        <f t="shared" si="12"/>
        <v>0</v>
      </c>
      <c r="W20" s="653">
        <f t="shared" si="12"/>
        <v>0</v>
      </c>
      <c r="X20" s="653">
        <f t="shared" si="12"/>
        <v>0</v>
      </c>
      <c r="Y20" s="653">
        <f t="shared" si="12"/>
        <v>0</v>
      </c>
      <c r="Z20" s="653">
        <f t="shared" si="12"/>
        <v>0</v>
      </c>
      <c r="AA20" s="653">
        <f t="shared" si="12"/>
        <v>0</v>
      </c>
      <c r="AB20" s="76"/>
      <c r="AC20" s="720" t="s">
        <v>811</v>
      </c>
      <c r="AD20" s="719"/>
      <c r="AE20" s="720" t="s">
        <v>812</v>
      </c>
      <c r="AF20" s="719"/>
      <c r="AG20" s="719"/>
      <c r="AH20" s="719"/>
      <c r="AI20" s="719"/>
      <c r="AJ20" s="719"/>
      <c r="AK20" s="719"/>
      <c r="AL20" s="719"/>
      <c r="AM20" s="719"/>
    </row>
    <row r="21" spans="2:39" ht="38">
      <c r="C21" s="611" t="s">
        <v>774</v>
      </c>
      <c r="D21" s="111"/>
      <c r="E21" s="660" t="s">
        <v>782</v>
      </c>
      <c r="F21" s="661" t="s">
        <v>776</v>
      </c>
      <c r="G21" s="662">
        <v>2E-3</v>
      </c>
      <c r="H21" s="656" t="s">
        <v>381</v>
      </c>
      <c r="I21" s="658">
        <f>0.2*$I$19</f>
        <v>0</v>
      </c>
      <c r="J21" s="612" t="s">
        <v>777</v>
      </c>
      <c r="K21" s="672">
        <f>I21*G21/1000</f>
        <v>0</v>
      </c>
      <c r="L21" s="656" t="s">
        <v>36</v>
      </c>
      <c r="M21" s="649" t="s">
        <v>768</v>
      </c>
      <c r="N21" s="652"/>
      <c r="O21" s="3" t="s">
        <v>36</v>
      </c>
      <c r="P21" s="283">
        <v>0.6</v>
      </c>
      <c r="Q21" s="283"/>
      <c r="R21" s="283"/>
      <c r="S21" s="283">
        <v>0.2</v>
      </c>
      <c r="T21" s="283"/>
      <c r="U21" s="283">
        <v>0.2</v>
      </c>
      <c r="V21" s="653">
        <f t="shared" si="12"/>
        <v>0</v>
      </c>
      <c r="W21" s="653">
        <f t="shared" si="12"/>
        <v>0</v>
      </c>
      <c r="X21" s="653">
        <f t="shared" si="12"/>
        <v>0</v>
      </c>
      <c r="Y21" s="653">
        <f t="shared" si="12"/>
        <v>0</v>
      </c>
      <c r="Z21" s="653">
        <f t="shared" si="12"/>
        <v>0</v>
      </c>
      <c r="AA21" s="653">
        <f t="shared" si="12"/>
        <v>0</v>
      </c>
      <c r="AB21" s="76"/>
      <c r="AC21" s="721">
        <v>0.09</v>
      </c>
      <c r="AD21" s="722" t="s">
        <v>813</v>
      </c>
      <c r="AE21" s="723">
        <f>ROUND(I21*AC21,-3)</f>
        <v>0</v>
      </c>
      <c r="AF21" s="724" t="s">
        <v>814</v>
      </c>
      <c r="AG21" s="719">
        <f>K21</f>
        <v>0</v>
      </c>
      <c r="AH21" s="719" t="e">
        <f>$AG21*(V$6/$K$6)</f>
        <v>#DIV/0!</v>
      </c>
      <c r="AI21" s="719" t="e">
        <f t="shared" ref="AI21:AI25" si="13">$AG21*(W$6/$K$6)</f>
        <v>#DIV/0!</v>
      </c>
      <c r="AJ21" s="719" t="e">
        <f t="shared" ref="AJ21:AJ25" si="14">$AG21*(X$6/$K$6)</f>
        <v>#DIV/0!</v>
      </c>
      <c r="AK21" s="719" t="e">
        <f t="shared" ref="AK21:AK25" si="15">$AG21*(Y$6/$K$6)</f>
        <v>#DIV/0!</v>
      </c>
      <c r="AL21" s="719" t="e">
        <f t="shared" ref="AL21:AL25" si="16">$AG21*(Z$6/$K$6)</f>
        <v>#DIV/0!</v>
      </c>
      <c r="AM21" s="719" t="e">
        <f t="shared" ref="AM21:AM25" si="17">$AG21*(AA$6/$K$6)</f>
        <v>#DIV/0!</v>
      </c>
    </row>
    <row r="22" spans="2:39" ht="38">
      <c r="C22" s="612" t="s">
        <v>778</v>
      </c>
      <c r="D22" s="111"/>
      <c r="E22" s="660" t="s">
        <v>787</v>
      </c>
      <c r="F22" s="661" t="s">
        <v>776</v>
      </c>
      <c r="G22" s="662">
        <v>1.4E-2</v>
      </c>
      <c r="H22" s="656" t="s">
        <v>381</v>
      </c>
      <c r="I22" s="658">
        <f t="shared" ref="I22:I25" si="18">0.2*$I$19</f>
        <v>0</v>
      </c>
      <c r="J22" s="612" t="s">
        <v>777</v>
      </c>
      <c r="K22" s="672">
        <f>I22*G22/1000</f>
        <v>0</v>
      </c>
      <c r="L22" s="656" t="s">
        <v>36</v>
      </c>
      <c r="M22" s="649" t="s">
        <v>769</v>
      </c>
      <c r="N22" s="652"/>
      <c r="O22" s="3" t="s">
        <v>36</v>
      </c>
      <c r="P22" s="283">
        <v>0.4</v>
      </c>
      <c r="Q22" s="283"/>
      <c r="R22" s="283"/>
      <c r="S22" s="283">
        <v>0.2</v>
      </c>
      <c r="T22" s="283"/>
      <c r="U22" s="283">
        <v>0.4</v>
      </c>
      <c r="V22" s="653">
        <f t="shared" si="12"/>
        <v>0</v>
      </c>
      <c r="W22" s="653">
        <f t="shared" si="12"/>
        <v>0</v>
      </c>
      <c r="X22" s="653">
        <f t="shared" si="12"/>
        <v>0</v>
      </c>
      <c r="Y22" s="653">
        <f t="shared" si="12"/>
        <v>0</v>
      </c>
      <c r="Z22" s="653">
        <f t="shared" si="12"/>
        <v>0</v>
      </c>
      <c r="AA22" s="653">
        <f t="shared" si="12"/>
        <v>0</v>
      </c>
      <c r="AB22" s="76"/>
      <c r="AC22" s="721">
        <v>0.10571428571428573</v>
      </c>
      <c r="AD22" s="722" t="s">
        <v>813</v>
      </c>
      <c r="AE22" s="723">
        <f>ROUND(I22*AC22,-3)</f>
        <v>0</v>
      </c>
      <c r="AF22" s="724" t="s">
        <v>814</v>
      </c>
      <c r="AG22" s="719">
        <f t="shared" ref="AG22:AG25" si="19">K22</f>
        <v>0</v>
      </c>
      <c r="AH22" s="719" t="e">
        <f t="shared" ref="AH22:AH25" si="20">$AG22*(V$6/$K$6)</f>
        <v>#DIV/0!</v>
      </c>
      <c r="AI22" s="719" t="e">
        <f t="shared" si="13"/>
        <v>#DIV/0!</v>
      </c>
      <c r="AJ22" s="719" t="e">
        <f t="shared" si="14"/>
        <v>#DIV/0!</v>
      </c>
      <c r="AK22" s="719" t="e">
        <f t="shared" si="15"/>
        <v>#DIV/0!</v>
      </c>
      <c r="AL22" s="719" t="e">
        <f t="shared" si="16"/>
        <v>#DIV/0!</v>
      </c>
      <c r="AM22" s="719" t="e">
        <f t="shared" si="17"/>
        <v>#DIV/0!</v>
      </c>
    </row>
    <row r="23" spans="2:39" ht="38">
      <c r="C23" s="611" t="s">
        <v>780</v>
      </c>
      <c r="D23" s="111"/>
      <c r="E23" s="660" t="s">
        <v>788</v>
      </c>
      <c r="F23" s="661" t="s">
        <v>776</v>
      </c>
      <c r="G23" s="662">
        <v>1.4999999999999999E-2</v>
      </c>
      <c r="H23" s="656" t="s">
        <v>381</v>
      </c>
      <c r="I23" s="658">
        <f t="shared" si="18"/>
        <v>0</v>
      </c>
      <c r="J23" s="612" t="s">
        <v>777</v>
      </c>
      <c r="K23" s="672">
        <f>I23*G23/1000</f>
        <v>0</v>
      </c>
      <c r="L23" s="656" t="s">
        <v>36</v>
      </c>
      <c r="M23" s="649" t="s">
        <v>770</v>
      </c>
      <c r="N23" s="652"/>
      <c r="O23" s="3" t="s">
        <v>36</v>
      </c>
      <c r="P23" s="283">
        <v>0.2</v>
      </c>
      <c r="Q23" s="283"/>
      <c r="R23" s="283"/>
      <c r="S23" s="283">
        <v>0.2</v>
      </c>
      <c r="T23" s="283"/>
      <c r="U23" s="283">
        <v>0.6</v>
      </c>
      <c r="V23" s="653">
        <f t="shared" si="12"/>
        <v>0</v>
      </c>
      <c r="W23" s="653">
        <f t="shared" si="12"/>
        <v>0</v>
      </c>
      <c r="X23" s="653">
        <f t="shared" si="12"/>
        <v>0</v>
      </c>
      <c r="Y23" s="653">
        <f t="shared" si="12"/>
        <v>0</v>
      </c>
      <c r="Z23" s="653">
        <f t="shared" si="12"/>
        <v>0</v>
      </c>
      <c r="AA23" s="653">
        <f t="shared" si="12"/>
        <v>0</v>
      </c>
      <c r="AB23" s="76"/>
      <c r="AC23" s="721">
        <v>0.17411764705882354</v>
      </c>
      <c r="AD23" s="722" t="s">
        <v>813</v>
      </c>
      <c r="AE23" s="723">
        <f>ROUND(I23*AC23,-3)</f>
        <v>0</v>
      </c>
      <c r="AF23" s="724" t="s">
        <v>814</v>
      </c>
      <c r="AG23" s="719">
        <f t="shared" si="19"/>
        <v>0</v>
      </c>
      <c r="AH23" s="719" t="e">
        <f t="shared" si="20"/>
        <v>#DIV/0!</v>
      </c>
      <c r="AI23" s="719" t="e">
        <f t="shared" si="13"/>
        <v>#DIV/0!</v>
      </c>
      <c r="AJ23" s="719" t="e">
        <f t="shared" si="14"/>
        <v>#DIV/0!</v>
      </c>
      <c r="AK23" s="719" t="e">
        <f t="shared" si="15"/>
        <v>#DIV/0!</v>
      </c>
      <c r="AL23" s="719" t="e">
        <f t="shared" si="16"/>
        <v>#DIV/0!</v>
      </c>
      <c r="AM23" s="719" t="e">
        <f t="shared" si="17"/>
        <v>#DIV/0!</v>
      </c>
    </row>
    <row r="24" spans="2:39" ht="38">
      <c r="C24" s="611" t="s">
        <v>781</v>
      </c>
      <c r="D24" s="111"/>
      <c r="E24" s="660" t="s">
        <v>789</v>
      </c>
      <c r="F24" s="661" t="s">
        <v>776</v>
      </c>
      <c r="G24" s="662">
        <v>1E-3</v>
      </c>
      <c r="H24" s="656" t="s">
        <v>381</v>
      </c>
      <c r="I24" s="658">
        <f t="shared" si="18"/>
        <v>0</v>
      </c>
      <c r="J24" s="612" t="s">
        <v>777</v>
      </c>
      <c r="K24" s="672">
        <f>I24*G24/1000</f>
        <v>0</v>
      </c>
      <c r="L24" s="656" t="s">
        <v>36</v>
      </c>
      <c r="M24" s="649" t="s">
        <v>771</v>
      </c>
      <c r="N24" s="652"/>
      <c r="O24" s="3" t="s">
        <v>36</v>
      </c>
      <c r="P24" s="283">
        <v>0.04</v>
      </c>
      <c r="Q24" s="283"/>
      <c r="R24" s="283"/>
      <c r="S24" s="283">
        <v>0.2</v>
      </c>
      <c r="T24" s="283"/>
      <c r="U24" s="283">
        <v>0.76</v>
      </c>
      <c r="V24" s="653">
        <f t="shared" si="12"/>
        <v>0</v>
      </c>
      <c r="W24" s="653">
        <f t="shared" si="12"/>
        <v>0</v>
      </c>
      <c r="X24" s="653">
        <f t="shared" si="12"/>
        <v>0</v>
      </c>
      <c r="Y24" s="653">
        <f t="shared" si="12"/>
        <v>0</v>
      </c>
      <c r="Z24" s="653">
        <f t="shared" si="12"/>
        <v>0</v>
      </c>
      <c r="AA24" s="653">
        <f t="shared" si="12"/>
        <v>0</v>
      </c>
      <c r="AB24" s="76"/>
      <c r="AC24" s="721">
        <v>7.0000000000000007E-2</v>
      </c>
      <c r="AD24" s="722" t="s">
        <v>813</v>
      </c>
      <c r="AE24" s="723">
        <f>ROUND(I24*AC24,-3)</f>
        <v>0</v>
      </c>
      <c r="AF24" s="724" t="s">
        <v>814</v>
      </c>
      <c r="AG24" s="719">
        <f t="shared" si="19"/>
        <v>0</v>
      </c>
      <c r="AH24" s="719" t="e">
        <f t="shared" si="20"/>
        <v>#DIV/0!</v>
      </c>
      <c r="AI24" s="719" t="e">
        <f t="shared" si="13"/>
        <v>#DIV/0!</v>
      </c>
      <c r="AJ24" s="719" t="e">
        <f t="shared" si="14"/>
        <v>#DIV/0!</v>
      </c>
      <c r="AK24" s="719" t="e">
        <f t="shared" si="15"/>
        <v>#DIV/0!</v>
      </c>
      <c r="AL24" s="719" t="e">
        <f t="shared" si="16"/>
        <v>#DIV/0!</v>
      </c>
      <c r="AM24" s="719" t="e">
        <f t="shared" si="17"/>
        <v>#DIV/0!</v>
      </c>
    </row>
    <row r="25" spans="2:39" ht="38">
      <c r="C25" s="611" t="s">
        <v>783</v>
      </c>
      <c r="D25" s="111"/>
      <c r="E25" s="661" t="s">
        <v>784</v>
      </c>
      <c r="F25" s="661" t="s">
        <v>776</v>
      </c>
      <c r="G25" s="662">
        <v>2.0000000000000002E-5</v>
      </c>
      <c r="H25" s="656" t="s">
        <v>381</v>
      </c>
      <c r="I25" s="658">
        <f t="shared" si="18"/>
        <v>0</v>
      </c>
      <c r="J25" s="612" t="s">
        <v>777</v>
      </c>
      <c r="K25" s="672">
        <f>I25*G25/1000</f>
        <v>0</v>
      </c>
      <c r="L25" s="656" t="s">
        <v>36</v>
      </c>
      <c r="M25" s="32" t="s">
        <v>772</v>
      </c>
      <c r="N25" s="652"/>
      <c r="O25" s="3" t="s">
        <v>36</v>
      </c>
      <c r="P25" s="283"/>
      <c r="Q25" s="283"/>
      <c r="R25" s="283"/>
      <c r="S25" s="283"/>
      <c r="T25" s="283"/>
      <c r="U25" s="283"/>
      <c r="V25" s="653">
        <f t="shared" si="12"/>
        <v>0</v>
      </c>
      <c r="W25" s="653">
        <f t="shared" si="12"/>
        <v>0</v>
      </c>
      <c r="X25" s="653">
        <f t="shared" si="12"/>
        <v>0</v>
      </c>
      <c r="Y25" s="653">
        <f t="shared" si="12"/>
        <v>0</v>
      </c>
      <c r="Z25" s="653">
        <f t="shared" si="12"/>
        <v>0</v>
      </c>
      <c r="AA25" s="653">
        <f t="shared" si="12"/>
        <v>0</v>
      </c>
      <c r="AB25" s="76"/>
      <c r="AC25" s="721">
        <v>75.897435897435898</v>
      </c>
      <c r="AD25" s="720" t="s">
        <v>815</v>
      </c>
      <c r="AE25" s="723">
        <f>ROUND(I25*AC25,-5)</f>
        <v>0</v>
      </c>
      <c r="AF25" s="724" t="s">
        <v>816</v>
      </c>
      <c r="AG25" s="719">
        <f t="shared" si="19"/>
        <v>0</v>
      </c>
      <c r="AH25" s="719" t="e">
        <f t="shared" si="20"/>
        <v>#DIV/0!</v>
      </c>
      <c r="AI25" s="719" t="e">
        <f t="shared" si="13"/>
        <v>#DIV/0!</v>
      </c>
      <c r="AJ25" s="719" t="e">
        <f t="shared" si="14"/>
        <v>#DIV/0!</v>
      </c>
      <c r="AK25" s="719" t="e">
        <f t="shared" si="15"/>
        <v>#DIV/0!</v>
      </c>
      <c r="AL25" s="719" t="e">
        <f t="shared" si="16"/>
        <v>#DIV/0!</v>
      </c>
      <c r="AM25" s="719" t="e">
        <f t="shared" si="17"/>
        <v>#DIV/0!</v>
      </c>
    </row>
    <row r="26" spans="2:39" ht="50.5">
      <c r="C26" s="611"/>
      <c r="D26" s="111"/>
      <c r="E26" s="660"/>
      <c r="F26" s="661"/>
      <c r="G26" s="662"/>
      <c r="H26" s="656"/>
      <c r="I26" s="665">
        <f>SUM(I21:I25)</f>
        <v>0</v>
      </c>
      <c r="J26" s="612" t="s">
        <v>785</v>
      </c>
      <c r="K26" s="663"/>
      <c r="L26" s="656"/>
      <c r="M26" s="649" t="s">
        <v>768</v>
      </c>
      <c r="N26" s="652">
        <f>$K$6*'Etape 3-Métaux-MatPre'!H$30/100</f>
        <v>0</v>
      </c>
      <c r="O26" s="3" t="s">
        <v>36</v>
      </c>
      <c r="P26" s="283">
        <v>0.7</v>
      </c>
      <c r="Q26" s="283"/>
      <c r="R26" s="283"/>
      <c r="S26" s="283">
        <v>0.3</v>
      </c>
      <c r="T26" s="283"/>
      <c r="U26" s="283"/>
      <c r="V26" s="653">
        <f t="shared" si="12"/>
        <v>0</v>
      </c>
      <c r="W26" s="653">
        <f t="shared" si="12"/>
        <v>0</v>
      </c>
      <c r="X26" s="653">
        <f t="shared" si="12"/>
        <v>0</v>
      </c>
      <c r="Y26" s="653">
        <f t="shared" si="12"/>
        <v>0</v>
      </c>
      <c r="Z26" s="653">
        <f t="shared" si="12"/>
        <v>0</v>
      </c>
      <c r="AA26" s="653">
        <f t="shared" si="12"/>
        <v>0</v>
      </c>
      <c r="AB26" s="76"/>
      <c r="AC26" s="721"/>
      <c r="AD26" s="719"/>
      <c r="AE26" s="719"/>
      <c r="AF26" s="719"/>
    </row>
    <row r="27" spans="2:39" ht="38">
      <c r="C27" s="26"/>
      <c r="D27" s="111"/>
      <c r="E27" s="278"/>
      <c r="F27" s="36"/>
      <c r="G27" s="335"/>
      <c r="H27" s="36"/>
      <c r="I27" s="248"/>
      <c r="J27" s="9"/>
      <c r="K27" s="172"/>
      <c r="L27" s="3"/>
      <c r="M27" s="649" t="s">
        <v>769</v>
      </c>
      <c r="N27" s="652">
        <f>$K$6*'Etape 3-Métaux-MatPre'!I$30/100</f>
        <v>0</v>
      </c>
      <c r="O27" s="3" t="s">
        <v>36</v>
      </c>
      <c r="P27" s="283">
        <v>0.6</v>
      </c>
      <c r="Q27" s="283"/>
      <c r="R27" s="283"/>
      <c r="S27" s="283">
        <v>0.4</v>
      </c>
      <c r="T27" s="283"/>
      <c r="U27" s="283"/>
      <c r="V27" s="653">
        <f t="shared" si="12"/>
        <v>0</v>
      </c>
      <c r="W27" s="653">
        <f t="shared" si="12"/>
        <v>0</v>
      </c>
      <c r="X27" s="653">
        <f t="shared" si="12"/>
        <v>0</v>
      </c>
      <c r="Y27" s="653">
        <f t="shared" si="12"/>
        <v>0</v>
      </c>
      <c r="Z27" s="653">
        <f t="shared" si="12"/>
        <v>0</v>
      </c>
      <c r="AA27" s="653">
        <f t="shared" si="12"/>
        <v>0</v>
      </c>
      <c r="AB27" s="76"/>
      <c r="AC27" s="721"/>
      <c r="AD27" s="719"/>
      <c r="AE27" s="719"/>
      <c r="AF27" s="719"/>
    </row>
    <row r="28" spans="2:39" ht="38">
      <c r="C28" s="26"/>
      <c r="D28" s="111"/>
      <c r="E28" s="278"/>
      <c r="F28" s="36"/>
      <c r="G28" s="335"/>
      <c r="H28" s="36"/>
      <c r="I28" s="248"/>
      <c r="J28" s="9"/>
      <c r="K28" s="172"/>
      <c r="L28" s="3"/>
      <c r="M28" s="649" t="s">
        <v>770</v>
      </c>
      <c r="N28" s="652">
        <f>$K$6*'Etape 3-Métaux-MatPre'!J$30/100</f>
        <v>0</v>
      </c>
      <c r="O28" s="3" t="s">
        <v>36</v>
      </c>
      <c r="P28" s="283">
        <v>0.5</v>
      </c>
      <c r="Q28" s="283"/>
      <c r="R28" s="283"/>
      <c r="S28" s="283">
        <v>0.5</v>
      </c>
      <c r="T28" s="283"/>
      <c r="U28" s="283"/>
      <c r="V28" s="653">
        <f t="shared" si="12"/>
        <v>0</v>
      </c>
      <c r="W28" s="653">
        <f t="shared" si="12"/>
        <v>0</v>
      </c>
      <c r="X28" s="653">
        <f t="shared" si="12"/>
        <v>0</v>
      </c>
      <c r="Y28" s="653">
        <f t="shared" si="12"/>
        <v>0</v>
      </c>
      <c r="Z28" s="653">
        <f t="shared" si="12"/>
        <v>0</v>
      </c>
      <c r="AA28" s="653">
        <f t="shared" si="12"/>
        <v>0</v>
      </c>
      <c r="AB28" s="76"/>
      <c r="AC28" s="721"/>
      <c r="AD28" s="719"/>
      <c r="AE28" s="719"/>
      <c r="AF28" s="719"/>
    </row>
    <row r="29" spans="2:39" ht="50.5">
      <c r="C29" s="26"/>
      <c r="D29" s="111"/>
      <c r="E29" s="278"/>
      <c r="F29" s="36"/>
      <c r="G29" s="335"/>
      <c r="H29" s="36"/>
      <c r="I29" s="248"/>
      <c r="J29" s="9"/>
      <c r="K29" s="172"/>
      <c r="L29" s="3"/>
      <c r="M29" s="649" t="s">
        <v>773</v>
      </c>
      <c r="N29" s="652">
        <f>$K$6*'Etape 3-Métaux-MatPre'!K$30/100</f>
        <v>0</v>
      </c>
      <c r="O29" s="3" t="s">
        <v>36</v>
      </c>
      <c r="P29" s="283">
        <v>0.04</v>
      </c>
      <c r="Q29" s="283"/>
      <c r="R29" s="283"/>
      <c r="S29" s="283">
        <v>0.5</v>
      </c>
      <c r="T29" s="283"/>
      <c r="U29" s="283">
        <v>0.46</v>
      </c>
      <c r="V29" s="653">
        <f t="shared" si="12"/>
        <v>0</v>
      </c>
      <c r="W29" s="653">
        <f t="shared" si="12"/>
        <v>0</v>
      </c>
      <c r="X29" s="653">
        <f t="shared" si="12"/>
        <v>0</v>
      </c>
      <c r="Y29" s="653">
        <f t="shared" si="12"/>
        <v>0</v>
      </c>
      <c r="Z29" s="653">
        <f t="shared" si="12"/>
        <v>0</v>
      </c>
      <c r="AA29" s="653">
        <f t="shared" si="12"/>
        <v>0</v>
      </c>
      <c r="AB29" s="76"/>
      <c r="AC29" s="721"/>
      <c r="AD29" s="719"/>
      <c r="AE29" s="719"/>
      <c r="AF29" s="719"/>
    </row>
    <row r="30" spans="2:39" s="55" customFormat="1" ht="13">
      <c r="C30" s="137"/>
      <c r="D30" s="76"/>
      <c r="E30" s="104"/>
      <c r="F30" s="104"/>
      <c r="G30" s="76"/>
      <c r="H30" s="104"/>
      <c r="I30" s="248"/>
      <c r="K30" s="172"/>
      <c r="L30" s="104"/>
      <c r="M30" s="33"/>
      <c r="N30" s="248"/>
      <c r="O30" s="3"/>
      <c r="P30" s="131"/>
      <c r="Q30" s="131"/>
      <c r="R30" s="131"/>
      <c r="S30" s="131"/>
      <c r="T30" s="131"/>
      <c r="U30" s="131"/>
      <c r="V30" s="171"/>
      <c r="W30" s="171"/>
      <c r="X30" s="171"/>
      <c r="Y30" s="171"/>
      <c r="Z30" s="171"/>
      <c r="AA30" s="171"/>
      <c r="AB30" s="76"/>
    </row>
    <row r="31" spans="2:39" ht="13">
      <c r="B31" s="3" t="s">
        <v>189</v>
      </c>
      <c r="C31" s="26" t="s">
        <v>190</v>
      </c>
      <c r="D31" s="111"/>
      <c r="E31" s="36" t="s">
        <v>429</v>
      </c>
      <c r="F31" s="278" t="s">
        <v>430</v>
      </c>
      <c r="G31" s="76">
        <v>0.03</v>
      </c>
      <c r="H31" s="36" t="s">
        <v>404</v>
      </c>
      <c r="I31" s="248">
        <f>'Etape 3-Métaux-MatPre'!C31</f>
        <v>0</v>
      </c>
      <c r="J31" s="3" t="s">
        <v>379</v>
      </c>
      <c r="K31" s="235">
        <f>I31*G31/1000</f>
        <v>0</v>
      </c>
      <c r="L31" s="3" t="s">
        <v>36</v>
      </c>
      <c r="M31" s="437"/>
      <c r="N31" s="248"/>
      <c r="O31" s="3"/>
      <c r="P31" s="341"/>
      <c r="Q31" s="341"/>
      <c r="R31" s="341"/>
      <c r="S31" s="341"/>
      <c r="T31" s="341"/>
      <c r="U31" s="341"/>
      <c r="V31" s="114">
        <f>SUM(V32:V33)</f>
        <v>0</v>
      </c>
      <c r="W31" s="114">
        <f t="shared" ref="W31:Z31" si="21">SUM(W32:W33)</f>
        <v>0</v>
      </c>
      <c r="X31" s="114">
        <f t="shared" si="21"/>
        <v>0</v>
      </c>
      <c r="Y31" s="114">
        <f t="shared" si="21"/>
        <v>0</v>
      </c>
      <c r="Z31" s="114">
        <f t="shared" si="21"/>
        <v>0</v>
      </c>
      <c r="AA31" s="114">
        <f>SUM(AA32:AA33)</f>
        <v>0</v>
      </c>
      <c r="AB31" s="76"/>
    </row>
    <row r="32" spans="2:39" ht="13">
      <c r="B32" s="3"/>
      <c r="C32" s="26"/>
      <c r="D32" s="111"/>
      <c r="E32" s="36"/>
      <c r="F32" s="278"/>
      <c r="G32" s="76"/>
      <c r="H32" s="36"/>
      <c r="I32" s="248"/>
      <c r="J32" s="3"/>
      <c r="K32" s="235"/>
      <c r="L32" s="3"/>
      <c r="M32" s="437" t="s">
        <v>440</v>
      </c>
      <c r="N32" s="701">
        <f>K31*'Etape 3-Métaux-MatPre'!G33/100</f>
        <v>0</v>
      </c>
      <c r="O32" s="3" t="s">
        <v>36</v>
      </c>
      <c r="P32" s="341">
        <v>1</v>
      </c>
      <c r="Q32" s="341"/>
      <c r="R32" s="341"/>
      <c r="S32" s="341"/>
      <c r="T32" s="341"/>
      <c r="U32" s="341"/>
      <c r="V32" s="171">
        <f t="shared" ref="V32" si="22">$N32*P32</f>
        <v>0</v>
      </c>
      <c r="W32" s="171">
        <f t="shared" ref="W32" si="23">$N32*Q32</f>
        <v>0</v>
      </c>
      <c r="X32" s="171">
        <f t="shared" ref="X32" si="24">$N32*R32</f>
        <v>0</v>
      </c>
      <c r="Y32" s="171">
        <f t="shared" ref="Y32" si="25">$N32*S32</f>
        <v>0</v>
      </c>
      <c r="Z32" s="171">
        <f t="shared" ref="Z32" si="26">$N32*T32</f>
        <v>0</v>
      </c>
      <c r="AA32" s="171">
        <f t="shared" ref="AA32" si="27">$N32*U32</f>
        <v>0</v>
      </c>
      <c r="AB32" s="76"/>
    </row>
    <row r="33" spans="2:28" s="55" customFormat="1" ht="25.5">
      <c r="B33" s="104"/>
      <c r="C33" s="137"/>
      <c r="D33" s="76"/>
      <c r="E33" s="149"/>
      <c r="F33" s="104"/>
      <c r="G33" s="76"/>
      <c r="H33" s="104"/>
      <c r="I33" s="248"/>
      <c r="K33" s="115"/>
      <c r="L33" s="104"/>
      <c r="M33" s="33" t="s">
        <v>403</v>
      </c>
      <c r="N33" s="701">
        <f>K31*'Etape 3-Métaux-MatPre'!H33/100</f>
        <v>0</v>
      </c>
      <c r="O33" s="3" t="s">
        <v>36</v>
      </c>
      <c r="P33" s="283">
        <v>0.9</v>
      </c>
      <c r="Q33" s="283"/>
      <c r="R33" s="283"/>
      <c r="S33" s="283"/>
      <c r="T33" s="283">
        <v>0.1</v>
      </c>
      <c r="U33" s="283"/>
      <c r="V33" s="171">
        <f t="shared" ref="V33:AA33" si="28">$N33*P33</f>
        <v>0</v>
      </c>
      <c r="W33" s="171">
        <f t="shared" si="28"/>
        <v>0</v>
      </c>
      <c r="X33" s="171">
        <f t="shared" si="28"/>
        <v>0</v>
      </c>
      <c r="Y33" s="171">
        <f t="shared" si="28"/>
        <v>0</v>
      </c>
      <c r="Z33" s="171">
        <f t="shared" si="28"/>
        <v>0</v>
      </c>
      <c r="AA33" s="171">
        <f t="shared" si="28"/>
        <v>0</v>
      </c>
      <c r="AB33" s="76"/>
    </row>
    <row r="34" spans="2:28" ht="26">
      <c r="B34" t="s">
        <v>168</v>
      </c>
      <c r="C34" s="26" t="s">
        <v>191</v>
      </c>
      <c r="D34" s="76"/>
      <c r="E34" s="11"/>
      <c r="F34" s="3"/>
      <c r="G34" s="76"/>
      <c r="H34" s="3"/>
      <c r="I34" s="248"/>
      <c r="K34" s="114"/>
      <c r="L34" s="3" t="s">
        <v>36</v>
      </c>
      <c r="M34" s="33"/>
      <c r="N34" s="248"/>
      <c r="O34" s="3"/>
      <c r="P34" s="130"/>
      <c r="Q34" s="130"/>
      <c r="R34" s="130"/>
      <c r="S34" s="130"/>
      <c r="T34" s="130"/>
      <c r="U34" s="127"/>
      <c r="V34" s="114">
        <f t="shared" ref="V34:AA34" si="29">SUM(V35:V36)</f>
        <v>0</v>
      </c>
      <c r="W34" s="114">
        <f t="shared" si="29"/>
        <v>0</v>
      </c>
      <c r="X34" s="114">
        <f t="shared" si="29"/>
        <v>0</v>
      </c>
      <c r="Y34" s="114">
        <f t="shared" si="29"/>
        <v>0</v>
      </c>
      <c r="Z34" s="114">
        <f t="shared" si="29"/>
        <v>0</v>
      </c>
      <c r="AA34" s="114">
        <f t="shared" si="29"/>
        <v>0</v>
      </c>
      <c r="AB34" s="76"/>
    </row>
    <row r="35" spans="2:28" ht="13">
      <c r="C35" s="26" t="s">
        <v>192</v>
      </c>
      <c r="D35" s="76"/>
      <c r="E35" s="29" t="s">
        <v>43</v>
      </c>
      <c r="F35" s="3"/>
      <c r="G35" s="76" t="s">
        <v>43</v>
      </c>
      <c r="H35" s="3" t="s">
        <v>43</v>
      </c>
      <c r="I35" s="248"/>
      <c r="K35" s="172" t="s">
        <v>43</v>
      </c>
      <c r="L35" s="3" t="s">
        <v>36</v>
      </c>
      <c r="M35" s="33"/>
      <c r="N35" s="247"/>
      <c r="O35" s="3" t="s">
        <v>36</v>
      </c>
      <c r="P35" s="127"/>
      <c r="Q35" s="127"/>
      <c r="R35" s="127"/>
      <c r="S35" s="127"/>
      <c r="T35" s="127"/>
      <c r="U35" s="127"/>
      <c r="V35" s="116">
        <f t="shared" ref="V35:AA35" si="30">$N35*P35</f>
        <v>0</v>
      </c>
      <c r="W35" s="116">
        <f t="shared" si="30"/>
        <v>0</v>
      </c>
      <c r="X35" s="116">
        <f t="shared" si="30"/>
        <v>0</v>
      </c>
      <c r="Y35" s="116">
        <f t="shared" si="30"/>
        <v>0</v>
      </c>
      <c r="Z35" s="116">
        <f t="shared" si="30"/>
        <v>0</v>
      </c>
      <c r="AA35" s="116">
        <f t="shared" si="30"/>
        <v>0</v>
      </c>
      <c r="AB35" s="76"/>
    </row>
    <row r="36" spans="2:28" ht="13">
      <c r="C36" s="26" t="s">
        <v>193</v>
      </c>
      <c r="D36" s="76"/>
      <c r="E36" s="29" t="s">
        <v>43</v>
      </c>
      <c r="F36" s="3" t="s">
        <v>43</v>
      </c>
      <c r="G36" s="76" t="s">
        <v>43</v>
      </c>
      <c r="H36" s="3" t="s">
        <v>43</v>
      </c>
      <c r="I36" s="248"/>
      <c r="K36" s="172" t="s">
        <v>43</v>
      </c>
      <c r="L36" s="3" t="s">
        <v>36</v>
      </c>
      <c r="M36" s="33"/>
      <c r="N36" s="247"/>
      <c r="O36" s="3" t="s">
        <v>36</v>
      </c>
      <c r="P36" s="127"/>
      <c r="Q36" s="127"/>
      <c r="R36" s="127"/>
      <c r="S36" s="127"/>
      <c r="T36" s="127"/>
      <c r="U36" s="127"/>
      <c r="V36" s="116">
        <f t="shared" ref="V36:AA36" si="31">$N36*P36</f>
        <v>0</v>
      </c>
      <c r="W36" s="116">
        <f t="shared" si="31"/>
        <v>0</v>
      </c>
      <c r="X36" s="116">
        <f t="shared" si="31"/>
        <v>0</v>
      </c>
      <c r="Y36" s="116">
        <f t="shared" si="31"/>
        <v>0</v>
      </c>
      <c r="Z36" s="116">
        <f t="shared" si="31"/>
        <v>0</v>
      </c>
      <c r="AA36" s="116">
        <f t="shared" si="31"/>
        <v>0</v>
      </c>
      <c r="AB36" s="76"/>
    </row>
    <row r="37" spans="2:28" s="55" customFormat="1" ht="13">
      <c r="C37" s="150"/>
      <c r="D37" s="76"/>
      <c r="E37" s="104"/>
      <c r="F37" s="104"/>
      <c r="G37" s="76"/>
      <c r="I37" s="247"/>
      <c r="K37" s="173"/>
      <c r="M37" s="107"/>
      <c r="N37" s="248"/>
      <c r="O37" s="104"/>
      <c r="P37" s="127"/>
      <c r="Q37" s="127"/>
      <c r="R37" s="127"/>
      <c r="S37" s="127"/>
      <c r="T37" s="127"/>
      <c r="U37" s="127"/>
      <c r="V37" s="58"/>
      <c r="W37" s="58"/>
      <c r="X37" s="58"/>
      <c r="Y37" s="58"/>
      <c r="Z37" s="58"/>
      <c r="AA37" s="58"/>
      <c r="AB37" s="76"/>
    </row>
    <row r="38" spans="2:28" ht="13">
      <c r="B38" s="3" t="s">
        <v>169</v>
      </c>
      <c r="C38" s="26" t="s">
        <v>357</v>
      </c>
      <c r="D38" s="111"/>
      <c r="E38" s="3" t="s">
        <v>43</v>
      </c>
      <c r="F38" s="3" t="s">
        <v>43</v>
      </c>
      <c r="G38" s="76" t="s">
        <v>43</v>
      </c>
      <c r="H38" s="3" t="s">
        <v>43</v>
      </c>
      <c r="I38" s="248"/>
      <c r="J38" t="s">
        <v>43</v>
      </c>
      <c r="K38" s="172" t="s">
        <v>43</v>
      </c>
      <c r="L38" s="3" t="s">
        <v>36</v>
      </c>
      <c r="M38" s="33"/>
      <c r="N38" s="248"/>
      <c r="O38" s="3" t="s">
        <v>36</v>
      </c>
      <c r="P38" s="127"/>
      <c r="Q38" s="127"/>
      <c r="R38" s="127"/>
      <c r="S38" s="127"/>
      <c r="T38" s="127"/>
      <c r="U38" s="127"/>
      <c r="V38" s="114">
        <f t="shared" ref="V38:AA38" si="32">$N38*P38</f>
        <v>0</v>
      </c>
      <c r="W38" s="114">
        <f t="shared" si="32"/>
        <v>0</v>
      </c>
      <c r="X38" s="114">
        <f t="shared" si="32"/>
        <v>0</v>
      </c>
      <c r="Y38" s="114">
        <f t="shared" si="32"/>
        <v>0</v>
      </c>
      <c r="Z38" s="114">
        <f t="shared" si="32"/>
        <v>0</v>
      </c>
      <c r="AA38" s="114">
        <f t="shared" si="32"/>
        <v>0</v>
      </c>
      <c r="AB38" s="76"/>
    </row>
    <row r="39" spans="2:28" s="55" customFormat="1" ht="13">
      <c r="B39" s="104"/>
      <c r="C39" s="137"/>
      <c r="D39" s="76"/>
      <c r="E39" s="149"/>
      <c r="F39" s="104"/>
      <c r="G39" s="76"/>
      <c r="H39" s="104"/>
      <c r="I39" s="248"/>
      <c r="K39" s="115"/>
      <c r="L39" s="104"/>
      <c r="M39" s="138"/>
      <c r="N39" s="248"/>
      <c r="O39" s="104"/>
      <c r="P39" s="130"/>
      <c r="Q39" s="130"/>
      <c r="R39" s="130"/>
      <c r="S39" s="130"/>
      <c r="T39" s="130"/>
      <c r="U39" s="127"/>
      <c r="V39" s="116"/>
      <c r="W39" s="116"/>
      <c r="X39" s="116"/>
      <c r="Y39" s="116"/>
      <c r="Z39" s="116"/>
      <c r="AA39" s="116"/>
      <c r="AB39" s="76"/>
    </row>
    <row r="40" spans="2:28" ht="13">
      <c r="C40" s="9"/>
      <c r="M40" s="14"/>
      <c r="N40" s="239"/>
      <c r="O40" s="3"/>
    </row>
    <row r="41" spans="2:28" ht="13">
      <c r="C41" s="9"/>
      <c r="M41" s="14"/>
      <c r="N41" s="249"/>
      <c r="O41" s="3"/>
    </row>
    <row r="42" spans="2:28" ht="13">
      <c r="C42" s="12"/>
      <c r="D42" s="8"/>
    </row>
    <row r="43" spans="2:28">
      <c r="D43" s="8"/>
    </row>
    <row r="44" spans="2:28">
      <c r="C44" s="48"/>
      <c r="D44" s="95"/>
      <c r="E44" s="48"/>
    </row>
    <row r="45" spans="2:28" ht="13">
      <c r="C45" s="48"/>
      <c r="D45" s="436"/>
      <c r="E45" s="48"/>
    </row>
    <row r="46" spans="2:28" ht="13">
      <c r="C46" s="48"/>
      <c r="D46" s="436"/>
      <c r="E46" s="48"/>
    </row>
    <row r="47" spans="2:28">
      <c r="C47" s="48"/>
      <c r="D47" s="48"/>
      <c r="E47" s="48"/>
    </row>
    <row r="48" spans="2:28">
      <c r="C48" s="48"/>
      <c r="D48" s="48"/>
      <c r="E48" s="48"/>
    </row>
  </sheetData>
  <sheetProtection algorithmName="SHA-512" hashValue="kIkOY8bKOwqU15JzVQU9zAteat6GRL2bbCsnIQDyAqhYbjx0EWqskEf7SYny07mjaU6wqH/hMjDEUxoKN47PAQ==" saltValue="nYL0lRXsutx/giK1q2MRy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23"/>
  <sheetViews>
    <sheetView zoomScaleNormal="100" workbookViewId="0">
      <selection activeCell="E30" sqref="E30"/>
    </sheetView>
  </sheetViews>
  <sheetFormatPr defaultColWidth="9.1796875" defaultRowHeight="12.5"/>
  <cols>
    <col min="1" max="1" width="43.1796875" style="338" customWidth="1"/>
    <col min="2" max="2" width="8.81640625" style="359" customWidth="1"/>
    <col min="3" max="3" width="14.1796875" style="338" customWidth="1"/>
    <col min="4" max="4" width="29.453125" style="338" customWidth="1"/>
    <col min="5" max="5" width="14.453125" style="338" customWidth="1"/>
    <col min="6" max="6" width="11.453125" style="338" customWidth="1"/>
    <col min="7" max="7" width="13" style="338" customWidth="1"/>
    <col min="8" max="8" width="13.1796875" style="338" customWidth="1"/>
    <col min="9" max="9" width="12.453125" style="338" customWidth="1"/>
    <col min="10" max="10" width="11.453125" style="338" customWidth="1"/>
    <col min="11" max="11" width="16.1796875" style="338" customWidth="1"/>
    <col min="12" max="12" width="5.6328125" style="338" customWidth="1"/>
    <col min="13" max="13" width="9.1796875" style="338"/>
    <col min="14" max="14" width="0" style="338" hidden="1" customWidth="1"/>
    <col min="15" max="16384" width="9.1796875" style="338"/>
  </cols>
  <sheetData>
    <row r="1" spans="1:14" ht="13">
      <c r="A1" s="385" t="s">
        <v>921</v>
      </c>
      <c r="B1" s="356"/>
    </row>
    <row r="2" spans="1:14" ht="30" customHeight="1">
      <c r="A2" s="816" t="str">
        <f>IF(ISNA(MATCH("n",N5:N17,0)),"", trans_warning)</f>
        <v/>
      </c>
      <c r="B2" s="817"/>
      <c r="C2" s="817"/>
      <c r="D2" s="817"/>
      <c r="E2" s="817"/>
      <c r="F2" s="817"/>
      <c r="G2" s="817"/>
      <c r="H2" s="817"/>
      <c r="I2" s="817"/>
      <c r="J2" s="817"/>
      <c r="K2" s="817"/>
      <c r="L2" s="818"/>
    </row>
    <row r="3" spans="1:14" s="360" customFormat="1" ht="42.75" customHeight="1">
      <c r="A3" s="744" t="s">
        <v>867</v>
      </c>
      <c r="B3" s="764" t="s">
        <v>1112</v>
      </c>
      <c r="C3" s="765" t="s">
        <v>869</v>
      </c>
      <c r="D3" s="744"/>
      <c r="E3" s="762" t="s">
        <v>874</v>
      </c>
      <c r="F3" s="813" t="s">
        <v>875</v>
      </c>
      <c r="G3" s="814"/>
      <c r="H3" s="814"/>
      <c r="I3" s="814"/>
      <c r="J3" s="814"/>
      <c r="K3" s="815"/>
      <c r="L3" s="744"/>
    </row>
    <row r="4" spans="1:14" ht="58.5" customHeight="1" thickBot="1">
      <c r="A4" s="744" t="s">
        <v>922</v>
      </c>
      <c r="B4" s="743" t="s">
        <v>871</v>
      </c>
      <c r="C4" s="747" t="s">
        <v>872</v>
      </c>
      <c r="D4" s="765" t="s">
        <v>873</v>
      </c>
      <c r="E4" s="765" t="s">
        <v>876</v>
      </c>
      <c r="F4" s="749" t="s">
        <v>38</v>
      </c>
      <c r="G4" s="749" t="s">
        <v>877</v>
      </c>
      <c r="H4" s="749" t="s">
        <v>878</v>
      </c>
      <c r="I4" s="765" t="s">
        <v>879</v>
      </c>
      <c r="J4" s="765" t="s">
        <v>880</v>
      </c>
      <c r="K4" s="765" t="s">
        <v>881</v>
      </c>
      <c r="L4" s="744" t="s">
        <v>359</v>
      </c>
      <c r="M4" s="322" t="s">
        <v>1151</v>
      </c>
    </row>
    <row r="5" spans="1:14" ht="25">
      <c r="A5" s="621" t="s">
        <v>923</v>
      </c>
      <c r="B5" s="645"/>
      <c r="C5" s="796"/>
      <c r="D5" s="558" t="s">
        <v>935</v>
      </c>
      <c r="E5" s="279" t="str">
        <f>IF(OR($B5=yes,$B5=yes),'5-4 Int Hg in Industry'!K7, IF(OR($B5=no,$B5=no),"-", IF($B5=que,que, pres)))</f>
        <v>Présent ?</v>
      </c>
      <c r="F5" s="279" t="str">
        <f>IF(OR($B5=yes,$B5=yes),SUM('5-4 Int Hg in Industry'!V7:V8), IF(OR($B5=no,$B5=no),"-", IF($B5=que,que, pres)))</f>
        <v>Présent ?</v>
      </c>
      <c r="G5" s="279" t="str">
        <f>IF(OR($B5=yes,$B5=yes),SUM('5-4 Int Hg in Industry'!W7:W8), IF(OR($B5=no,$B5=no),"-", IF($B5=que,que, pres)))</f>
        <v>Présent ?</v>
      </c>
      <c r="H5" s="279" t="str">
        <f>IF(OR($B5=yes,$B5=yes),SUM('5-4 Int Hg in Industry'!X7:X8), IF(OR($B5=no,$B5=no),"-", IF($B5=que,que, pres)))</f>
        <v>Présent ?</v>
      </c>
      <c r="I5" s="279" t="str">
        <f>IF(OR($B5=yes,$B5=yes),SUM('5-4 Int Hg in Industry'!Y7:Y8), IF(OR($B5=no,$B5=no),"-", IF($B5=que,que, pres)))</f>
        <v>Présent ?</v>
      </c>
      <c r="J5" s="279" t="str">
        <f>IF(OR($B5=yes,$B5=yes),SUM('5-4 Int Hg in Industry'!Z7:Z8), IF(OR($B5=no,$B5=no),"-", IF($B5=que,que, pres)))</f>
        <v>Présent ?</v>
      </c>
      <c r="K5" s="279" t="str">
        <f>IF(OR($B5=yes,$B5=yes),SUM('5-4 Int Hg in Industry'!AA7:AA8), IF(OR($B5=no,$B5=no),"-", IF($B5=que,que, pres)))</f>
        <v>Présent ?</v>
      </c>
      <c r="L5" s="273" t="s">
        <v>146</v>
      </c>
      <c r="M5" s="459"/>
      <c r="N5" s="338" t="str">
        <f>INDEX('Range-thresholds'!$G$6:$G$73,MATCH(A5,'Range-thresholds'!$A$6:$A$73,0))</f>
        <v/>
      </c>
    </row>
    <row r="6" spans="1:14">
      <c r="A6" s="270" t="s">
        <v>924</v>
      </c>
      <c r="B6" s="646"/>
      <c r="C6" s="797"/>
      <c r="D6" s="558" t="s">
        <v>936</v>
      </c>
      <c r="E6" s="279" t="str">
        <f>IF(OR($B6=yes,$B6=yes),'5-4 Int Hg in Industry'!K10, IF(OR($B6=no,$B6=no),"-", IF($B6=que,que, pres)))</f>
        <v>Présent ?</v>
      </c>
      <c r="F6" s="279" t="str">
        <f>IF(OR($B6=yes,$B6=yes),'5-4 Int Hg in Industry'!V10, IF(OR($B6=no,$B6=no),"-", IF($B6=que,que, pres)))</f>
        <v>Présent ?</v>
      </c>
      <c r="G6" s="279" t="str">
        <f>IF(OR($B6=yes,$B6=yes),'5-4 Int Hg in Industry'!W10, IF(OR($B6=no,$B6=no),"-", IF($B6=que,que, pres)))</f>
        <v>Présent ?</v>
      </c>
      <c r="H6" s="279" t="str">
        <f>IF(OR($B6=yes,$B6=yes),'5-4 Int Hg in Industry'!X10, IF(OR($B6=no,$B6=no),"-", IF($B6=que,que, pres)))</f>
        <v>Présent ?</v>
      </c>
      <c r="I6" s="279" t="str">
        <f>IF(OR($B6=yes,$B6=yes),'5-4 Int Hg in Industry'!Y10, IF(OR($B6=no,$B6=no),"-", IF($B6=que,que, pres)))</f>
        <v>Présent ?</v>
      </c>
      <c r="J6" s="279" t="str">
        <f>IF(OR($B6=yes,$B6=yes),'5-4 Int Hg in Industry'!Z10, IF(OR($B6=no,$B6=no),"-", IF($B6=que,que, pres)))</f>
        <v>Présent ?</v>
      </c>
      <c r="K6" s="279" t="str">
        <f>IF(OR($B6=yes,$B6=yes),'5-4 Int Hg in Industry'!AA10, IF(OR($B6=no,$B6=no),"-", IF($B6=que,que, pres)))</f>
        <v>Présent ?</v>
      </c>
      <c r="L6" s="273" t="s">
        <v>148</v>
      </c>
      <c r="M6" s="459"/>
      <c r="N6" s="338" t="str">
        <f>INDEX('Range-thresholds'!$G$6:$G$73,MATCH(A6,'Range-thresholds'!$A$6:$A$73,0))</f>
        <v/>
      </c>
    </row>
    <row r="7" spans="1:14" ht="25.5" thickBot="1">
      <c r="A7" s="270" t="s">
        <v>925</v>
      </c>
      <c r="B7" s="647"/>
      <c r="C7" s="798"/>
      <c r="D7" s="557" t="s">
        <v>937</v>
      </c>
      <c r="E7" s="279" t="str">
        <f>IF(OR($B7=yes,$B7=yes),'5-4 Int Hg in Industry'!K12, IF(OR($B7=no,$B7=no),"-", IF($B7=que,que, pres)))</f>
        <v>Présent ?</v>
      </c>
      <c r="F7" s="279" t="str">
        <f>IF(OR($B7=yes,$B7=yes),'5-4 Int Hg in Industry'!V12, IF(OR($B7=no,$B7=no),"-", IF($B7=que,que, pres)))</f>
        <v>Présent ?</v>
      </c>
      <c r="G7" s="279" t="str">
        <f>IF(OR($B7=yes,$B7=yes),'5-4 Int Hg in Industry'!W12, IF(OR($B7=no,$B7=no),"-", IF($B7=que,que, pres)))</f>
        <v>Présent ?</v>
      </c>
      <c r="H7" s="279" t="str">
        <f>IF(OR($B7=yes,$B7=yes),'5-4 Int Hg in Industry'!X12, IF(OR($B7=no,$B7=no),"-", IF($B7=que,que, pres)))</f>
        <v>Présent ?</v>
      </c>
      <c r="I7" s="279" t="str">
        <f>IF(OR($B7=yes,$B7=yes),'5-4 Int Hg in Industry'!Y12, IF(OR($B7=no,$B7=no),"-", IF($B7=que,que, pres)))</f>
        <v>Présent ?</v>
      </c>
      <c r="J7" s="279" t="str">
        <f>IF(OR($B7=yes,$B7=yes),'5-4 Int Hg in Industry'!Z12, IF(OR($B7=no,$B7=no),"-", IF($B7=que,que, pres)))</f>
        <v>Présent ?</v>
      </c>
      <c r="K7" s="279" t="str">
        <f>IF(OR($B7=yes,$B7=yes),'5-4 Int Hg in Industry'!AA12, IF(OR($B7=no,$B7=no),"-", IF($B7=que,que, pres)))</f>
        <v>Présent ?</v>
      </c>
      <c r="L7" s="273" t="s">
        <v>370</v>
      </c>
      <c r="M7" s="459"/>
      <c r="N7" s="338" t="str">
        <f>INDEX('Range-thresholds'!$G$6:$G$73,MATCH(A7,'Range-thresholds'!$A$6:$A$73,0))</f>
        <v/>
      </c>
    </row>
    <row r="8" spans="1:14">
      <c r="A8" s="263"/>
      <c r="B8" s="478"/>
      <c r="C8" s="799"/>
      <c r="D8" s="367"/>
      <c r="E8" s="279"/>
      <c r="F8" s="279"/>
      <c r="G8" s="279"/>
      <c r="H8" s="279"/>
      <c r="I8" s="279"/>
      <c r="J8" s="279"/>
      <c r="K8" s="279"/>
      <c r="L8" s="273"/>
      <c r="M8" s="459"/>
    </row>
    <row r="9" spans="1:14" ht="26.5" thickBot="1">
      <c r="A9" s="265" t="s">
        <v>926</v>
      </c>
      <c r="B9" s="479"/>
      <c r="C9" s="800"/>
      <c r="D9" s="367"/>
      <c r="E9" s="279"/>
      <c r="F9" s="279"/>
      <c r="G9" s="279"/>
      <c r="H9" s="279"/>
      <c r="I9" s="279"/>
      <c r="J9" s="279"/>
      <c r="K9" s="279"/>
      <c r="L9" s="273"/>
      <c r="M9" s="459"/>
    </row>
    <row r="10" spans="1:14" ht="25">
      <c r="A10" s="275" t="s">
        <v>927</v>
      </c>
      <c r="B10" s="645"/>
      <c r="C10" s="796"/>
      <c r="D10" s="557" t="s">
        <v>938</v>
      </c>
      <c r="E10" s="279" t="str">
        <f>IF(OR($B10=yes,$B10=yes),'5-5 Cons prod'!K7, IF(OR($B10=no,$B10=no),"-", IF($B10=que,que, pres)))</f>
        <v>Présent ?</v>
      </c>
      <c r="F10" s="279" t="str">
        <f>IF(OR($B10=yes,$B10=yes),'5-5 Cons prod'!V7, IF(OR($B10=no,$B10=no),"-", IF($B10=que,que, pres)))</f>
        <v>Présent ?</v>
      </c>
      <c r="G10" s="279" t="str">
        <f>IF(OR($B10=yes,$B10=yes),'5-5 Cons prod'!W7, IF(OR($B10=no,$B10=no),"-", IF($B10=que,que, pres)))</f>
        <v>Présent ?</v>
      </c>
      <c r="H10" s="279" t="str">
        <f>IF(OR($B10=yes,$B10=yes),'5-5 Cons prod'!X7, IF(OR($B10=no,$B10=no),"-", IF($B10=que,que, pres)))</f>
        <v>Présent ?</v>
      </c>
      <c r="I10" s="279" t="str">
        <f>IF(OR($B10=yes,$B10=yes),'5-5 Cons prod'!Y7, IF(OR($B10=no,$B10=no),"-", IF($B10=que,que, pres)))</f>
        <v>Présent ?</v>
      </c>
      <c r="J10" s="279" t="str">
        <f>IF(OR($B10=yes,$B10=yes),'5-5 Cons prod'!Z7, IF(OR($B10=no,$B10=no),"-", IF($B10=que,que, pres)))</f>
        <v>Présent ?</v>
      </c>
      <c r="K10" s="279" t="str">
        <f>IF(OR($B10=yes,$B10=yes),'5-5 Cons prod'!AA7, IF(OR($B10=no,$B10=no),"-", IF($B10=que,que, pres)))</f>
        <v>Présent ?</v>
      </c>
      <c r="L10" s="273" t="s">
        <v>89</v>
      </c>
      <c r="M10" s="460"/>
      <c r="N10" s="338" t="str">
        <f>INDEX('Range-thresholds'!$G$6:$G$73,MATCH(A10,'Range-thresholds'!$A$6:$A$73,0))</f>
        <v/>
      </c>
    </row>
    <row r="11" spans="1:14" ht="25">
      <c r="A11" s="275" t="s">
        <v>928</v>
      </c>
      <c r="B11" s="646"/>
      <c r="C11" s="797"/>
      <c r="D11" s="557" t="s">
        <v>938</v>
      </c>
      <c r="E11" s="279" t="str">
        <f>IF(OR($B11=yes,$B11=yes),'5-5 Cons prod'!K19, IF(OR($B11=no,$B11=no),"-", IF($B11=que,que, pres)))</f>
        <v>Présent ?</v>
      </c>
      <c r="F11" s="279" t="str">
        <f>IF(OR($B11=yes,$B11=yes),'5-5 Cons prod'!V19, IF(OR($B11=no,$B11=no),"-", IF($B11=que,que, pres)))</f>
        <v>Présent ?</v>
      </c>
      <c r="G11" s="279" t="str">
        <f>IF(OR($B11=yes,$B11=yes),'5-5 Cons prod'!W19, IF(OR($B11=no,$B11=no),"-", IF($B11=que,que, pres)))</f>
        <v>Présent ?</v>
      </c>
      <c r="H11" s="279" t="str">
        <f>IF(OR($B11=yes,$B11=yes),'5-5 Cons prod'!X19, IF(OR($B11=no,$B11=no),"-", IF($B11=que,que, pres)))</f>
        <v>Présent ?</v>
      </c>
      <c r="I11" s="279" t="str">
        <f>IF(OR($B11=yes,$B11=yes),'5-5 Cons prod'!Y19, IF(OR($B11=no,$B11=no),"-", IF($B11=que,que, pres)))</f>
        <v>Présent ?</v>
      </c>
      <c r="J11" s="279" t="str">
        <f>IF(OR($B11=yes,$B11=yes),'5-5 Cons prod'!Z19, IF(OR($B11=no,$B11=no),"-", IF($B11=que,que, pres)))</f>
        <v>Présent ?</v>
      </c>
      <c r="K11" s="279" t="str">
        <f>IF(OR($B11=yes,$B11=yes),'5-5 Cons prod'!AA19, IF(OR($B11=no,$B11=no),"-", IF($B11=que,que, pres)))</f>
        <v>Présent ?</v>
      </c>
      <c r="L11" s="273" t="s">
        <v>114</v>
      </c>
      <c r="M11" s="460"/>
      <c r="N11" s="338" t="str">
        <f>INDEX('Range-thresholds'!$G$6:$G$73,MATCH(A11,'Range-thresholds'!$A$6:$A$73,0))</f>
        <v/>
      </c>
    </row>
    <row r="12" spans="1:14" ht="25">
      <c r="A12" s="275" t="s">
        <v>929</v>
      </c>
      <c r="B12" s="646"/>
      <c r="C12" s="797"/>
      <c r="D12" s="557" t="s">
        <v>938</v>
      </c>
      <c r="E12" s="279" t="str">
        <f>IF(OR($B12=yes,$B12=yes),'5-5 Cons prod'!K26, IF(OR($B12=no,$B12=no),"-", IF($B12=que,que, pres)))</f>
        <v>Présent ?</v>
      </c>
      <c r="F12" s="279" t="str">
        <f>IF(OR($B12=yes,$B12=yes),'5-5 Cons prod'!V26, IF(OR($B12=no,$B12=no),"-", IF($B12=que,que, pres)))</f>
        <v>Présent ?</v>
      </c>
      <c r="G12" s="279" t="str">
        <f>IF(OR($B12=yes,$B12=yes),'5-5 Cons prod'!W26, IF(OR($B12=no,$B12=no),"-", IF($B12=que,que, pres)))</f>
        <v>Présent ?</v>
      </c>
      <c r="H12" s="279" t="str">
        <f>IF(OR($B12=yes,$B12=yes),'5-5 Cons prod'!X26, IF(OR($B12=no,$B12=no),"-", IF($B12=que,que, pres)))</f>
        <v>Présent ?</v>
      </c>
      <c r="I12" s="279" t="str">
        <f>IF(OR($B12=yes,$B12=yes),'5-5 Cons prod'!Y26, IF(OR($B12=no,$B12=no),"-", IF($B12=que,que, pres)))</f>
        <v>Présent ?</v>
      </c>
      <c r="J12" s="279" t="str">
        <f>IF(OR($B12=yes,$B12=yes),'5-5 Cons prod'!Z26, IF(OR($B12=no,$B12=no),"-", IF($B12=que,que, pres)))</f>
        <v>Présent ?</v>
      </c>
      <c r="K12" s="279" t="str">
        <f>IF(OR($B12=yes,$B12=yes),'5-5 Cons prod'!AA26, IF(OR($B12=no,$B12=no),"-", IF($B12=que,que, pres)))</f>
        <v>Présent ?</v>
      </c>
      <c r="L12" s="273" t="s">
        <v>119</v>
      </c>
      <c r="M12" s="459"/>
      <c r="N12" s="338" t="str">
        <f>INDEX('Range-thresholds'!$G$6:$G$73,MATCH(A12,'Range-thresholds'!$A$6:$A$73,0))</f>
        <v/>
      </c>
    </row>
    <row r="13" spans="1:14" ht="25">
      <c r="A13" s="275" t="s">
        <v>930</v>
      </c>
      <c r="B13" s="646"/>
      <c r="C13" s="797"/>
      <c r="D13" s="557" t="s">
        <v>938</v>
      </c>
      <c r="E13" s="279" t="str">
        <f>IF(OR($B13=yes,$B13=yes),'5-5 Cons prod'!K36, IF(OR($B13=no,$B13=no),"-", IF($B13=que,que, pres)))</f>
        <v>Présent ?</v>
      </c>
      <c r="F13" s="279" t="str">
        <f>IF(OR($B13=yes,$B13=yes),'5-5 Cons prod'!V36, IF(OR($B13=no,$B13=no),"-", IF($B13=que,que, pres)))</f>
        <v>Présent ?</v>
      </c>
      <c r="G13" s="279" t="str">
        <f>IF(OR($B13=yes,$B13=yes),'5-5 Cons prod'!W36, IF(OR($B13=no,$B13=no),"-", IF($B13=que,que, pres)))</f>
        <v>Présent ?</v>
      </c>
      <c r="H13" s="279" t="str">
        <f>IF(OR($B13=yes,$B13=yes),'5-5 Cons prod'!X36, IF(OR($B13=no,$B13=no),"-", IF($B13=que,que, pres)))</f>
        <v>Présent ?</v>
      </c>
      <c r="I13" s="279" t="str">
        <f>IF(OR($B13=yes,$B13=yes),'5-5 Cons prod'!Y36, IF(OR($B13=no,$B13=no),"-", IF($B13=que,que, pres)))</f>
        <v>Présent ?</v>
      </c>
      <c r="J13" s="279" t="str">
        <f>IF(OR($B13=yes,$B13=yes),'5-5 Cons prod'!Z36, IF(OR($B13=no,$B13=no),"-", IF($B13=que,que, pres)))</f>
        <v>Présent ?</v>
      </c>
      <c r="K13" s="279" t="str">
        <f>IF(OR($B13=yes,$B13=yes),'5-5 Cons prod'!AA36, IF(OR($B13=no,$B13=no),"-", IF($B13=que,que, pres)))</f>
        <v>Présent ?</v>
      </c>
      <c r="L13" s="273" t="s">
        <v>131</v>
      </c>
      <c r="M13" s="459"/>
      <c r="N13" s="338" t="str">
        <f>INDEX('Range-thresholds'!$G$6:$G$73,MATCH(A13,'Range-thresholds'!$A$6:$A$73,0))</f>
        <v/>
      </c>
    </row>
    <row r="14" spans="1:14" ht="25">
      <c r="A14" s="275" t="s">
        <v>931</v>
      </c>
      <c r="B14" s="646"/>
      <c r="C14" s="797"/>
      <c r="D14" s="557" t="s">
        <v>938</v>
      </c>
      <c r="E14" s="279" t="str">
        <f>IF(OR($B14=yes,$B14=yes),'5-6 Other int use'!N14, IF(OR($B14=no,$B14=no),"-", IF($B14=que,que, pres)))</f>
        <v>Présent ?</v>
      </c>
      <c r="F14" s="279" t="str">
        <f>IF(OR($B14=yes,$B14=yes),'5-6 Other int use'!V14, IF(OR($B14=no,$B14=no),"-", IF($B14=que,que, pres)))</f>
        <v>Présent ?</v>
      </c>
      <c r="G14" s="279" t="str">
        <f>IF(OR($B14=yes,$B14=yes),'5-6 Other int use'!W14, IF(OR($B14=no,$B14=no),"-", IF($B14=que,que, pres)))</f>
        <v>Présent ?</v>
      </c>
      <c r="H14" s="279" t="str">
        <f>IF(OR($B14=yes,$B14=yes),'5-6 Other int use'!X14, IF(OR($B14=no,$B14=no),"-", IF($B14=que,que, pres)))</f>
        <v>Présent ?</v>
      </c>
      <c r="I14" s="279" t="str">
        <f>IF(OR($B14=yes,$B14=yes),'5-6 Other int use'!Y14, IF(OR($B14=no,$B14=no),"-", IF($B14=que,que, pres)))</f>
        <v>Présent ?</v>
      </c>
      <c r="J14" s="279" t="str">
        <f>IF(OR($B14=yes,$B14=yes),'5-6 Other int use'!Z14, IF(OR($B14=no,$B14=no),"-", IF($B14=que,que, pres)))</f>
        <v>Présent ?</v>
      </c>
      <c r="K14" s="279" t="str">
        <f>IF(OR($B14=yes,$B14=yes),'5-6 Other int use'!AA14, IF(OR($B14=no,$B14=no),"-", IF($B14=que,que, pres)))</f>
        <v>Présent ?</v>
      </c>
      <c r="L14" s="273" t="s">
        <v>226</v>
      </c>
      <c r="M14" s="459"/>
      <c r="N14" s="338" t="str">
        <f>INDEX('Range-thresholds'!$G$6:$G$73,MATCH(A14,'Range-thresholds'!$A$6:$A$73,0))</f>
        <v/>
      </c>
    </row>
    <row r="15" spans="1:14" ht="25">
      <c r="A15" s="275" t="s">
        <v>932</v>
      </c>
      <c r="B15" s="646"/>
      <c r="C15" s="797"/>
      <c r="D15" s="557" t="s">
        <v>938</v>
      </c>
      <c r="E15" s="279" t="str">
        <f>IF(OR($B15=yes,$B15=yes),'5-5 Cons prod'!K56, IF(OR($B15=no,$B15=no),"-", IF($B15=que,que, pres)))</f>
        <v>Présent ?</v>
      </c>
      <c r="F15" s="279" t="str">
        <f>IF(OR($B15=yes,$B15=yes),'5-5 Cons prod'!V56, IF(OR($B15=no,$B15=no),"-", IF($B15=que,que, pres)))</f>
        <v>Présent ?</v>
      </c>
      <c r="G15" s="279" t="str">
        <f>IF(OR($B15=yes,$B15=yes),'5-5 Cons prod'!W56, IF(OR($B15=no,$B15=no),"-", IF($B15=que,que, pres)))</f>
        <v>Présent ?</v>
      </c>
      <c r="H15" s="279" t="str">
        <f>IF(OR($B15=yes,$B15=yes),'5-5 Cons prod'!X56, IF(OR($B15=no,$B15=no),"-", IF($B15=que,que, pres)))</f>
        <v>Présent ?</v>
      </c>
      <c r="I15" s="279" t="str">
        <f>IF(OR($B15=yes,$B15=yes),'5-5 Cons prod'!Y56, IF(OR($B15=no,$B15=no),"-", IF($B15=que,que, pres)))</f>
        <v>Présent ?</v>
      </c>
      <c r="J15" s="279" t="str">
        <f>IF(OR($B15=yes,$B15=yes),'5-5 Cons prod'!Z56, IF(OR($B15=no,$B15=no),"-", IF($B15=que,que, pres)))</f>
        <v>Présent ?</v>
      </c>
      <c r="K15" s="279" t="str">
        <f>IF(OR($B15=yes,$B15=yes),'5-5 Cons prod'!AA56, IF(OR($B15=no,$B15=no),"-", IF($B15=que,que, pres)))</f>
        <v>Présent ?</v>
      </c>
      <c r="L15" s="273" t="s">
        <v>130</v>
      </c>
      <c r="M15" s="459"/>
      <c r="N15" s="338" t="str">
        <f>INDEX('Range-thresholds'!$G$6:$G$73,MATCH(A15,'Range-thresholds'!$A$6:$A$73,0))</f>
        <v/>
      </c>
    </row>
    <row r="16" spans="1:14" ht="25">
      <c r="A16" s="275" t="s">
        <v>933</v>
      </c>
      <c r="B16" s="646"/>
      <c r="C16" s="797"/>
      <c r="D16" s="557" t="s">
        <v>938</v>
      </c>
      <c r="E16" s="279" t="str">
        <f>IF(OR($B16=yes,$B16=yes),'5-5 Cons prod'!K60, IF(OR($B16=no,$B16=no),"-", IF($B16=que,que, pres)))</f>
        <v>Présent ?</v>
      </c>
      <c r="F16" s="279" t="str">
        <f>IF(OR($B16=yes,$B16=yes),'5-5 Cons prod'!V60, IF(OR($B16=no,$B16=no),"-", IF($B16=que,que, pres)))</f>
        <v>Présent ?</v>
      </c>
      <c r="G16" s="279" t="str">
        <f>IF(OR($B16=yes,$B16=yes),'5-5 Cons prod'!W60, IF(OR($B16=no,$B16=no),"-", IF($B16=que,que, pres)))</f>
        <v>Présent ?</v>
      </c>
      <c r="H16" s="279" t="str">
        <f>IF(OR($B16=yes,$B16=yes),'5-5 Cons prod'!X60, IF(OR($B16=no,$B16=no),"-", IF($B16=que,que, pres)))</f>
        <v>Présent ?</v>
      </c>
      <c r="I16" s="279" t="str">
        <f>IF(OR($B16=yes,$B16=yes),'5-5 Cons prod'!Y60, IF(OR($B16=no,$B16=no),"-", IF($B16=que,que, pres)))</f>
        <v>Présent ?</v>
      </c>
      <c r="J16" s="279" t="str">
        <f>IF(OR($B16=yes,$B16=yes),'5-5 Cons prod'!Z60, IF(OR($B16=no,$B16=no),"-", IF($B16=que,que, pres)))</f>
        <v>Présent ?</v>
      </c>
      <c r="K16" s="279" t="str">
        <f>IF(OR($B16=yes,$B16=yes),'5-5 Cons prod'!AA60, IF(OR($B16=no,$B16=no),"-", IF($B16=que,que, pres)))</f>
        <v>Présent ?</v>
      </c>
      <c r="L16" s="273" t="s">
        <v>139</v>
      </c>
      <c r="M16" s="459"/>
      <c r="N16" s="338" t="str">
        <f>INDEX('Range-thresholds'!$G$6:$G$73,MATCH(A16,'Range-thresholds'!$A$6:$A$73,0))</f>
        <v/>
      </c>
    </row>
    <row r="17" spans="1:14" ht="25.5" thickBot="1">
      <c r="A17" s="275" t="s">
        <v>934</v>
      </c>
      <c r="B17" s="647"/>
      <c r="C17" s="798"/>
      <c r="D17" s="557" t="s">
        <v>938</v>
      </c>
      <c r="E17" s="279" t="str">
        <f>IF(OR($B17=yes,$B17=yes),'5-5 Cons prod'!K64, IF(OR($B17=no,$B17=no),"-", IF($B17=que,que, pres)))</f>
        <v>Présent ?</v>
      </c>
      <c r="F17" s="279" t="str">
        <f>IF(OR($B17=yes,$B17=yes),'5-5 Cons prod'!V64, IF(OR($B17=no,$B17=no),"-", IF($B17=que,que, pres)))</f>
        <v>Présent ?</v>
      </c>
      <c r="G17" s="279" t="str">
        <f>IF(OR($B17=yes,$B17=yes),'5-5 Cons prod'!W64, IF(OR($B17=no,$B17=no),"-", IF($B17=que,que, pres)))</f>
        <v>Présent ?</v>
      </c>
      <c r="H17" s="279" t="str">
        <f>IF(OR($B17=yes,$B17=yes),'5-5 Cons prod'!X64, IF(OR($B17=no,$B17=no),"-", IF($B17=que,que, pres)))</f>
        <v>Présent ?</v>
      </c>
      <c r="I17" s="279" t="str">
        <f>IF(OR($B17=yes,$B17=yes),'5-5 Cons prod'!Y64, IF(OR($B17=no,$B17=no),"-", IF($B17=que,que, pres)))</f>
        <v>Présent ?</v>
      </c>
      <c r="J17" s="279" t="str">
        <f>IF(OR($B17=yes,$B17=yes),'5-5 Cons prod'!Z64, IF(OR($B17=no,$B17=no),"-", IF($B17=que,que, pres)))</f>
        <v>Présent ?</v>
      </c>
      <c r="K17" s="279" t="str">
        <f>IF(OR($B17=yes,$B17=yes),'5-5 Cons prod'!AA64, IF(OR($B17=no,$B17=no),"-", IF($B17=que,que, pres)))</f>
        <v>Présent ?</v>
      </c>
      <c r="L17" s="273" t="s">
        <v>372</v>
      </c>
      <c r="M17" s="460"/>
      <c r="N17" s="338" t="str">
        <f>INDEX('Range-thresholds'!$G$6:$G$73,MATCH(A17,'Range-thresholds'!$A$6:$A$73,0))</f>
        <v/>
      </c>
    </row>
    <row r="18" spans="1:14">
      <c r="A18" s="357"/>
      <c r="B18" s="358"/>
    </row>
    <row r="19" spans="1:14">
      <c r="A19" s="357"/>
      <c r="B19" s="358"/>
    </row>
    <row r="20" spans="1:14">
      <c r="A20" s="618" t="s">
        <v>747</v>
      </c>
    </row>
    <row r="21" spans="1:14">
      <c r="A21" s="618"/>
    </row>
    <row r="23" spans="1:14">
      <c r="A23" s="559"/>
      <c r="B23" s="617"/>
      <c r="C23" s="559"/>
      <c r="D23" s="559"/>
    </row>
  </sheetData>
  <sheetProtection algorithmName="SHA-512" hashValue="0aZDcJSlgL6tUvtnABQMZqN04VsMq5RqrjpasOQ7DOX3zWE0q1QyDpbGkfU93Wia11aBN5qASqNUYETKb1J8dQ==" saltValue="pD3F4ljxelEJ/ONrf0ADNQ==" spinCount="100000" sheet="1" objects="1" scenarios="1"/>
  <mergeCells count="2">
    <mergeCell ref="F3:K3"/>
    <mergeCell ref="A2:L2"/>
  </mergeCells>
  <conditionalFormatting sqref="A2">
    <cfRule type="expression" dxfId="41" priority="9" stopIfTrue="1">
      <formula>$A$2&lt;&gt;""</formula>
    </cfRule>
  </conditionalFormatting>
  <dataValidations xWindow="401" yWindow="422" count="2">
    <dataValidation allowBlank="1" showInputMessage="1" showErrorMessage="1" prompt="Utiliser des chiffres et décimales seulement." sqref="C5:C7 C10:C17" xr:uid="{00000000-0002-0000-0600-000000000000}"/>
    <dataValidation type="list" allowBlank="1" showInputMessage="1" showErrorMessage="1" prompt="Entrer: O, N ou ?" sqref="B5:B7 B10:B17" xr:uid="{00000000-0002-0000-0600-000001000000}">
      <formula1>yn?</formula1>
    </dataValidation>
  </dataValidations>
  <pageMargins left="0.39370078740157483" right="0.39370078740157483" top="0.74803149606299213" bottom="0.74803149606299213" header="0.31496062992125984" footer="0.31496062992125984"/>
  <pageSetup paperSize="9" scale="7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6" id="{2DA2B224-945B-4AAB-83A3-2A4A860F2BEE}">
            <xm:f>'Insérer résultats IN2'!$K$38&lt;&gt;""</xm:f>
            <x14:dxf>
              <font>
                <color rgb="FFFF0000"/>
              </font>
            </x14:dxf>
          </x14:cfRule>
          <xm:sqref>A20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77"/>
  <sheetViews>
    <sheetView zoomScale="70" zoomScaleNormal="70" workbookViewId="0">
      <selection activeCell="A27" sqref="A27"/>
    </sheetView>
  </sheetViews>
  <sheetFormatPr defaultColWidth="8.81640625" defaultRowHeight="12.5"/>
  <cols>
    <col min="1" max="1" width="3" customWidth="1"/>
    <col min="2" max="2" width="6.1796875" customWidth="1"/>
    <col min="3" max="3" width="40" customWidth="1"/>
    <col min="4" max="4" width="7.36328125" customWidth="1"/>
    <col min="5" max="5" width="14.453125" customWidth="1"/>
    <col min="6" max="6" width="20.6328125" customWidth="1"/>
    <col min="7" max="7" width="10.36328125" customWidth="1"/>
    <col min="8" max="8" width="9.453125" customWidth="1"/>
    <col min="9" max="9" width="12.453125" customWidth="1"/>
    <col min="10" max="10" width="19.1796875" customWidth="1"/>
    <col min="11" max="11" width="11.36328125" customWidth="1"/>
    <col min="12" max="12" width="11.453125" customWidth="1"/>
    <col min="13" max="13" width="21.1796875" style="13" customWidth="1"/>
    <col min="14" max="14" width="9.1796875" style="240"/>
    <col min="16" max="16" width="5.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765</v>
      </c>
      <c r="L1" s="48"/>
      <c r="M1" s="48"/>
      <c r="N1" s="231"/>
    </row>
    <row r="2" spans="1:28" ht="14">
      <c r="A2" s="54" t="s">
        <v>313</v>
      </c>
      <c r="L2" s="48"/>
      <c r="M2" s="48"/>
      <c r="N2" s="231"/>
    </row>
    <row r="3" spans="1:28" s="5" customFormat="1" ht="13">
      <c r="D3" s="7"/>
      <c r="E3" s="7"/>
      <c r="F3" s="7"/>
      <c r="G3" s="7"/>
      <c r="H3" s="7"/>
      <c r="I3" s="7"/>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2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145</v>
      </c>
      <c r="C5" s="134" t="s">
        <v>144</v>
      </c>
      <c r="D5" s="111"/>
      <c r="F5" s="128"/>
      <c r="G5" s="76"/>
      <c r="H5" s="128"/>
      <c r="I5" s="253"/>
      <c r="K5" s="113"/>
      <c r="L5" s="128"/>
      <c r="M5" s="123"/>
      <c r="N5" s="247"/>
      <c r="O5" s="128"/>
      <c r="P5" s="282"/>
      <c r="Q5" s="76"/>
      <c r="R5" s="76"/>
      <c r="S5" s="76"/>
      <c r="T5" s="76"/>
      <c r="U5" s="76"/>
      <c r="V5" s="58"/>
      <c r="W5" s="58"/>
      <c r="X5" s="58"/>
      <c r="Y5" s="58"/>
      <c r="Z5" s="58"/>
      <c r="AA5" s="58"/>
      <c r="AB5" s="76"/>
    </row>
    <row r="6" spans="1:28" ht="26">
      <c r="B6" t="s">
        <v>146</v>
      </c>
      <c r="C6" s="12" t="s">
        <v>147</v>
      </c>
      <c r="D6" s="111"/>
      <c r="G6" s="287"/>
      <c r="I6" s="288"/>
      <c r="K6" s="289">
        <f>K7</f>
        <v>0</v>
      </c>
      <c r="L6" s="28"/>
      <c r="M6" s="157" t="s">
        <v>154</v>
      </c>
      <c r="N6" s="247"/>
      <c r="O6" s="3"/>
      <c r="P6" s="76"/>
      <c r="Q6" s="76"/>
      <c r="R6" s="76"/>
      <c r="S6" s="76"/>
      <c r="T6" s="76"/>
      <c r="U6" s="76"/>
      <c r="V6" s="668">
        <f>SUM(V7:V8)</f>
        <v>0</v>
      </c>
      <c r="W6" s="668">
        <f>SUM(W7:W8)</f>
        <v>0</v>
      </c>
      <c r="X6" s="668">
        <f>SUM(X7:X8)</f>
        <v>0</v>
      </c>
      <c r="Y6" s="668">
        <f t="shared" ref="Y6:Z6" si="0">SUM(Y7:Y8)</f>
        <v>0</v>
      </c>
      <c r="Z6" s="668">
        <f t="shared" si="0"/>
        <v>0</v>
      </c>
      <c r="AA6" s="668">
        <f>SUM(AA7:AA8)</f>
        <v>0</v>
      </c>
      <c r="AB6" s="76"/>
    </row>
    <row r="7" spans="1:28" ht="39">
      <c r="C7" s="12"/>
      <c r="D7" s="111"/>
      <c r="E7" s="567" t="s">
        <v>725</v>
      </c>
      <c r="F7" s="293" t="s">
        <v>340</v>
      </c>
      <c r="G7" s="76">
        <v>100</v>
      </c>
      <c r="H7" s="128" t="s">
        <v>340</v>
      </c>
      <c r="I7" s="254">
        <f>'Etape 4-Utilis. Industrielle Hg'!C5</f>
        <v>0</v>
      </c>
      <c r="J7" s="129" t="s">
        <v>329</v>
      </c>
      <c r="K7" s="169">
        <f>G7*I7/1000</f>
        <v>0</v>
      </c>
      <c r="L7" s="28" t="s">
        <v>36</v>
      </c>
      <c r="M7" s="158" t="s">
        <v>800</v>
      </c>
      <c r="N7" s="248"/>
      <c r="O7" s="3"/>
      <c r="P7" s="131">
        <v>0.1</v>
      </c>
      <c r="Q7" s="131">
        <v>0.01</v>
      </c>
      <c r="R7" s="131">
        <v>0.01</v>
      </c>
      <c r="S7" s="131">
        <v>0.01</v>
      </c>
      <c r="T7" s="131"/>
      <c r="U7" s="131">
        <v>0.87</v>
      </c>
      <c r="V7" s="653">
        <f t="shared" ref="V7:AA7" si="1">$N7*P7</f>
        <v>0</v>
      </c>
      <c r="W7" s="653">
        <f t="shared" si="1"/>
        <v>0</v>
      </c>
      <c r="X7" s="653">
        <f t="shared" si="1"/>
        <v>0</v>
      </c>
      <c r="Y7" s="653">
        <f t="shared" si="1"/>
        <v>0</v>
      </c>
      <c r="Z7" s="653">
        <f t="shared" si="1"/>
        <v>0</v>
      </c>
      <c r="AA7" s="653">
        <f t="shared" si="1"/>
        <v>0</v>
      </c>
      <c r="AB7" s="76"/>
    </row>
    <row r="8" spans="1:28" ht="26">
      <c r="C8" s="9"/>
      <c r="D8" s="76"/>
      <c r="E8" s="285"/>
      <c r="F8" s="128"/>
      <c r="G8" s="76"/>
      <c r="H8" s="128"/>
      <c r="I8" s="254"/>
      <c r="J8" s="294"/>
      <c r="K8" s="290"/>
      <c r="L8" s="28"/>
      <c r="M8" s="158" t="s">
        <v>801</v>
      </c>
      <c r="N8" s="248">
        <f>K7</f>
        <v>0</v>
      </c>
      <c r="O8" s="3"/>
      <c r="P8" s="283">
        <v>0.2</v>
      </c>
      <c r="Q8" s="283">
        <v>0.02</v>
      </c>
      <c r="R8" s="283">
        <v>0.38</v>
      </c>
      <c r="S8" s="283">
        <v>0.1</v>
      </c>
      <c r="T8" s="283"/>
      <c r="U8" s="283">
        <v>0.3</v>
      </c>
      <c r="V8" s="653">
        <f t="shared" ref="V8:V14" si="2">$N8*P8</f>
        <v>0</v>
      </c>
      <c r="W8" s="653">
        <f t="shared" ref="W8:W14" si="3">$N8*Q8</f>
        <v>0</v>
      </c>
      <c r="X8" s="653">
        <f t="shared" ref="X8:X14" si="4">$N8*R8</f>
        <v>0</v>
      </c>
      <c r="Y8" s="653">
        <f t="shared" ref="Y8:Y14" si="5">$N8*S8</f>
        <v>0</v>
      </c>
      <c r="Z8" s="653">
        <f t="shared" ref="Z8:Z14" si="6">$N8*T8</f>
        <v>0</v>
      </c>
      <c r="AA8" s="653">
        <f>$N8*U8</f>
        <v>0</v>
      </c>
      <c r="AB8" s="76"/>
    </row>
    <row r="9" spans="1:28" s="55" customFormat="1" ht="13">
      <c r="C9" s="105"/>
      <c r="D9" s="76"/>
      <c r="G9" s="119"/>
      <c r="I9" s="291"/>
      <c r="K9" s="113"/>
      <c r="M9" s="159"/>
      <c r="N9" s="248"/>
      <c r="O9" s="104"/>
      <c r="P9" s="76"/>
      <c r="Q9" s="76"/>
      <c r="R9" s="76"/>
      <c r="S9" s="76"/>
      <c r="T9" s="76"/>
      <c r="U9" s="76"/>
      <c r="V9" s="114"/>
      <c r="W9" s="114"/>
      <c r="X9" s="114"/>
      <c r="Y9" s="114"/>
      <c r="Z9" s="114"/>
      <c r="AA9" s="114"/>
      <c r="AB9" s="76"/>
    </row>
    <row r="10" spans="1:28" ht="13">
      <c r="A10" s="3"/>
      <c r="B10" s="3" t="s">
        <v>148</v>
      </c>
      <c r="C10" s="26" t="s">
        <v>150</v>
      </c>
      <c r="D10" s="111"/>
      <c r="E10" s="285" t="s">
        <v>149</v>
      </c>
      <c r="F10" s="128" t="s">
        <v>341</v>
      </c>
      <c r="G10" s="76">
        <v>120</v>
      </c>
      <c r="H10" s="128" t="s">
        <v>341</v>
      </c>
      <c r="I10" s="254">
        <f>'Etape 4-Utilis. Industrielle Hg'!C6</f>
        <v>0</v>
      </c>
      <c r="J10" s="286" t="s">
        <v>386</v>
      </c>
      <c r="K10" s="169">
        <f>G10*I10/1000</f>
        <v>0</v>
      </c>
      <c r="L10" s="28" t="s">
        <v>36</v>
      </c>
      <c r="M10" s="157"/>
      <c r="N10" s="248">
        <f>K10</f>
        <v>0</v>
      </c>
      <c r="O10" s="3"/>
      <c r="P10" s="130">
        <v>0.02</v>
      </c>
      <c r="Q10" s="130">
        <v>0.02</v>
      </c>
      <c r="R10" s="130"/>
      <c r="S10" s="130">
        <v>0.36</v>
      </c>
      <c r="T10" s="130"/>
      <c r="U10" s="130">
        <v>0.6</v>
      </c>
      <c r="V10" s="114">
        <f t="shared" si="2"/>
        <v>0</v>
      </c>
      <c r="W10" s="114">
        <f t="shared" si="3"/>
        <v>0</v>
      </c>
      <c r="X10" s="114">
        <f t="shared" si="4"/>
        <v>0</v>
      </c>
      <c r="Y10" s="114">
        <f t="shared" si="5"/>
        <v>0</v>
      </c>
      <c r="Z10" s="114">
        <f t="shared" si="6"/>
        <v>0</v>
      </c>
      <c r="AA10" s="114">
        <f t="shared" ref="AA10:AA14" si="7">$N10*U10</f>
        <v>0</v>
      </c>
      <c r="AB10" s="76"/>
    </row>
    <row r="11" spans="1:28" s="55" customFormat="1" ht="13">
      <c r="A11" s="152"/>
      <c r="B11" s="104"/>
      <c r="C11" s="137"/>
      <c r="D11" s="111"/>
      <c r="E11" s="106"/>
      <c r="F11" s="104"/>
      <c r="G11" s="119"/>
      <c r="H11" s="104"/>
      <c r="I11" s="284"/>
      <c r="K11" s="169"/>
      <c r="L11" s="104"/>
      <c r="M11" s="160"/>
      <c r="N11" s="248"/>
      <c r="O11" s="104"/>
      <c r="P11" s="76"/>
      <c r="Q11" s="76"/>
      <c r="R11" s="76"/>
      <c r="S11" s="76"/>
      <c r="T11" s="76"/>
      <c r="U11" s="76"/>
      <c r="V11" s="114"/>
      <c r="W11" s="114"/>
      <c r="X11" s="114"/>
      <c r="Y11" s="114"/>
      <c r="Z11" s="114"/>
      <c r="AA11" s="114"/>
      <c r="AB11" s="76"/>
    </row>
    <row r="12" spans="1:28" s="3" customFormat="1" ht="26">
      <c r="B12" s="36" t="s">
        <v>370</v>
      </c>
      <c r="C12" s="26" t="s">
        <v>151</v>
      </c>
      <c r="D12" s="111"/>
      <c r="E12" s="292" t="s">
        <v>43</v>
      </c>
      <c r="F12" s="128" t="s">
        <v>43</v>
      </c>
      <c r="G12" s="282">
        <v>120</v>
      </c>
      <c r="H12" s="293" t="s">
        <v>385</v>
      </c>
      <c r="I12" s="254">
        <f>'Etape 4-Utilis. Industrielle Hg'!C7</f>
        <v>0</v>
      </c>
      <c r="J12" s="286" t="s">
        <v>387</v>
      </c>
      <c r="K12" s="169">
        <f>G12*I12/1000</f>
        <v>0</v>
      </c>
      <c r="L12" s="28" t="s">
        <v>36</v>
      </c>
      <c r="M12" s="157"/>
      <c r="N12" s="248">
        <f>K12</f>
        <v>0</v>
      </c>
      <c r="P12" s="336">
        <v>0.02</v>
      </c>
      <c r="Q12" s="336">
        <v>0.02</v>
      </c>
      <c r="R12" s="336"/>
      <c r="S12" s="336">
        <v>0.36</v>
      </c>
      <c r="T12" s="336"/>
      <c r="U12" s="336">
        <v>0.6</v>
      </c>
      <c r="V12" s="114">
        <f t="shared" si="2"/>
        <v>0</v>
      </c>
      <c r="W12" s="114">
        <f t="shared" si="3"/>
        <v>0</v>
      </c>
      <c r="X12" s="114">
        <f t="shared" si="4"/>
        <v>0</v>
      </c>
      <c r="Y12" s="114">
        <f t="shared" si="5"/>
        <v>0</v>
      </c>
      <c r="Z12" s="114">
        <f t="shared" si="6"/>
        <v>0</v>
      </c>
      <c r="AA12" s="114">
        <f t="shared" si="7"/>
        <v>0</v>
      </c>
      <c r="AB12" s="76"/>
    </row>
    <row r="13" spans="1:28" s="104" customFormat="1" ht="13">
      <c r="A13" s="139"/>
      <c r="C13" s="137"/>
      <c r="D13" s="111"/>
      <c r="G13" s="119"/>
      <c r="I13" s="291"/>
      <c r="K13" s="121"/>
      <c r="M13" s="159"/>
      <c r="N13" s="248"/>
      <c r="P13" s="76"/>
      <c r="Q13" s="76"/>
      <c r="R13" s="76"/>
      <c r="S13" s="76"/>
      <c r="T13" s="76"/>
      <c r="U13" s="76"/>
      <c r="V13" s="114"/>
      <c r="W13" s="114"/>
      <c r="X13" s="114"/>
      <c r="Y13" s="114"/>
      <c r="Z13" s="114"/>
      <c r="AA13" s="114"/>
      <c r="AB13" s="76"/>
    </row>
    <row r="14" spans="1:28" s="128" customFormat="1" ht="26">
      <c r="B14" s="293" t="s">
        <v>371</v>
      </c>
      <c r="C14" s="151" t="s">
        <v>152</v>
      </c>
      <c r="D14" s="111"/>
      <c r="E14" s="128" t="s">
        <v>43</v>
      </c>
      <c r="F14" s="128" t="s">
        <v>43</v>
      </c>
      <c r="G14" s="76" t="s">
        <v>43</v>
      </c>
      <c r="H14" s="128" t="s">
        <v>43</v>
      </c>
      <c r="I14" s="253" t="s">
        <v>43</v>
      </c>
      <c r="J14" s="128" t="s">
        <v>43</v>
      </c>
      <c r="K14" s="113" t="s">
        <v>43</v>
      </c>
      <c r="L14" s="128" t="s">
        <v>36</v>
      </c>
      <c r="M14" s="123"/>
      <c r="N14" s="248"/>
      <c r="P14" s="76" t="s">
        <v>43</v>
      </c>
      <c r="Q14" s="76" t="s">
        <v>43</v>
      </c>
      <c r="R14" s="76" t="s">
        <v>43</v>
      </c>
      <c r="S14" s="76" t="s">
        <v>43</v>
      </c>
      <c r="T14" s="76" t="s">
        <v>43</v>
      </c>
      <c r="U14" s="76" t="s">
        <v>43</v>
      </c>
      <c r="V14" s="114" t="e">
        <f t="shared" si="2"/>
        <v>#VALUE!</v>
      </c>
      <c r="W14" s="114" t="e">
        <f t="shared" si="3"/>
        <v>#VALUE!</v>
      </c>
      <c r="X14" s="114" t="e">
        <f t="shared" si="4"/>
        <v>#VALUE!</v>
      </c>
      <c r="Y14" s="114" t="e">
        <f t="shared" si="5"/>
        <v>#VALUE!</v>
      </c>
      <c r="Z14" s="114" t="e">
        <f t="shared" si="6"/>
        <v>#VALUE!</v>
      </c>
      <c r="AA14" s="114" t="e">
        <f t="shared" si="7"/>
        <v>#VALUE!</v>
      </c>
      <c r="AB14" s="76"/>
    </row>
    <row r="15" spans="1:28" s="3" customFormat="1" ht="13">
      <c r="C15" s="3" t="s">
        <v>281</v>
      </c>
      <c r="E15" s="11"/>
      <c r="I15" s="20"/>
      <c r="K15" s="21"/>
      <c r="M15" s="28"/>
      <c r="N15" s="256"/>
      <c r="O15" s="28"/>
      <c r="P15" s="23"/>
      <c r="Q15" s="23"/>
      <c r="R15" s="24"/>
      <c r="S15" s="24"/>
      <c r="T15" s="23"/>
      <c r="V15" s="22"/>
      <c r="W15" s="22"/>
      <c r="X15" s="22"/>
      <c r="Y15" s="22"/>
      <c r="Z15" s="22"/>
      <c r="AA15" s="22"/>
    </row>
    <row r="16" spans="1:28" s="3" customFormat="1" ht="13">
      <c r="C16" s="232" t="s">
        <v>802</v>
      </c>
      <c r="E16" s="11"/>
      <c r="I16" s="20"/>
      <c r="K16" s="21"/>
      <c r="M16" s="28"/>
      <c r="N16" s="256"/>
      <c r="O16" s="28"/>
      <c r="P16" s="23"/>
      <c r="Q16" s="23"/>
      <c r="R16" s="24"/>
      <c r="S16" s="24"/>
      <c r="T16" s="23"/>
      <c r="V16" s="22"/>
      <c r="W16" s="22"/>
      <c r="X16" s="22"/>
      <c r="Y16" s="22"/>
      <c r="Z16" s="22"/>
      <c r="AA16" s="22"/>
    </row>
    <row r="17" spans="3:27" s="3" customFormat="1" ht="13">
      <c r="C17" s="36" t="s">
        <v>318</v>
      </c>
      <c r="E17" s="11"/>
      <c r="I17" s="20"/>
      <c r="K17" s="21"/>
      <c r="M17" s="30"/>
      <c r="N17" s="256"/>
      <c r="O17" s="28"/>
      <c r="P17" s="23"/>
      <c r="Q17" s="23"/>
      <c r="R17" s="24"/>
      <c r="S17" s="24"/>
      <c r="T17" s="23"/>
      <c r="V17" s="22"/>
      <c r="W17" s="22"/>
      <c r="X17" s="22"/>
      <c r="Y17" s="22"/>
      <c r="Z17" s="22"/>
      <c r="AA17" s="22"/>
    </row>
    <row r="18" spans="3:27" s="3" customFormat="1" ht="13">
      <c r="E18" s="11"/>
      <c r="I18" s="20"/>
      <c r="K18" s="21"/>
      <c r="M18" s="30"/>
      <c r="N18" s="256"/>
      <c r="O18" s="28"/>
      <c r="P18" s="23"/>
      <c r="Q18" s="23"/>
      <c r="R18" s="24"/>
      <c r="S18" s="24"/>
      <c r="T18" s="23"/>
      <c r="V18" s="22"/>
      <c r="W18" s="22"/>
      <c r="X18" s="22"/>
      <c r="Y18" s="22"/>
      <c r="Z18" s="22"/>
      <c r="AA18" s="22"/>
    </row>
    <row r="19" spans="3:27" s="3" customFormat="1" ht="13">
      <c r="E19" s="11"/>
      <c r="I19" s="20"/>
      <c r="K19" s="21"/>
      <c r="M19" s="31"/>
      <c r="N19" s="256"/>
      <c r="O19" s="28"/>
      <c r="P19" s="23"/>
      <c r="Q19" s="23"/>
      <c r="R19" s="24"/>
      <c r="S19" s="24"/>
      <c r="T19" s="23"/>
      <c r="V19" s="22"/>
      <c r="W19" s="22"/>
      <c r="X19" s="22"/>
      <c r="Y19" s="22"/>
      <c r="Z19" s="22"/>
      <c r="AA19" s="22"/>
    </row>
    <row r="20" spans="3:27" s="3" customFormat="1" ht="13">
      <c r="C20" s="7"/>
      <c r="D20" s="7"/>
      <c r="E20" s="11"/>
      <c r="I20" s="20"/>
      <c r="K20" s="21"/>
      <c r="M20" s="29"/>
      <c r="N20" s="256"/>
      <c r="O20" s="28"/>
      <c r="P20" s="23"/>
      <c r="Q20" s="23"/>
      <c r="R20" s="24"/>
      <c r="S20" s="24"/>
      <c r="T20" s="23"/>
      <c r="V20" s="25"/>
      <c r="W20" s="25"/>
      <c r="X20" s="25"/>
      <c r="Y20" s="25"/>
      <c r="Z20" s="25"/>
      <c r="AA20" s="25"/>
    </row>
    <row r="21" spans="3:27" s="3" customFormat="1" ht="13">
      <c r="C21" s="7"/>
      <c r="D21" s="7"/>
      <c r="E21" s="11"/>
      <c r="I21" s="20"/>
      <c r="K21" s="21"/>
      <c r="M21" s="29"/>
      <c r="N21" s="256"/>
      <c r="O21" s="28"/>
      <c r="P21" s="23"/>
      <c r="Q21" s="23"/>
      <c r="R21" s="24"/>
      <c r="S21" s="24"/>
      <c r="T21" s="23"/>
      <c r="V21" s="22"/>
      <c r="W21" s="22"/>
      <c r="X21" s="22"/>
      <c r="Y21" s="22"/>
      <c r="Z21" s="22"/>
      <c r="AA21" s="22"/>
    </row>
    <row r="22" spans="3:27" s="3" customFormat="1" ht="13">
      <c r="C22" s="7"/>
      <c r="D22" s="7"/>
      <c r="E22" s="11"/>
      <c r="I22" s="20"/>
      <c r="K22" s="22"/>
      <c r="M22" s="29"/>
      <c r="N22" s="256"/>
      <c r="O22" s="28"/>
      <c r="P22" s="23"/>
      <c r="Q22" s="23"/>
      <c r="R22" s="24"/>
      <c r="S22" s="24"/>
      <c r="T22" s="23"/>
      <c r="V22" s="22"/>
      <c r="W22" s="22"/>
      <c r="X22" s="22"/>
      <c r="Y22" s="22"/>
      <c r="Z22" s="22"/>
      <c r="AA22" s="22"/>
    </row>
    <row r="23" spans="3:27" s="3" customFormat="1" ht="13">
      <c r="E23" s="11"/>
      <c r="I23" s="20"/>
      <c r="K23" s="22"/>
      <c r="M23" s="29"/>
      <c r="N23" s="256"/>
      <c r="O23" s="28"/>
      <c r="P23" s="23"/>
      <c r="Q23" s="23"/>
      <c r="R23" s="24"/>
      <c r="S23" s="24"/>
      <c r="T23" s="23"/>
      <c r="V23" s="22"/>
      <c r="W23" s="22"/>
      <c r="X23" s="22"/>
      <c r="Y23" s="22"/>
      <c r="Z23" s="22"/>
      <c r="AA23" s="22"/>
    </row>
    <row r="24" spans="3:27" s="3" customFormat="1" ht="13">
      <c r="E24" s="11"/>
      <c r="I24" s="20"/>
      <c r="K24" s="22"/>
      <c r="M24" s="30"/>
      <c r="N24" s="256"/>
      <c r="O24" s="28"/>
      <c r="P24" s="23"/>
      <c r="Q24" s="23"/>
      <c r="R24" s="24"/>
      <c r="S24" s="24"/>
      <c r="T24" s="23"/>
      <c r="V24" s="22"/>
      <c r="W24" s="22"/>
      <c r="X24" s="22"/>
      <c r="Y24" s="22"/>
      <c r="Z24" s="22"/>
      <c r="AA24" s="22"/>
    </row>
    <row r="25" spans="3:27" s="3" customFormat="1" ht="13">
      <c r="E25" s="11"/>
      <c r="I25" s="20"/>
      <c r="K25" s="22"/>
      <c r="M25" s="30"/>
      <c r="N25" s="256"/>
      <c r="O25" s="28"/>
      <c r="P25" s="23"/>
      <c r="Q25" s="23"/>
      <c r="R25" s="24"/>
      <c r="S25" s="24"/>
      <c r="T25" s="23"/>
      <c r="V25" s="22"/>
      <c r="W25" s="22"/>
      <c r="X25" s="22"/>
      <c r="Y25" s="22"/>
      <c r="Z25" s="22"/>
      <c r="AA25" s="22"/>
    </row>
    <row r="26" spans="3:27" s="3" customFormat="1" ht="13">
      <c r="C26" s="7"/>
      <c r="D26" s="7"/>
      <c r="E26" s="11"/>
      <c r="I26" s="20"/>
      <c r="K26" s="22"/>
      <c r="M26" s="31"/>
      <c r="N26" s="256"/>
      <c r="O26" s="28"/>
      <c r="P26" s="23"/>
      <c r="Q26" s="23"/>
      <c r="R26" s="24"/>
      <c r="S26" s="24"/>
      <c r="T26" s="23"/>
      <c r="V26" s="22"/>
      <c r="W26" s="22"/>
      <c r="X26" s="22"/>
      <c r="Y26" s="22"/>
      <c r="Z26" s="22"/>
      <c r="AA26" s="22"/>
    </row>
    <row r="27" spans="3:27" s="3" customFormat="1" ht="13">
      <c r="C27" s="26"/>
      <c r="D27" s="26"/>
      <c r="E27" s="11"/>
      <c r="I27" s="20"/>
      <c r="K27" s="22"/>
      <c r="M27" s="29"/>
      <c r="N27" s="256"/>
      <c r="O27" s="28"/>
      <c r="P27" s="23"/>
      <c r="Q27" s="23"/>
      <c r="R27" s="24"/>
      <c r="S27" s="24"/>
      <c r="T27" s="23"/>
      <c r="V27" s="22"/>
      <c r="W27" s="22"/>
      <c r="X27" s="22"/>
      <c r="Y27" s="22"/>
      <c r="Z27" s="22"/>
      <c r="AA27" s="22"/>
    </row>
    <row r="28" spans="3:27" s="3" customFormat="1" ht="13">
      <c r="E28" s="11"/>
      <c r="I28" s="20"/>
      <c r="K28" s="22"/>
      <c r="M28" s="29"/>
      <c r="N28" s="256"/>
      <c r="O28" s="28"/>
      <c r="P28" s="23"/>
      <c r="Q28" s="23"/>
      <c r="R28" s="24"/>
      <c r="S28" s="24"/>
      <c r="T28" s="23"/>
      <c r="V28" s="22"/>
      <c r="W28" s="22"/>
      <c r="X28" s="22"/>
      <c r="Y28" s="22"/>
      <c r="Z28" s="22"/>
      <c r="AA28" s="22"/>
    </row>
    <row r="29" spans="3:27" s="3" customFormat="1" ht="13">
      <c r="E29" s="11"/>
      <c r="I29" s="20"/>
      <c r="K29" s="22"/>
      <c r="M29" s="29"/>
      <c r="N29" s="256"/>
      <c r="O29" s="28"/>
      <c r="P29" s="23"/>
      <c r="Q29" s="23"/>
      <c r="R29" s="24"/>
      <c r="S29" s="24"/>
      <c r="T29" s="23"/>
      <c r="V29" s="22"/>
      <c r="W29" s="22"/>
      <c r="X29" s="22"/>
      <c r="Y29" s="22"/>
      <c r="Z29" s="22"/>
      <c r="AA29" s="22"/>
    </row>
    <row r="30" spans="3:27" s="3" customFormat="1" ht="13">
      <c r="E30" s="11"/>
      <c r="I30" s="20"/>
      <c r="K30" s="22"/>
      <c r="M30" s="28"/>
      <c r="N30" s="256"/>
      <c r="O30" s="28"/>
      <c r="P30" s="23"/>
      <c r="Q30" s="23"/>
      <c r="R30" s="24"/>
      <c r="S30" s="24"/>
      <c r="T30" s="23"/>
      <c r="V30" s="22"/>
      <c r="W30" s="22"/>
      <c r="X30" s="22"/>
      <c r="Y30" s="22"/>
      <c r="Z30" s="22"/>
      <c r="AA30" s="22"/>
    </row>
    <row r="31" spans="3:27" s="3" customFormat="1" ht="13">
      <c r="E31" s="11"/>
      <c r="I31" s="20"/>
      <c r="K31" s="21"/>
      <c r="M31" s="29"/>
      <c r="N31" s="256"/>
      <c r="O31" s="28"/>
      <c r="P31" s="23"/>
      <c r="Q31" s="23"/>
      <c r="R31" s="24"/>
      <c r="S31" s="24"/>
      <c r="T31" s="23"/>
      <c r="V31" s="22"/>
      <c r="W31" s="22"/>
      <c r="X31" s="22"/>
      <c r="Y31" s="22"/>
      <c r="Z31" s="22"/>
      <c r="AA31" s="22"/>
    </row>
    <row r="32" spans="3:27" s="3" customFormat="1" ht="13">
      <c r="E32" s="11"/>
      <c r="I32" s="20"/>
      <c r="K32" s="21"/>
      <c r="M32" s="29"/>
      <c r="N32" s="256"/>
      <c r="O32" s="28"/>
      <c r="P32" s="23"/>
      <c r="Q32" s="23"/>
      <c r="R32" s="24"/>
      <c r="S32" s="24"/>
      <c r="T32" s="23"/>
      <c r="V32" s="22"/>
      <c r="W32" s="22"/>
      <c r="X32" s="22"/>
      <c r="Y32" s="22"/>
      <c r="Z32" s="22"/>
      <c r="AA32" s="22"/>
    </row>
    <row r="33" spans="3:27" s="3" customFormat="1" ht="13">
      <c r="C33" s="7"/>
      <c r="D33" s="7"/>
      <c r="E33" s="11"/>
      <c r="I33" s="20"/>
      <c r="K33" s="21"/>
      <c r="M33" s="29"/>
      <c r="N33" s="256"/>
      <c r="O33" s="28"/>
      <c r="P33" s="23"/>
      <c r="Q33" s="23"/>
      <c r="R33" s="24"/>
      <c r="S33" s="24"/>
      <c r="T33" s="23"/>
      <c r="V33" s="25"/>
      <c r="W33" s="25"/>
      <c r="X33" s="25"/>
      <c r="Y33" s="25"/>
      <c r="Z33" s="25"/>
      <c r="AA33" s="25"/>
    </row>
    <row r="34" spans="3:27" s="3" customFormat="1" ht="13">
      <c r="C34" s="7"/>
      <c r="D34" s="7"/>
      <c r="E34" s="11"/>
      <c r="I34" s="20"/>
      <c r="K34" s="21"/>
      <c r="M34" s="30"/>
      <c r="N34" s="256"/>
      <c r="O34" s="28"/>
      <c r="P34" s="23"/>
      <c r="Q34" s="23"/>
      <c r="R34" s="23"/>
      <c r="S34" s="23"/>
      <c r="T34" s="23"/>
      <c r="U34" s="23"/>
      <c r="V34" s="22"/>
      <c r="W34" s="22"/>
      <c r="X34" s="22"/>
      <c r="Y34" s="22"/>
      <c r="Z34" s="22"/>
      <c r="AA34" s="22"/>
    </row>
    <row r="35" spans="3:27" s="3" customFormat="1" ht="13">
      <c r="C35" s="7"/>
      <c r="D35" s="7"/>
      <c r="E35" s="11"/>
      <c r="I35" s="20"/>
      <c r="K35" s="21"/>
      <c r="M35" s="30"/>
      <c r="N35" s="256"/>
      <c r="O35" s="28"/>
      <c r="P35" s="23"/>
      <c r="Q35" s="23"/>
      <c r="R35" s="24"/>
      <c r="S35" s="24"/>
      <c r="T35" s="23"/>
      <c r="V35" s="22"/>
      <c r="W35" s="22"/>
      <c r="X35" s="22"/>
      <c r="Y35" s="22"/>
      <c r="Z35" s="22"/>
      <c r="AA35" s="22"/>
    </row>
    <row r="36" spans="3:27" s="3" customFormat="1" ht="13">
      <c r="C36" s="7"/>
      <c r="D36" s="7"/>
      <c r="E36" s="11"/>
      <c r="I36" s="20"/>
      <c r="K36" s="21"/>
      <c r="M36" s="29"/>
      <c r="N36" s="256"/>
      <c r="O36" s="28"/>
      <c r="P36" s="23"/>
      <c r="Q36" s="23"/>
      <c r="R36" s="24"/>
      <c r="S36" s="24"/>
      <c r="T36" s="23"/>
      <c r="V36" s="22"/>
      <c r="W36" s="22"/>
      <c r="X36" s="22"/>
      <c r="Y36" s="22"/>
      <c r="Z36" s="22"/>
      <c r="AA36" s="22"/>
    </row>
    <row r="37" spans="3:27" s="3" customFormat="1" ht="13">
      <c r="E37" s="11"/>
      <c r="I37" s="20"/>
      <c r="K37" s="21"/>
      <c r="M37" s="29"/>
      <c r="N37" s="256"/>
      <c r="O37" s="28"/>
      <c r="P37" s="23"/>
      <c r="Q37" s="23"/>
      <c r="R37" s="24"/>
      <c r="S37" s="24"/>
      <c r="T37" s="23"/>
      <c r="V37" s="22"/>
      <c r="W37" s="22"/>
      <c r="X37" s="22"/>
      <c r="Y37" s="22"/>
      <c r="Z37" s="22"/>
      <c r="AA37" s="22"/>
    </row>
    <row r="38" spans="3:27" s="3" customFormat="1" ht="13">
      <c r="E38" s="11"/>
      <c r="I38" s="20"/>
      <c r="K38" s="21"/>
      <c r="M38" s="29"/>
      <c r="N38" s="256"/>
      <c r="O38" s="28"/>
      <c r="P38" s="23"/>
      <c r="Q38" s="23"/>
      <c r="R38" s="24"/>
      <c r="S38" s="24"/>
      <c r="T38" s="23"/>
      <c r="V38" s="22"/>
      <c r="W38" s="22"/>
      <c r="X38" s="22"/>
      <c r="Y38" s="22"/>
      <c r="Z38" s="22"/>
      <c r="AA38" s="22"/>
    </row>
    <row r="39" spans="3:27" s="3" customFormat="1" ht="13">
      <c r="C39" s="7"/>
      <c r="D39" s="7"/>
      <c r="E39" s="11"/>
      <c r="I39" s="20"/>
      <c r="K39" s="21"/>
      <c r="M39" s="28"/>
      <c r="N39" s="256"/>
      <c r="O39" s="28"/>
      <c r="P39" s="23"/>
      <c r="Q39" s="23"/>
      <c r="R39" s="24"/>
      <c r="S39" s="24"/>
      <c r="T39" s="23"/>
      <c r="V39" s="25"/>
      <c r="W39" s="25"/>
      <c r="X39" s="25"/>
      <c r="Y39" s="25"/>
      <c r="Z39" s="25"/>
      <c r="AA39" s="25"/>
    </row>
    <row r="40" spans="3:27" s="3" customFormat="1" ht="13">
      <c r="C40" s="7"/>
      <c r="D40" s="7"/>
      <c r="E40" s="11"/>
      <c r="I40" s="20"/>
      <c r="K40" s="21"/>
      <c r="M40" s="28"/>
      <c r="N40" s="256"/>
      <c r="O40" s="28"/>
      <c r="P40" s="23"/>
      <c r="Q40" s="23"/>
      <c r="R40" s="24"/>
      <c r="S40" s="24"/>
      <c r="T40" s="23"/>
      <c r="V40" s="22"/>
      <c r="W40" s="22"/>
      <c r="X40" s="22"/>
      <c r="Y40" s="22"/>
      <c r="Z40" s="22"/>
      <c r="AA40" s="22"/>
    </row>
    <row r="41" spans="3:27" s="3" customFormat="1" ht="13">
      <c r="C41" s="7"/>
      <c r="D41" s="7"/>
      <c r="I41" s="19"/>
      <c r="M41" s="31"/>
      <c r="N41" s="256"/>
      <c r="O41" s="28"/>
      <c r="P41" s="23"/>
      <c r="Q41" s="23"/>
      <c r="R41" s="24"/>
      <c r="S41" s="24"/>
      <c r="T41" s="23"/>
      <c r="V41" s="22"/>
      <c r="W41" s="22"/>
      <c r="X41" s="22"/>
      <c r="Y41" s="22"/>
      <c r="Z41" s="22"/>
      <c r="AA41" s="22"/>
    </row>
    <row r="42" spans="3:27" s="3" customFormat="1" ht="13">
      <c r="C42" s="7"/>
      <c r="D42" s="7"/>
      <c r="I42" s="19"/>
      <c r="M42" s="29"/>
      <c r="N42" s="256"/>
      <c r="O42" s="28"/>
    </row>
    <row r="43" spans="3:27" s="3" customFormat="1" ht="13">
      <c r="I43" s="19"/>
      <c r="M43" s="29"/>
      <c r="N43" s="256"/>
      <c r="O43" s="28"/>
    </row>
    <row r="44" spans="3:27" s="3" customFormat="1" ht="13">
      <c r="I44" s="19"/>
      <c r="M44" s="29"/>
      <c r="N44" s="256"/>
      <c r="O44" s="28"/>
    </row>
    <row r="45" spans="3:27" s="3" customFormat="1" ht="13">
      <c r="C45" s="7"/>
      <c r="D45" s="7"/>
      <c r="I45" s="19"/>
      <c r="M45" s="28"/>
      <c r="N45" s="256"/>
      <c r="O45" s="28"/>
    </row>
    <row r="46" spans="3:27" s="3" customFormat="1">
      <c r="I46" s="19"/>
      <c r="M46" s="28"/>
      <c r="N46" s="256"/>
      <c r="O46" s="28"/>
    </row>
    <row r="47" spans="3:27" s="3" customFormat="1">
      <c r="I47" s="19"/>
      <c r="M47" s="28"/>
      <c r="N47" s="256"/>
      <c r="O47" s="28"/>
    </row>
    <row r="48" spans="3:27" s="3" customFormat="1" ht="13">
      <c r="I48" s="19"/>
      <c r="M48" s="30"/>
      <c r="N48" s="256"/>
      <c r="O48" s="28"/>
    </row>
    <row r="49" spans="3:15" s="3" customFormat="1" ht="13">
      <c r="C49" s="7"/>
      <c r="D49" s="7"/>
      <c r="I49" s="19"/>
      <c r="M49" s="30"/>
      <c r="N49" s="256"/>
      <c r="O49" s="28"/>
    </row>
    <row r="50" spans="3:15" s="3" customFormat="1" ht="13">
      <c r="I50" s="19"/>
      <c r="M50" s="31"/>
      <c r="N50" s="256"/>
      <c r="O50" s="28"/>
    </row>
    <row r="51" spans="3:15" s="3" customFormat="1" ht="13">
      <c r="I51" s="19"/>
      <c r="M51" s="31"/>
      <c r="N51" s="256"/>
      <c r="O51" s="28"/>
    </row>
    <row r="52" spans="3:15" s="3" customFormat="1" ht="13">
      <c r="I52" s="19"/>
      <c r="M52" s="30"/>
      <c r="N52" s="256"/>
      <c r="O52" s="28"/>
    </row>
    <row r="53" spans="3:15" s="3" customFormat="1" ht="13">
      <c r="I53" s="19"/>
      <c r="M53" s="30"/>
      <c r="N53" s="256"/>
      <c r="O53" s="28"/>
    </row>
    <row r="54" spans="3:15" s="3" customFormat="1" ht="13">
      <c r="I54" s="19"/>
      <c r="M54" s="31"/>
      <c r="N54" s="256"/>
      <c r="O54" s="17"/>
    </row>
    <row r="55" spans="3:15" s="3" customFormat="1" ht="13">
      <c r="I55" s="19"/>
      <c r="M55" s="31"/>
      <c r="N55" s="256"/>
      <c r="O55" s="28"/>
    </row>
    <row r="56" spans="3:15" s="3" customFormat="1" ht="13">
      <c r="I56" s="19"/>
      <c r="M56" s="30"/>
      <c r="N56" s="256"/>
      <c r="O56" s="28"/>
    </row>
    <row r="57" spans="3:15" s="3" customFormat="1" ht="13">
      <c r="I57" s="19"/>
      <c r="M57" s="30"/>
      <c r="N57" s="256"/>
      <c r="O57" s="28"/>
    </row>
    <row r="58" spans="3:15" s="3" customFormat="1" ht="13">
      <c r="I58" s="19"/>
      <c r="M58" s="31"/>
      <c r="N58" s="256"/>
      <c r="O58" s="17"/>
    </row>
    <row r="59" spans="3:15" s="3" customFormat="1" ht="13">
      <c r="I59" s="19"/>
      <c r="M59" s="31"/>
      <c r="N59" s="257"/>
      <c r="O59" s="28"/>
    </row>
    <row r="60" spans="3:15" s="3" customFormat="1" ht="13">
      <c r="I60" s="19"/>
      <c r="M60" s="31"/>
      <c r="N60" s="257"/>
      <c r="O60" s="28"/>
    </row>
    <row r="61" spans="3:15" s="3" customFormat="1" ht="13">
      <c r="I61" s="19"/>
      <c r="M61" s="31"/>
      <c r="N61" s="257"/>
      <c r="O61" s="28"/>
    </row>
    <row r="62" spans="3:15" s="3" customFormat="1" ht="13">
      <c r="I62" s="19"/>
      <c r="M62" s="31"/>
      <c r="N62" s="257"/>
      <c r="O62" s="28"/>
    </row>
    <row r="63" spans="3:15" s="3" customFormat="1" ht="13">
      <c r="I63" s="19"/>
      <c r="M63" s="31"/>
      <c r="N63" s="257"/>
      <c r="O63" s="28"/>
    </row>
    <row r="64" spans="3:15" s="3" customFormat="1" ht="13">
      <c r="I64" s="19"/>
      <c r="M64" s="31"/>
      <c r="N64" s="257"/>
      <c r="O64" s="28"/>
    </row>
    <row r="65" spans="3:15" s="3" customFormat="1" ht="13">
      <c r="I65" s="19"/>
      <c r="M65" s="31"/>
      <c r="N65" s="257"/>
      <c r="O65" s="28"/>
    </row>
    <row r="66" spans="3:15" s="3" customFormat="1" ht="13">
      <c r="M66" s="31"/>
      <c r="N66" s="257"/>
      <c r="O66" s="28"/>
    </row>
    <row r="67" spans="3:15" s="3" customFormat="1" ht="13">
      <c r="M67" s="29"/>
      <c r="N67" s="257"/>
      <c r="O67" s="28"/>
    </row>
    <row r="68" spans="3:15" s="3" customFormat="1" ht="13">
      <c r="M68" s="29"/>
      <c r="N68" s="257"/>
      <c r="O68" s="28"/>
    </row>
    <row r="69" spans="3:15" s="3" customFormat="1" ht="13">
      <c r="C69" s="7"/>
      <c r="D69" s="7"/>
      <c r="M69" s="29"/>
      <c r="N69" s="257"/>
      <c r="O69" s="28"/>
    </row>
    <row r="70" spans="3:15" s="3" customFormat="1">
      <c r="M70" s="28"/>
      <c r="N70" s="257"/>
      <c r="O70" s="28"/>
    </row>
    <row r="71" spans="3:15" s="3" customFormat="1">
      <c r="M71" s="28"/>
      <c r="N71" s="257"/>
      <c r="O71" s="28"/>
    </row>
    <row r="72" spans="3:15">
      <c r="M72" s="28"/>
      <c r="N72" s="257"/>
      <c r="O72" s="28"/>
    </row>
    <row r="73" spans="3:15" ht="13">
      <c r="M73" s="30"/>
      <c r="N73" s="257"/>
      <c r="O73" s="28"/>
    </row>
    <row r="74" spans="3:15" ht="13">
      <c r="M74" s="30"/>
      <c r="N74" s="256"/>
      <c r="O74" s="28"/>
    </row>
    <row r="75" spans="3:15">
      <c r="M75" s="28"/>
      <c r="N75" s="257"/>
      <c r="O75" s="28"/>
    </row>
    <row r="76" spans="3:15">
      <c r="M76" s="28"/>
      <c r="N76" s="257"/>
      <c r="O76" s="28"/>
    </row>
    <row r="77" spans="3:15">
      <c r="M77" s="28"/>
      <c r="N77" s="257"/>
      <c r="O77" s="28"/>
    </row>
  </sheetData>
  <sheetProtection algorithmName="SHA-512" hashValue="BGIp7fhfx05GskVGoZ604xCCXU0H/UpkknrQ0Y1BhVHJL0tb/zDi7ZeU5sfa1rooLaFGaSBeCcrHGB3fgIlONQ==" saltValue="qMSWl2paaTtS7XhLEY5Vc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43"/>
  <sheetViews>
    <sheetView topLeftCell="A14" zoomScaleNormal="100" workbookViewId="0">
      <selection activeCell="E30" sqref="E30"/>
    </sheetView>
  </sheetViews>
  <sheetFormatPr defaultColWidth="9.1796875" defaultRowHeight="12.5"/>
  <cols>
    <col min="1" max="1" width="40.453125" style="338" customWidth="1"/>
    <col min="2" max="2" width="10.1796875" style="359" customWidth="1"/>
    <col min="3" max="3" width="16.6328125" style="338" customWidth="1"/>
    <col min="4" max="4" width="28.453125" style="338" customWidth="1"/>
    <col min="5" max="5" width="26.36328125" style="338" customWidth="1"/>
    <col min="6" max="6" width="14.6328125" style="338" customWidth="1"/>
    <col min="7" max="8" width="12.36328125" style="338" customWidth="1"/>
    <col min="9" max="9" width="13.453125" style="338" customWidth="1"/>
    <col min="10" max="11" width="12.36328125" style="338" customWidth="1"/>
    <col min="12" max="12" width="16.1796875" style="338" customWidth="1"/>
    <col min="13" max="13" width="6.6328125" style="338" customWidth="1"/>
    <col min="14" max="14" width="9.1796875" style="338"/>
    <col min="15" max="15" width="9.1796875" style="338" hidden="1" customWidth="1"/>
    <col min="16" max="16384" width="9.1796875" style="338"/>
  </cols>
  <sheetData>
    <row r="1" spans="1:15" s="369" customFormat="1" ht="13">
      <c r="A1" s="386" t="s">
        <v>939</v>
      </c>
      <c r="B1" s="387"/>
    </row>
    <row r="2" spans="1:15" s="369" customFormat="1" ht="30" customHeight="1">
      <c r="A2" s="816" t="str">
        <f>IF(ISNA(MATCH("n",O9:O29,0)),"", trans_warning)</f>
        <v/>
      </c>
      <c r="B2" s="817"/>
      <c r="C2" s="817"/>
      <c r="D2" s="817"/>
      <c r="E2" s="817"/>
      <c r="F2" s="817"/>
      <c r="G2" s="817"/>
      <c r="H2" s="817"/>
      <c r="I2" s="817"/>
      <c r="J2" s="817"/>
      <c r="K2" s="817"/>
      <c r="L2" s="817"/>
      <c r="M2" s="818"/>
    </row>
    <row r="3" spans="1:15" ht="26.5" thickBot="1">
      <c r="A3" s="744" t="s">
        <v>940</v>
      </c>
      <c r="B3" s="750" t="str">
        <f>quest2</f>
        <v>O/N</v>
      </c>
      <c r="C3" s="751"/>
      <c r="D3" s="751"/>
      <c r="E3" s="750" t="str">
        <f>quest2</f>
        <v>O/N</v>
      </c>
      <c r="F3" s="752"/>
      <c r="G3" s="752"/>
      <c r="H3" s="751"/>
      <c r="I3" s="752"/>
      <c r="J3" s="752"/>
      <c r="K3" s="752"/>
      <c r="L3" s="783"/>
      <c r="M3" s="783"/>
      <c r="N3" s="459"/>
    </row>
    <row r="4" spans="1:15" ht="54.75" customHeight="1" thickBot="1">
      <c r="A4" s="692" t="s">
        <v>941</v>
      </c>
      <c r="B4" s="695" t="s">
        <v>450</v>
      </c>
      <c r="C4" s="692"/>
      <c r="D4" s="692" t="s">
        <v>1154</v>
      </c>
      <c r="E4" s="695" t="s">
        <v>450</v>
      </c>
      <c r="F4" s="819" t="s">
        <v>1155</v>
      </c>
      <c r="G4" s="820"/>
      <c r="H4" s="511"/>
      <c r="I4" s="272"/>
      <c r="J4" s="272"/>
      <c r="K4" s="272"/>
      <c r="L4" s="272"/>
      <c r="M4" s="272"/>
      <c r="N4" s="459"/>
    </row>
    <row r="5" spans="1:15">
      <c r="A5" s="480"/>
      <c r="B5" s="694" t="s">
        <v>1157</v>
      </c>
      <c r="C5" s="390"/>
      <c r="D5" s="512"/>
      <c r="E5" s="512"/>
      <c r="F5" s="512"/>
      <c r="G5" s="512"/>
      <c r="H5" s="512"/>
      <c r="I5" s="391"/>
      <c r="J5" s="391"/>
      <c r="K5" s="391"/>
      <c r="L5" s="391"/>
      <c r="M5" s="262"/>
      <c r="N5" s="459"/>
    </row>
    <row r="6" spans="1:15" s="369" customFormat="1" ht="13">
      <c r="A6" s="481" t="s">
        <v>942</v>
      </c>
      <c r="B6" s="392"/>
      <c r="C6" s="391"/>
      <c r="D6" s="391"/>
      <c r="E6" s="391"/>
      <c r="F6" s="391"/>
      <c r="G6" s="391"/>
      <c r="H6" s="391"/>
      <c r="I6" s="391"/>
      <c r="J6" s="391"/>
      <c r="K6" s="391"/>
      <c r="L6" s="391"/>
      <c r="M6" s="391"/>
      <c r="N6" s="461"/>
    </row>
    <row r="7" spans="1:15" s="360" customFormat="1" ht="39.75" customHeight="1">
      <c r="A7" s="744" t="s">
        <v>867</v>
      </c>
      <c r="B7" s="776" t="s">
        <v>1112</v>
      </c>
      <c r="C7" s="776" t="s">
        <v>869</v>
      </c>
      <c r="D7" s="744"/>
      <c r="E7" s="744"/>
      <c r="F7" s="776" t="s">
        <v>874</v>
      </c>
      <c r="G7" s="813" t="s">
        <v>875</v>
      </c>
      <c r="H7" s="814"/>
      <c r="I7" s="814"/>
      <c r="J7" s="814"/>
      <c r="K7" s="814"/>
      <c r="L7" s="815"/>
      <c r="M7" s="744"/>
      <c r="N7" s="462"/>
    </row>
    <row r="8" spans="1:15" ht="39.5" thickBot="1">
      <c r="A8" s="744" t="s">
        <v>943</v>
      </c>
      <c r="B8" s="750" t="str">
        <f>quest</f>
        <v>O/N/?</v>
      </c>
      <c r="C8" s="747" t="s">
        <v>1113</v>
      </c>
      <c r="D8" s="776" t="s">
        <v>873</v>
      </c>
      <c r="E8" s="748" t="s">
        <v>799</v>
      </c>
      <c r="F8" s="776" t="s">
        <v>876</v>
      </c>
      <c r="G8" s="749" t="s">
        <v>38</v>
      </c>
      <c r="H8" s="749" t="s">
        <v>877</v>
      </c>
      <c r="I8" s="749" t="s">
        <v>878</v>
      </c>
      <c r="J8" s="776" t="s">
        <v>879</v>
      </c>
      <c r="K8" s="776" t="s">
        <v>880</v>
      </c>
      <c r="L8" s="776" t="s">
        <v>881</v>
      </c>
      <c r="M8" s="744" t="s">
        <v>359</v>
      </c>
      <c r="N8" s="620" t="s">
        <v>1156</v>
      </c>
    </row>
    <row r="9" spans="1:15" ht="25">
      <c r="A9" s="270" t="s">
        <v>944</v>
      </c>
      <c r="B9" s="641"/>
      <c r="C9" s="377"/>
      <c r="D9" s="271" t="s">
        <v>948</v>
      </c>
      <c r="E9" s="271"/>
      <c r="F9" s="456" t="str">
        <f>IF(OR($B9=yes,$B9=yes),'5-7 Recycl metals'!K6, IF(OR($B9=no,$B9=no),"-", IF($B9=que,que, pres)))</f>
        <v>Présent ?</v>
      </c>
      <c r="G9" s="457" t="str">
        <f>IF(OR($B9=yes,$B9=yes),'5-7 Recycl metals'!V6, IF(OR($B9=no,$B9=no),"-", IF($B9=que,que, pres)))</f>
        <v>Présent ?</v>
      </c>
      <c r="H9" s="457" t="str">
        <f>IF(OR($B9=yes,$B9=yes),'5-7 Recycl metals'!W6, IF(OR($B9=no,$B9=no),"-", IF($B9=que,que, pres)))</f>
        <v>Présent ?</v>
      </c>
      <c r="I9" s="457" t="str">
        <f>IF(OR($B9=yes,$B9=yes),'5-7 Recycl metals'!X6, IF(OR($B9=no,$B9=no),"-", IF($B9=que,que, pres)))</f>
        <v>Présent ?</v>
      </c>
      <c r="J9" s="457" t="str">
        <f>IF(OR($B9=yes,$B9=yes),'5-7 Recycl metals'!Y6, IF(OR($B9=no,$B9=no),"-", IF($B9=que,que, pres)))</f>
        <v>Présent ?</v>
      </c>
      <c r="K9" s="457" t="str">
        <f>IF(OR($B9=yes,$B9=yes),'5-7 Recycl metals'!Z6, IF(OR($B9=no,$B9=no),"-", IF($B9=que,que, pres)))</f>
        <v>Présent ?</v>
      </c>
      <c r="L9" s="457" t="str">
        <f>IF(OR($B9=yes,$B9=yes),'5-7 Recycl metals'!AA6, IF(OR($B9=no,$B9=no),"-", IF($B9=que,que, pres)))</f>
        <v>Présent ?</v>
      </c>
      <c r="M9" s="273" t="s">
        <v>275</v>
      </c>
      <c r="N9" s="459"/>
      <c r="O9" s="338" t="str">
        <f>INDEX('Range-thresholds'!$G$6:$G$73,MATCH(A9,'Range-thresholds'!$A$6:$A$73,0))</f>
        <v/>
      </c>
    </row>
    <row r="10" spans="1:15" ht="25.5" thickBot="1">
      <c r="A10" s="270" t="s">
        <v>945</v>
      </c>
      <c r="B10" s="642"/>
      <c r="C10" s="396"/>
      <c r="D10" s="271" t="s">
        <v>949</v>
      </c>
      <c r="E10" s="271"/>
      <c r="F10" s="456" t="str">
        <f>IF(OR($B10=yes,$B10=yes),'5-7 Recycl metals'!K8, IF(OR($B10=no,$B10=no),"-", IF($B10=que,que, pres)))</f>
        <v>Présent ?</v>
      </c>
      <c r="G10" s="457" t="str">
        <f>IF(OR($B10=yes,$B10=yes),'5-7 Recycl metals'!V8, IF(OR($B10=no,$B10=no),"-", IF($B10=que,que, pres)))</f>
        <v>Présent ?</v>
      </c>
      <c r="H10" s="457" t="str">
        <f>IF(OR($B10=yes,$B10=yes),'5-7 Recycl metals'!W8, IF(OR($B10=no,$B10=no),"-", IF($B10=que,que, pres)))</f>
        <v>Présent ?</v>
      </c>
      <c r="I10" s="457" t="str">
        <f>IF(OR($B10=yes,$B10=yes),'5-7 Recycl metals'!X8, IF(OR($B10=no,$B10=no),"-", IF($B10=que,que, pres)))</f>
        <v>Présent ?</v>
      </c>
      <c r="J10" s="457" t="str">
        <f>IF(OR($B10=yes,$B10=yes),'5-7 Recycl metals'!Y8, IF(OR($B10=no,$B10=no),"-", IF($B10=que,que, pres)))</f>
        <v>Présent ?</v>
      </c>
      <c r="K10" s="457" t="str">
        <f>IF(OR($B10=yes,$B10=yes),'5-7 Recycl metals'!Z8, IF(OR($B10=no,$B10=no),"-", IF($B10=que,que, pres)))</f>
        <v>Présent ?</v>
      </c>
      <c r="L10" s="457" t="str">
        <f>IF(OR($B10=yes,$B10=yes),'5-7 Recycl metals'!AA8, IF(OR($B10=no,$B10=no),"-", IF($B10=que,que, pres)))</f>
        <v>Présent ?</v>
      </c>
      <c r="M10" s="273" t="s">
        <v>375</v>
      </c>
      <c r="N10" s="459"/>
      <c r="O10" s="338" t="str">
        <f>INDEX('Range-thresholds'!$G$6:$G$73,MATCH(A10,'Range-thresholds'!$A$6:$A$73,0))</f>
        <v/>
      </c>
    </row>
    <row r="11" spans="1:15">
      <c r="A11" s="263"/>
      <c r="B11" s="394"/>
      <c r="C11" s="395"/>
      <c r="D11" s="273"/>
      <c r="E11" s="273"/>
      <c r="F11" s="456"/>
      <c r="G11" s="457"/>
      <c r="H11" s="457"/>
      <c r="I11" s="457"/>
      <c r="J11" s="457"/>
      <c r="K11" s="457"/>
      <c r="L11" s="457"/>
      <c r="M11" s="273"/>
      <c r="N11" s="459"/>
    </row>
    <row r="12" spans="1:15" ht="13.5" thickBot="1">
      <c r="A12" s="265" t="s">
        <v>946</v>
      </c>
      <c r="B12" s="267"/>
      <c r="C12" s="346"/>
      <c r="D12" s="273"/>
      <c r="E12" s="273"/>
      <c r="F12" s="456"/>
      <c r="G12" s="457"/>
      <c r="H12" s="457"/>
      <c r="I12" s="457"/>
      <c r="J12" s="457"/>
      <c r="K12" s="457"/>
      <c r="L12" s="457"/>
      <c r="M12" s="273"/>
      <c r="N12" s="459"/>
    </row>
    <row r="13" spans="1:15" ht="13" thickBot="1">
      <c r="A13" s="270" t="s">
        <v>947</v>
      </c>
      <c r="B13" s="644"/>
      <c r="C13" s="399"/>
      <c r="D13" s="271" t="s">
        <v>950</v>
      </c>
      <c r="E13" s="688"/>
      <c r="F13" s="456" t="str">
        <f>IF(OR($B13=yes,$B13=yes),'5-8 Waste incin'!K7, IF(OR($B13=no,$B13=no),"-", IF($B13=que,que, pres)))</f>
        <v>Présent ?</v>
      </c>
      <c r="G13" s="457" t="str">
        <f>IF(OR($B13=yes,$B13=yes),SUM('5-8 Waste incin'!V7:V10), IF(OR($B13=no,$B13=no),"-", IF($B13=que,que, pres)))</f>
        <v>Présent ?</v>
      </c>
      <c r="H13" s="457" t="str">
        <f>IF(OR($B13=yes,$B13=yes),SUM('5-8 Waste incin'!W7:W10), IF(OR($B13=no,$B13=no),"-", IF($B13=que,que, pres)))</f>
        <v>Présent ?</v>
      </c>
      <c r="I13" s="457" t="str">
        <f>IF(OR($B13=yes,$B13=yes),SUM('5-8 Waste incin'!X7:X10), IF(OR($B13=no,$B13=no),"-", IF($B13=que,que, pres)))</f>
        <v>Présent ?</v>
      </c>
      <c r="J13" s="457" t="str">
        <f>IF(OR($B13=yes,$B13=yes),SUM('5-8 Waste incin'!Y7:Y10), IF(OR($B13=no,$B13=no),"-", IF($B13=que,que, pres)))</f>
        <v>Présent ?</v>
      </c>
      <c r="K13" s="457" t="str">
        <f>IF(OR($B13=yes,$B13=yes),SUM('5-8 Waste incin'!Z7:Z10), IF(OR($B13=no,$B13=no),"-", IF($B13=que,que, pres)))</f>
        <v>Présent ?</v>
      </c>
      <c r="L13" s="457" t="str">
        <f>IF(OR($B13=yes,$B13=yes),SUM('5-8 Waste incin'!AA7:AA10), IF(OR($B13=no,$B13=no),"-", IF($B13=que,que, pres)))</f>
        <v>Présent ?</v>
      </c>
      <c r="M13" s="273" t="s">
        <v>196</v>
      </c>
      <c r="N13" s="460"/>
      <c r="O13" s="338" t="str">
        <f>INDEX('Range-thresholds'!$G$6:$G$73,MATCH(A13,'Range-thresholds'!$A$6:$A$73,0))</f>
        <v/>
      </c>
    </row>
    <row r="14" spans="1:15" ht="137.5">
      <c r="A14" s="270"/>
      <c r="B14" s="273"/>
      <c r="C14" s="273"/>
      <c r="D14" s="680"/>
      <c r="E14" s="681" t="s">
        <v>1120</v>
      </c>
      <c r="F14" s="681"/>
      <c r="G14" s="681" t="s">
        <v>1158</v>
      </c>
      <c r="H14" s="681" t="s">
        <v>1159</v>
      </c>
      <c r="I14" s="681" t="s">
        <v>1160</v>
      </c>
      <c r="J14" s="681" t="s">
        <v>1161</v>
      </c>
      <c r="K14" s="457"/>
      <c r="L14" s="457"/>
      <c r="M14" s="273"/>
      <c r="N14" s="460"/>
    </row>
    <row r="15" spans="1:15" ht="25.5" thickBot="1">
      <c r="A15" s="270"/>
      <c r="B15" s="273"/>
      <c r="C15" s="273"/>
      <c r="D15" s="682" t="s">
        <v>1129</v>
      </c>
      <c r="E15" s="681" t="s">
        <v>1121</v>
      </c>
      <c r="F15" s="681"/>
      <c r="G15" s="684">
        <f>100-H15-I15-J15-K15-L15</f>
        <v>0</v>
      </c>
      <c r="H15" s="689">
        <v>100</v>
      </c>
      <c r="I15" s="689"/>
      <c r="J15" s="689"/>
      <c r="K15" s="457"/>
      <c r="L15" s="457"/>
      <c r="M15" s="729" t="s">
        <v>1224</v>
      </c>
      <c r="N15" s="460"/>
    </row>
    <row r="16" spans="1:15" ht="13" thickBot="1">
      <c r="A16" s="621" t="s">
        <v>955</v>
      </c>
      <c r="B16" s="644"/>
      <c r="C16" s="399"/>
      <c r="D16" s="271" t="s">
        <v>950</v>
      </c>
      <c r="E16" s="688"/>
      <c r="F16" s="456" t="str">
        <f>IF(OR($B16=yes,$B16=yes),'5-8 Waste incin'!K13, IF(OR($B16=no,$B16=no),"-", IF($B16=que,que, pres)))</f>
        <v>Présent ?</v>
      </c>
      <c r="G16" s="457" t="str">
        <f>IF(OR($B16=yes,$B16=yes),SUM('5-8 Waste incin'!V13:V16), IF(OR($B16=no,$B16=no),"-", IF($B16=que,que, pres)))</f>
        <v>Présent ?</v>
      </c>
      <c r="H16" s="457" t="str">
        <f>IF(OR($B16=yes,$B16=yes),SUM('5-8 Waste incin'!W13:W16), IF(OR($B16=no,$B16=no),"-", IF($B16=que,que, pres)))</f>
        <v>Présent ?</v>
      </c>
      <c r="I16" s="457" t="str">
        <f>IF(OR($B16=yes,$B16=yes),SUM('5-8 Waste incin'!X13:X16), IF(OR($B16=no,$B16=no),"-", IF($B16=que,que, pres)))</f>
        <v>Présent ?</v>
      </c>
      <c r="J16" s="457" t="str">
        <f>IF(OR($B16=yes,$B16=yes),SUM('5-8 Waste incin'!Y13:Y16), IF(OR($B16=no,$B16=no),"-", IF($B16=que,que, pres)))</f>
        <v>Présent ?</v>
      </c>
      <c r="K16" s="457" t="str">
        <f>IF(OR($B16=yes,$B16=yes),SUM('5-8 Waste incin'!Z13:Z16), IF(OR($B16=no,$B16=no),"-", IF($B16=que,que, pres)))</f>
        <v>Présent ?</v>
      </c>
      <c r="L16" s="457" t="str">
        <f>IF(OR($B16=yes,$B16=yes),SUM('5-8 Waste incin'!AA13:AA16), IF(OR($B16=no,$B16=no),"-", IF($B16=que,que, pres)))</f>
        <v>Présent ?</v>
      </c>
      <c r="M16" s="273" t="s">
        <v>200</v>
      </c>
      <c r="N16" s="459"/>
    </row>
    <row r="17" spans="1:14" ht="137.5">
      <c r="A17" s="270"/>
      <c r="B17" s="273"/>
      <c r="C17" s="273"/>
      <c r="D17" s="680"/>
      <c r="E17" s="681" t="s">
        <v>1120</v>
      </c>
      <c r="F17" s="681"/>
      <c r="G17" s="681" t="s">
        <v>1158</v>
      </c>
      <c r="H17" s="681" t="s">
        <v>1159</v>
      </c>
      <c r="I17" s="681" t="s">
        <v>1160</v>
      </c>
      <c r="J17" s="681" t="s">
        <v>1161</v>
      </c>
      <c r="K17" s="457"/>
      <c r="L17" s="457"/>
      <c r="M17" s="273"/>
      <c r="N17" s="459"/>
    </row>
    <row r="18" spans="1:14" ht="25.5" thickBot="1">
      <c r="A18" s="270"/>
      <c r="B18" s="273"/>
      <c r="C18" s="273"/>
      <c r="D18" s="682" t="s">
        <v>1129</v>
      </c>
      <c r="E18" s="681" t="s">
        <v>1121</v>
      </c>
      <c r="F18" s="681"/>
      <c r="G18" s="684">
        <f>100-H18-I18-J18-K18-L18</f>
        <v>0</v>
      </c>
      <c r="H18" s="689">
        <v>100</v>
      </c>
      <c r="I18" s="689"/>
      <c r="J18" s="689"/>
      <c r="K18" s="457"/>
      <c r="L18" s="457"/>
      <c r="M18" s="729" t="s">
        <v>1224</v>
      </c>
      <c r="N18" s="460"/>
    </row>
    <row r="19" spans="1:14" ht="25.5" thickBot="1">
      <c r="A19" s="621" t="s">
        <v>956</v>
      </c>
      <c r="B19" s="644"/>
      <c r="C19" s="399"/>
      <c r="D19" s="271" t="s">
        <v>950</v>
      </c>
      <c r="E19" s="688"/>
      <c r="F19" s="456" t="str">
        <f>IF(OR($B19=yes,$B19=yes),'5-8 Waste incin'!K19, IF(OR($B19=no,$B19=no),"-", IF($B19=que,que, pres)))</f>
        <v>Présent ?</v>
      </c>
      <c r="G19" s="457" t="str">
        <f>IF(OR($B19=yes,$B19=yes),SUM('5-8 Waste incin'!V19:V22), IF(OR($B19=no,$B19=no),"-", IF($B19=que,que, pres)))</f>
        <v>Présent ?</v>
      </c>
      <c r="H19" s="457" t="str">
        <f>IF(OR($B19=yes,$B19=yes),SUM('5-8 Waste incin'!W19:W22), IF(OR($B19=no,$B19=no),"-", IF($B19=que,que, pres)))</f>
        <v>Présent ?</v>
      </c>
      <c r="I19" s="457" t="str">
        <f>IF(OR($B19=yes,$B19=yes),SUM('5-8 Waste incin'!X19:X22), IF(OR($B19=no,$B19=no),"-", IF($B19=que,que, pres)))</f>
        <v>Présent ?</v>
      </c>
      <c r="J19" s="457" t="str">
        <f>IF(OR($B19=yes,$B19=yes),SUM('5-8 Waste incin'!Y19:Y22), IF(OR($B19=no,$B19=no),"-", IF($B19=que,que, pres)))</f>
        <v>Présent ?</v>
      </c>
      <c r="K19" s="457" t="str">
        <f>IF(OR($B19=yes,$B19=yes),'5-8 Waste incin'!Z18, IF(OR($B19=no,$B19=no),"-", IF($B19=que,que, pres)))</f>
        <v>Présent ?</v>
      </c>
      <c r="L19" s="457" t="str">
        <f>IF(OR($B19=yes,$B19=yes),'5-8 Waste incin'!AA18, IF(OR($B19=no,$B19=no),"-", IF($B19=que,que, pres)))</f>
        <v>Présent ?</v>
      </c>
      <c r="M19" s="273" t="s">
        <v>205</v>
      </c>
      <c r="N19" s="459"/>
    </row>
    <row r="20" spans="1:14" ht="137.5">
      <c r="A20" s="275"/>
      <c r="B20" s="273"/>
      <c r="C20" s="273"/>
      <c r="D20" s="680"/>
      <c r="E20" s="681" t="s">
        <v>1120</v>
      </c>
      <c r="F20" s="681"/>
      <c r="G20" s="681" t="s">
        <v>1158</v>
      </c>
      <c r="H20" s="681" t="s">
        <v>1159</v>
      </c>
      <c r="I20" s="681" t="s">
        <v>1160</v>
      </c>
      <c r="J20" s="681" t="s">
        <v>1161</v>
      </c>
      <c r="K20" s="457"/>
      <c r="L20" s="457"/>
      <c r="M20" s="273"/>
      <c r="N20" s="459"/>
    </row>
    <row r="21" spans="1:14" ht="25.5" thickBot="1">
      <c r="A21" s="275"/>
      <c r="B21" s="273"/>
      <c r="C21" s="273"/>
      <c r="D21" s="682" t="s">
        <v>1129</v>
      </c>
      <c r="E21" s="681" t="s">
        <v>1121</v>
      </c>
      <c r="F21" s="681"/>
      <c r="G21" s="684">
        <f>100-H21-I21-J21-K21-L21</f>
        <v>100</v>
      </c>
      <c r="H21" s="689"/>
      <c r="I21" s="689"/>
      <c r="J21" s="689"/>
      <c r="K21" s="457"/>
      <c r="L21" s="457"/>
      <c r="M21" s="729" t="s">
        <v>1224</v>
      </c>
      <c r="N21" s="460"/>
    </row>
    <row r="22" spans="1:14">
      <c r="A22" s="621" t="s">
        <v>957</v>
      </c>
      <c r="B22" s="641"/>
      <c r="C22" s="377"/>
      <c r="D22" s="271" t="s">
        <v>950</v>
      </c>
      <c r="E22" s="271"/>
      <c r="F22" s="456" t="str">
        <f>IF(OR($B22=yes,$B22=yes),'5-8 Waste incin'!K24, IF(OR($B22=no,$B22=no),"-", IF($B22=que,que, pres)))</f>
        <v>Présent ?</v>
      </c>
      <c r="G22" s="457" t="str">
        <f>IF(OR($B22=yes,$B22=yes),'5-8 Waste incin'!V24, IF(OR($B22=no,$B22=no),"-", IF($B22=que,que, pres)))</f>
        <v>Présent ?</v>
      </c>
      <c r="H22" s="457" t="str">
        <f>IF(OR($B22=yes,$B22=yes),'5-8 Waste incin'!W24, IF(OR($B22=no,$B22=no),"-", IF($B22=que,que, pres)))</f>
        <v>Présent ?</v>
      </c>
      <c r="I22" s="457" t="str">
        <f>IF(OR($B22=yes,$B22=yes),'5-8 Waste incin'!X24, IF(OR($B22=no,$B22=no),"-", IF($B22=que,que, pres)))</f>
        <v>Présent ?</v>
      </c>
      <c r="J22" s="457" t="str">
        <f>IF(OR($B22=yes,$B22=yes),'5-8 Waste incin'!Y24, IF(OR($B22=no,$B22=no),"-", IF($B22=que,que, pres)))</f>
        <v>Présent ?</v>
      </c>
      <c r="K22" s="457" t="str">
        <f>IF(OR($B22=yes,$B22=yes),'5-8 Waste incin'!Z24, IF(OR($B22=no,$B22=no),"-", IF($B22=que,que, pres)))</f>
        <v>Présent ?</v>
      </c>
      <c r="L22" s="457" t="str">
        <f>IF(OR($B22=yes,$B22=yes),'5-8 Waste incin'!AA24, IF(OR($B22=no,$B22=no),"-", IF($B22=que,que, pres)))</f>
        <v>Présent ?</v>
      </c>
      <c r="M22" s="273" t="s">
        <v>207</v>
      </c>
      <c r="N22" s="459"/>
    </row>
    <row r="23" spans="1:14" ht="25.5" thickBot="1">
      <c r="A23" s="621" t="s">
        <v>958</v>
      </c>
      <c r="B23" s="642"/>
      <c r="C23" s="396"/>
      <c r="D23" s="698" t="s">
        <v>951</v>
      </c>
      <c r="E23" s="347"/>
      <c r="F23" s="456" t="str">
        <f>IF(OR($B23=yes,$B23=yes),'5-8 Waste incin'!K26, IF(OR($B23=no,$B23=no),"-", IF($B23=que,que, pres)))</f>
        <v>Présent ?</v>
      </c>
      <c r="G23" s="457" t="str">
        <f>IF(OR($B23=yes,$B23=yes),'5-8 Waste incin'!V26, IF(OR($B23=no,$B23=no),"-", IF($B23=que,que, pres)))</f>
        <v>Présent ?</v>
      </c>
      <c r="H23" s="457" t="str">
        <f>IF(OR($B23=yes,$B23=yes),'5-8 Waste incin'!W26, IF(OR($B23=no,$B23=no),"-", IF($B23=que,que, pres)))</f>
        <v>Présent ?</v>
      </c>
      <c r="I23" s="457" t="str">
        <f>IF(OR($B23=yes,$B23=yes),'5-8 Waste incin'!X26, IF(OR($B23=no,$B23=no),"-", IF($B23=que,que, pres)))</f>
        <v>Présent ?</v>
      </c>
      <c r="J23" s="457" t="str">
        <f>IF(OR($B23=yes,$B23=yes),'5-8 Waste incin'!Y26, IF(OR($B23=no,$B23=no),"-", IF($B23=que,que, pres)))</f>
        <v>Présent ?</v>
      </c>
      <c r="K23" s="457" t="str">
        <f>IF(OR($B23=yes,$B23=yes),'5-8 Waste incin'!Z26, IF(OR($B23=no,$B23=no),"-", IF($B23=que,que, pres)))</f>
        <v>Présent ?</v>
      </c>
      <c r="L23" s="457" t="str">
        <f>IF(OR($B23=yes,$B23=yes),'5-8 Waste incin'!AA26, IF(OR($B23=no,$B23=no),"-", IF($B23=que,que, pres)))</f>
        <v>Présent ?</v>
      </c>
      <c r="M23" s="273" t="s">
        <v>209</v>
      </c>
      <c r="N23" s="459"/>
    </row>
    <row r="24" spans="1:14">
      <c r="A24" s="263"/>
      <c r="B24" s="348"/>
      <c r="C24" s="349"/>
      <c r="D24" s="273"/>
      <c r="E24" s="273"/>
      <c r="F24" s="456"/>
      <c r="G24" s="457"/>
      <c r="H24" s="457"/>
      <c r="I24" s="457"/>
      <c r="J24" s="457"/>
      <c r="K24" s="457"/>
      <c r="L24" s="457"/>
      <c r="M24" s="273"/>
      <c r="N24" s="459"/>
    </row>
    <row r="25" spans="1:14" ht="26.5" thickBot="1">
      <c r="A25" s="265" t="s">
        <v>959</v>
      </c>
      <c r="B25" s="345"/>
      <c r="C25" s="346"/>
      <c r="D25" s="273"/>
      <c r="E25" s="273"/>
      <c r="F25" s="456"/>
      <c r="G25" s="457"/>
      <c r="H25" s="457"/>
      <c r="I25" s="457"/>
      <c r="J25" s="457"/>
      <c r="K25" s="457"/>
      <c r="L25" s="457"/>
      <c r="M25" s="273"/>
      <c r="N25" s="459"/>
    </row>
    <row r="26" spans="1:14">
      <c r="A26" s="275" t="s">
        <v>960</v>
      </c>
      <c r="B26" s="641"/>
      <c r="C26" s="377"/>
      <c r="D26" s="347" t="s">
        <v>952</v>
      </c>
      <c r="E26" s="347"/>
      <c r="F26" s="456" t="str">
        <f>IF(OR($B26=yes,$B26=yes),'5-9 Waste depo and water treatm'!K6, IF(OR($B26=no,$B26=no),"-", IF($B26=que,que, pres)))</f>
        <v>Présent ?</v>
      </c>
      <c r="G26" s="457" t="str">
        <f>IF(OR($B26=yes,$B26=yes),'5-9 Waste depo and water treatm'!V6, IF(OR($B26=no,$B26=no),"-", IF($B26=que,que, pres)))</f>
        <v>Présent ?</v>
      </c>
      <c r="H26" s="457" t="str">
        <f>IF(OR($B26=yes,$B26=yes),'5-9 Waste depo and water treatm'!W6, IF(OR($B26=no,$B26=no),"-", IF($B26=que,que, pres)))</f>
        <v>Présent ?</v>
      </c>
      <c r="I26" s="457" t="str">
        <f>IF(OR($B26=yes,$B26=yes),'5-9 Waste depo and water treatm'!X6, IF(OR($B26=no,$B26=no),"-", IF($B26=que,que, pres)))</f>
        <v>Présent ?</v>
      </c>
      <c r="J26" s="457" t="str">
        <f>IF(OR($B26=yes,$B26=yes),'5-9 Waste depo and water treatm'!Y6, IF(OR($B26=no,$B26=no),"-", IF($B26=que,que, pres)))</f>
        <v>Présent ?</v>
      </c>
      <c r="K26" s="457" t="str">
        <f>IF(OR($B26=yes,$B26=yes),'5-9 Waste depo and water treatm'!Z6, IF(OR($B26=no,$B26=no),"-", IF($B26=que,que, pres)))</f>
        <v>Présent ?</v>
      </c>
      <c r="L26" s="457" t="str">
        <f>IF(OR($B26=yes,$B26=yes),'5-9 Waste depo and water treatm'!AA6, IF(OR($B26=no,$B26=no),"-", IF($B26=que,que, pres)))</f>
        <v>Présent ?</v>
      </c>
      <c r="M26" s="273" t="s">
        <v>291</v>
      </c>
      <c r="N26" s="459"/>
    </row>
    <row r="27" spans="1:14" ht="13" thickBot="1">
      <c r="A27" s="275" t="s">
        <v>961</v>
      </c>
      <c r="B27" s="642"/>
      <c r="C27" s="396"/>
      <c r="D27" s="347" t="s">
        <v>953</v>
      </c>
      <c r="E27" s="347"/>
      <c r="F27" s="456" t="str">
        <f>IF(OR($B27=yes,$B27=yes),'5-9 Waste depo and water treatm'!K13, IF(OR($B27=no,$B27=no),"-", IF($B27=que,que, pres)))</f>
        <v>Présent ?</v>
      </c>
      <c r="G27" s="457" t="str">
        <f>IF(OR($B27=yes,$B27=yes),'5-9 Waste depo and water treatm'!V13, IF(OR($B27=no,$B27=no),"-", IF($B27=que,que, pres)))</f>
        <v>Présent ?</v>
      </c>
      <c r="H27" s="457" t="str">
        <f>IF(OR($B27=yes,$B27=yes),'5-9 Waste depo and water treatm'!W13, IF(OR($B27=no,$B27=no),"-", IF($B27=que,que, pres)))</f>
        <v>Présent ?</v>
      </c>
      <c r="I27" s="457" t="str">
        <f>IF(OR($B27=yes,$B27=yes),'5-9 Waste depo and water treatm'!X13, IF(OR($B27=no,$B27=no),"-", IF($B27=que,que, pres)))</f>
        <v>Présent ?</v>
      </c>
      <c r="J27" s="457" t="str">
        <f>IF(OR($B27=yes,$B27=yes),'5-9 Waste depo and water treatm'!Y13, IF(OR($B27=no,$B27=no),"-", IF($B27=que,que, pres)))</f>
        <v>Présent ?</v>
      </c>
      <c r="K27" s="457" t="str">
        <f>IF(OR($B27=yes,$B27=yes),'5-9 Waste depo and water treatm'!Z13, IF(OR($B27=no,$B27=no),"-", IF($B27=que,que, pres)))</f>
        <v>Présent ?</v>
      </c>
      <c r="L27" s="457" t="str">
        <f>IF(OR($B27=yes,$B27=yes),'5-9 Waste depo and water treatm'!AA13, IF(OR($B27=no,$B27=no),"-", IF($B27=que,que, pres)))</f>
        <v>Présent ?</v>
      </c>
      <c r="M27" s="273" t="s">
        <v>294</v>
      </c>
      <c r="N27" s="459"/>
    </row>
    <row r="28" spans="1:14" ht="13" thickBot="1">
      <c r="A28" s="367"/>
      <c r="B28" s="397"/>
      <c r="C28" s="398"/>
      <c r="D28" s="273"/>
      <c r="E28" s="273"/>
      <c r="F28" s="456"/>
      <c r="G28" s="457"/>
      <c r="H28" s="457"/>
      <c r="I28" s="457"/>
      <c r="J28" s="457"/>
      <c r="K28" s="457"/>
      <c r="L28" s="457"/>
      <c r="M28" s="273"/>
      <c r="N28" s="459"/>
    </row>
    <row r="29" spans="1:14" ht="13" thickBot="1">
      <c r="A29" s="480" t="s">
        <v>962</v>
      </c>
      <c r="B29" s="644"/>
      <c r="C29" s="399"/>
      <c r="D29" s="686" t="s">
        <v>954</v>
      </c>
      <c r="E29" s="688"/>
      <c r="F29" s="673" t="str">
        <f>IF(OR($B29=yes,$B29=yes),'5-9 Waste depo and water treatm'!K16, IF(OR($B29=no,$B29=no),"-", IF($B29=que,que, pres)))</f>
        <v>Présent ?</v>
      </c>
      <c r="G29" s="674" t="str">
        <f>IF(OR($B29=yes,$B29=yes),SUM('5-9 Waste depo and water treatm'!V16:V19), IF(OR($B29=no,$B29=no),"-", IF($B29=que,que, pres)))</f>
        <v>Présent ?</v>
      </c>
      <c r="H29" s="674" t="str">
        <f>IF(OR($B29=yes,$B29=yes),SUM('5-9 Waste depo and water treatm'!W16:W19), IF(OR($B29=no,$B29=no),"-", IF($B29=que,que, pres)))</f>
        <v>Présent ?</v>
      </c>
      <c r="I29" s="674" t="str">
        <f>IF(OR($B29=yes,$B29=yes),SUM('5-9 Waste depo and water treatm'!X16:X19), IF(OR($B29=no,$B29=no),"-", IF($B29=que,que, pres)))</f>
        <v>Présent ?</v>
      </c>
      <c r="J29" s="674" t="str">
        <f>IF(OR($B29=yes,$B29=yes),SUM('5-9 Waste depo and water treatm'!Y16:Y19), IF(OR($B29=no,$B29=no),"-", IF($B29=que,que, pres)))</f>
        <v>Présent ?</v>
      </c>
      <c r="K29" s="674" t="str">
        <f>IF(OR($B29=yes,$B29=yes),SUM('5-9 Waste depo and water treatm'!Z16:Z19), IF(OR($B29=no,$B29=no),"-", IF($B29=que,que, pres)))</f>
        <v>Présent ?</v>
      </c>
      <c r="L29" s="674" t="str">
        <f>IF(OR($B29=yes,$B29=yes),SUM('5-9 Waste depo and water treatm'!AA16:AA19), IF(OR($B29=no,$B29=no),"-", IF($B29=que,que, pres)))</f>
        <v>Présent ?</v>
      </c>
      <c r="M29" s="687" t="s">
        <v>295</v>
      </c>
      <c r="N29" s="459"/>
    </row>
    <row r="30" spans="1:14" ht="125.25" customHeight="1">
      <c r="A30" s="367"/>
      <c r="B30" s="273"/>
      <c r="C30" s="273"/>
      <c r="D30" s="680"/>
      <c r="E30" s="681" t="s">
        <v>1120</v>
      </c>
      <c r="F30" s="681"/>
      <c r="G30" s="681" t="s">
        <v>1162</v>
      </c>
      <c r="H30" s="681" t="s">
        <v>1163</v>
      </c>
      <c r="I30" s="681" t="s">
        <v>1164</v>
      </c>
      <c r="J30" s="681" t="s">
        <v>1165</v>
      </c>
      <c r="K30" s="457"/>
      <c r="L30" s="457"/>
      <c r="M30" s="273"/>
      <c r="N30" s="459"/>
    </row>
    <row r="31" spans="1:14" ht="25">
      <c r="A31" s="367"/>
      <c r="B31" s="273"/>
      <c r="C31" s="273"/>
      <c r="D31" s="682" t="s">
        <v>1129</v>
      </c>
      <c r="E31" s="681" t="s">
        <v>1121</v>
      </c>
      <c r="F31" s="681"/>
      <c r="G31" s="684">
        <f>100-H31-I31-J31-K31-L31</f>
        <v>0</v>
      </c>
      <c r="H31" s="689">
        <v>100</v>
      </c>
      <c r="I31" s="689"/>
      <c r="J31" s="689"/>
      <c r="K31" s="457"/>
      <c r="L31" s="457"/>
      <c r="M31" s="729" t="s">
        <v>1224</v>
      </c>
      <c r="N31" s="460"/>
    </row>
    <row r="34" spans="1:10">
      <c r="A34" s="618" t="s">
        <v>747</v>
      </c>
    </row>
    <row r="35" spans="1:10">
      <c r="A35" s="618"/>
    </row>
    <row r="36" spans="1:10" ht="13">
      <c r="A36" s="714" t="s">
        <v>1166</v>
      </c>
      <c r="B36" s="706"/>
      <c r="C36" s="707"/>
      <c r="D36" s="708"/>
      <c r="E36" s="708"/>
      <c r="F36" s="708"/>
      <c r="G36" s="708"/>
      <c r="H36" s="708"/>
      <c r="I36" s="708"/>
      <c r="J36" s="709"/>
    </row>
    <row r="37" spans="1:10" ht="25">
      <c r="A37" s="710" t="s">
        <v>1168</v>
      </c>
      <c r="B37" s="704"/>
      <c r="C37" s="705">
        <f>SUM('Niveau 1- Sommaire général'!E61,'Niveau 1- Sommaire général'!E65,'Niveau 1- Sommaire général'!E67,'Niveau 1- Sommaire général'!E68)</f>
        <v>0</v>
      </c>
      <c r="D37" s="391"/>
      <c r="E37" s="391"/>
      <c r="F37" s="391"/>
      <c r="G37" s="391"/>
      <c r="H37" s="391"/>
      <c r="I37" s="391"/>
      <c r="J37" s="428"/>
    </row>
    <row r="38" spans="1:10" ht="37.5">
      <c r="A38" s="710" t="s">
        <v>1169</v>
      </c>
      <c r="B38" s="704"/>
      <c r="C38" s="705">
        <f>SUM('Niveau 1- Sommaire général'!J26,'Niveau 1- Sommaire général'!J27,'Niveau 1- Sommaire général'!J32:J56)</f>
        <v>0</v>
      </c>
      <c r="D38" s="391"/>
      <c r="E38" s="391"/>
      <c r="F38" s="391"/>
      <c r="G38" s="391"/>
      <c r="H38" s="391"/>
      <c r="I38" s="391"/>
      <c r="J38" s="428"/>
    </row>
    <row r="39" spans="1:10" ht="25">
      <c r="A39" s="711" t="s">
        <v>1170</v>
      </c>
      <c r="B39" s="712"/>
      <c r="C39" s="713" t="str">
        <f>IF(C37&gt;2*C38,"Les calculs effectués indiquent que les facteurs d'entrée par défaut pour les déchets peuvent surestimer les rejets de mercure provenant de ces sources.","Les calculs effectués indiquent que les facteurs d'entrée par défaut pour les déchets généraux ne surestiment pas forcément les rejets de mercure provenant de ces sources.")</f>
        <v>Les calculs effectués indiquent que les facteurs d'entrée par défaut pour les déchets généraux ne surestiment pas forcément les rejets de mercure provenant de ces sources.</v>
      </c>
      <c r="D39" s="713"/>
      <c r="E39" s="713"/>
      <c r="F39" s="713"/>
      <c r="G39" s="713"/>
      <c r="H39" s="713"/>
      <c r="I39" s="713"/>
      <c r="J39" s="494"/>
    </row>
    <row r="40" spans="1:10" ht="13">
      <c r="A40" s="714" t="s">
        <v>1167</v>
      </c>
      <c r="B40" s="706"/>
      <c r="C40" s="707"/>
      <c r="D40" s="708"/>
      <c r="E40" s="708"/>
      <c r="F40" s="708"/>
      <c r="G40" s="708"/>
      <c r="H40" s="708"/>
      <c r="I40" s="708"/>
      <c r="J40" s="428"/>
    </row>
    <row r="41" spans="1:10" ht="25">
      <c r="A41" s="710" t="s">
        <v>1171</v>
      </c>
      <c r="B41" s="704"/>
      <c r="C41" s="705">
        <f>SUM('Niveau 1-SommExec'!B19)</f>
        <v>0</v>
      </c>
      <c r="D41" s="391"/>
      <c r="E41" s="391"/>
      <c r="F41" s="391"/>
      <c r="G41" s="391"/>
      <c r="H41" s="391"/>
      <c r="I41" s="391"/>
      <c r="J41" s="428"/>
    </row>
    <row r="42" spans="1:10" ht="37.5">
      <c r="A42" s="710" t="s">
        <v>1172</v>
      </c>
      <c r="B42" s="704"/>
      <c r="C42" s="705">
        <f>SUM('Niveau 1-SommExec'!D8,'Niveau 1-SommExec'!D10:D14)</f>
        <v>0</v>
      </c>
      <c r="D42" s="391"/>
      <c r="E42" s="391"/>
      <c r="F42" s="391"/>
      <c r="G42" s="391"/>
      <c r="H42" s="391"/>
      <c r="I42" s="391"/>
      <c r="J42" s="428"/>
    </row>
    <row r="43" spans="1:10" ht="25">
      <c r="A43" s="711" t="s">
        <v>1173</v>
      </c>
      <c r="B43" s="712"/>
      <c r="C43" s="713" t="str">
        <f>IF(C41&gt;2*C42,"Les calculs effectués indiquent que les facteurs d'entrée par défaut pour les déchets peuvent surestimer les rejets de mercure provenant de ces sources.","Les calculs effectués indiquent que les facteurs d'entrée par défaut pour les déchets généraux ne surestiment pas forcément les rejets de mercure provenant de ces sources.")</f>
        <v>Les calculs effectués indiquent que les facteurs d'entrée par défaut pour les déchets généraux ne surestiment pas forcément les rejets de mercure provenant de ces sources.</v>
      </c>
      <c r="D43" s="713"/>
      <c r="E43" s="713"/>
      <c r="F43" s="713"/>
      <c r="G43" s="713"/>
      <c r="H43" s="713"/>
      <c r="I43" s="713"/>
      <c r="J43" s="494"/>
    </row>
  </sheetData>
  <sheetProtection algorithmName="SHA-512" hashValue="5IR8B6cdgSkXl+fS+4z9/aOOssfqpRMReL+2ZT6eo37Vb8OclWxv4cRrij6k7YlKDqRwlkg+ltNkaeQdF/eLvA==" saltValue="xF9TscuorHfWVJIowXo8ug==" spinCount="100000" sheet="1" objects="1" scenarios="1"/>
  <mergeCells count="3">
    <mergeCell ref="G7:L7"/>
    <mergeCell ref="A2:M2"/>
    <mergeCell ref="F4:G4"/>
  </mergeCells>
  <conditionalFormatting sqref="A2">
    <cfRule type="expression" dxfId="39" priority="34" stopIfTrue="1">
      <formula>$A$2&lt;&gt;""</formula>
    </cfRule>
  </conditionalFormatting>
  <conditionalFormatting sqref="F9:F10 F13 F26:F27 F29 F16 F19 F22:F23">
    <cfRule type="expression" dxfId="38" priority="36" stopIfTrue="1">
      <formula>AND(B9="y",O9="n")</formula>
    </cfRule>
  </conditionalFormatting>
  <conditionalFormatting sqref="E14:J14 E15:G15">
    <cfRule type="expression" dxfId="37" priority="24">
      <formula>OR($E$13="y", $E$13="s", $E$13="o", $E$13="da")</formula>
    </cfRule>
  </conditionalFormatting>
  <conditionalFormatting sqref="H15:J15">
    <cfRule type="expression" dxfId="36" priority="23">
      <formula>OR($E$13="y", $E$13="s", $E$13="o", $E$13="da")</formula>
    </cfRule>
  </conditionalFormatting>
  <conditionalFormatting sqref="G15">
    <cfRule type="expression" dxfId="35" priority="22">
      <formula>$G$15&lt;0</formula>
    </cfRule>
  </conditionalFormatting>
  <conditionalFormatting sqref="D15">
    <cfRule type="expression" dxfId="34" priority="21">
      <formula>$G$15&lt;0</formula>
    </cfRule>
  </conditionalFormatting>
  <conditionalFormatting sqref="E17:H17 E18:G18">
    <cfRule type="expression" dxfId="33" priority="20">
      <formula>OR($E$16="y", $E$16="s", $E$16="o", $E$16="da")</formula>
    </cfRule>
  </conditionalFormatting>
  <conditionalFormatting sqref="H18:J18">
    <cfRule type="expression" dxfId="32" priority="19">
      <formula>OR($E$16="y", $E$16="s", $E$16="o", $E$16="da")</formula>
    </cfRule>
  </conditionalFormatting>
  <conditionalFormatting sqref="G18">
    <cfRule type="expression" dxfId="31" priority="18">
      <formula>$G$18&lt;0</formula>
    </cfRule>
  </conditionalFormatting>
  <conditionalFormatting sqref="D18">
    <cfRule type="expression" dxfId="30" priority="17">
      <formula>$G$18&lt;0</formula>
    </cfRule>
  </conditionalFormatting>
  <conditionalFormatting sqref="E20:J20 E21:G21">
    <cfRule type="expression" dxfId="29" priority="16">
      <formula>OR($E$19="y", $E$19="s", $E$19="o", $E$19="da")</formula>
    </cfRule>
  </conditionalFormatting>
  <conditionalFormatting sqref="H21:J21">
    <cfRule type="expression" dxfId="28" priority="15">
      <formula>OR($E$19="y", $E$19="s", $E$19="o", $E$19="da")</formula>
    </cfRule>
  </conditionalFormatting>
  <conditionalFormatting sqref="G21">
    <cfRule type="expression" dxfId="27" priority="14">
      <formula>$G$21&lt;0</formula>
    </cfRule>
  </conditionalFormatting>
  <conditionalFormatting sqref="D21">
    <cfRule type="expression" dxfId="26" priority="13">
      <formula>$G$21&lt;0</formula>
    </cfRule>
  </conditionalFormatting>
  <conditionalFormatting sqref="E30:J30 E31:G31">
    <cfRule type="expression" dxfId="25" priority="12">
      <formula>OR($E$29="y", $E$29="s", $E$29="o", $E$29="da")</formula>
    </cfRule>
  </conditionalFormatting>
  <conditionalFormatting sqref="H31:J31">
    <cfRule type="expression" dxfId="24" priority="11">
      <formula>OR($E$29="y", $E$29="s", $E$29="o", $E$29="da")</formula>
    </cfRule>
  </conditionalFormatting>
  <conditionalFormatting sqref="G31">
    <cfRule type="expression" dxfId="23" priority="10">
      <formula>$G$31&lt;0</formula>
    </cfRule>
  </conditionalFormatting>
  <conditionalFormatting sqref="D31">
    <cfRule type="expression" dxfId="22" priority="9">
      <formula>$G$31&lt;0</formula>
    </cfRule>
  </conditionalFormatting>
  <conditionalFormatting sqref="I17:J17">
    <cfRule type="expression" dxfId="21" priority="8">
      <formula>OR($E$16="y", $E$16="s", $E$16="o", $E$16="da")</formula>
    </cfRule>
  </conditionalFormatting>
  <conditionalFormatting sqref="B5:G5">
    <cfRule type="expression" dxfId="20" priority="7">
      <formula>OR(AND($B$4=no,$E$4=yes),$B$4="",$E$4="")</formula>
    </cfRule>
  </conditionalFormatting>
  <conditionalFormatting sqref="H5">
    <cfRule type="expression" dxfId="19" priority="6">
      <formula>OR(AND($B$4=no,$E$4=yes),$B$4="",$E$4="")</formula>
    </cfRule>
  </conditionalFormatting>
  <dataValidations xWindow="289" yWindow="927" count="14">
    <dataValidation type="list" allowBlank="1" showDropDown="1" showInputMessage="1" showErrorMessage="1" errorTitle="Input error" error="Enter only y, n or ? (or translation of these)" sqref="B28" xr:uid="{00000000-0002-0000-0800-000000000000}">
      <formula1>yn?</formula1>
    </dataValidation>
    <dataValidation type="list" allowBlank="1" showInputMessage="1" showErrorMessage="1" sqref="E29 E13 E16 E19" xr:uid="{00000000-0002-0000-0800-000001000000}">
      <formula1>yn</formula1>
    </dataValidation>
    <dataValidation allowBlank="1" showInputMessage="1" showErrorMessage="1" promptTitle="Contrôles" prompt="Inscrivez le pourcentage du taux d'activité total qui est utilisé dans les installations avec  contrôle des gaz acides avec du calcaire (ou absorbant de gaz acides similaire) et rétention FF ou ESP PM en aval très efficicace" sqref="I21 I15 I18" xr:uid="{00000000-0002-0000-0800-000002000000}"/>
    <dataValidation allowBlank="1" showInputMessage="1" showErrorMessage="1" promptTitle="Contrôles" prompt="Inscrivez le pourcentage du taux d'activité total qui est utilisé dans les installations avec  absorbants spécifiques au mercure et filtre en tissu (FF) en aval" sqref="J21 J15 J18" xr:uid="{00000000-0002-0000-0800-000003000000}"/>
    <dataValidation allowBlank="1" showInputMessage="1" showErrorMessage="1" promptTitle="Contrôles" prompt="Inscrivez le pourcentage du taux d'activité total qui est utilisé dans les installations avec  PM réduc, précipitateur électrostatique (ESP) simple, ou équivalent" sqref="H21 H15 H18" xr:uid="{00000000-0002-0000-0800-000004000000}"/>
    <dataValidation allowBlank="1" showErrorMessage="1" promptTitle="Controls" prompt="No filters in place (automatically calculated)" sqref="G15 G18 G21 G31" xr:uid="{00000000-0002-0000-0800-000005000000}"/>
    <dataValidation allowBlank="1" showInputMessage="1" showErrorMessage="1" promptTitle="Controls" prompt="No treatment; direct release from sewage pipe" sqref="G30" xr:uid="{00000000-0002-0000-0800-000006000000}"/>
    <dataValidation allowBlank="1" showInputMessage="1" showErrorMessage="1" promptTitle="Contrôles" prompt="Inscrivez le pourcentage du taux d'activité total qui est utilisé dans les installations avec traitement mécanique uniquement" sqref="H31" xr:uid="{00000000-0002-0000-0800-000007000000}"/>
    <dataValidation allowBlank="1" showInputMessage="1" showErrorMessage="1" promptTitle="Contrôles" prompt="Inscrivez le pourcentage du taux d'activité total qui est utilisé dans les installations avec traitement mécanique et biologique (boue activée); pas d’épandage des boues sur le sol" sqref="I31" xr:uid="{00000000-0002-0000-0800-000008000000}"/>
    <dataValidation allowBlank="1" showInputMessage="1" showErrorMessage="1" promptTitle="Contrôles" prompt="Inscrivez le pourcentage du taux d'activité total qui est utilisé dans les installations avec traitement mécanique et biologique (boue activée) ; 40% utilisée pour l’épandage de boue sur le sol" sqref="J31" xr:uid="{00000000-0002-0000-0800-000009000000}"/>
    <dataValidation type="list" allowBlank="1" showInputMessage="1" showErrorMessage="1" prompt="Entrez votre meilleure estimation, vous pourrez la réviser plus tard ; documentez votre choix dans votre rapport. Votre choix influence le calcul des rejets des produits à base de mercure." sqref="E4 B4" xr:uid="{00000000-0002-0000-0800-00000C000000}">
      <formula1>yn</formula1>
    </dataValidation>
    <dataValidation allowBlank="1" showInputMessage="1" showErrorMessage="1" prompt="Utiliser des chiffres et décimales seulement." sqref="C9:C10 C13 C16 C19 C22:C23 C26:C27 C29" xr:uid="{00000000-0002-0000-0800-00000E000000}"/>
    <dataValidation type="list" allowBlank="1" showInputMessage="1" showErrorMessage="1" errorTitle="Input error" error="Enter only y, n or ? (or translation of these)" prompt="Entrer: O, N ou ?" sqref="B9 B10 B13 B16 B19 B22 B23 B26 B27 B29" xr:uid="{00000000-0002-0000-0800-00000F000000}">
      <formula1>yn?</formula1>
    </dataValidation>
    <dataValidation allowBlank="1" showInputMessage="1" showErrorMessage="1" promptTitle="Contrôles" prompt="La cellule est bleue, si vous avez modifié la sélection des contrôles par défaut entrée à l'origine. Pour le restaurer, entrez la sélection des contrôles par défaut indiquée dans l'onglet &quot;Contrôles par défaut&quot;" sqref="M31 M21 M18 M15" xr:uid="{00000000-0002-0000-0800-000013000000}"/>
  </dataValidations>
  <pageMargins left="0.39370078740157483" right="0.39370078740157483" top="0.74803149606299213" bottom="0.74803149606299213" header="0.31496062992125984" footer="0.31496062992125984"/>
  <pageSetup paperSize="9" scale="6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9" id="{C53B2ABA-6D60-4483-9AF2-0415F414F5A4}">
            <xm:f>'Insérer résultats IN2'!$K$64&lt;&gt;""</xm:f>
            <x14:dxf>
              <font>
                <color rgb="FFFF0000"/>
              </font>
            </x14:dxf>
          </x14:cfRule>
          <xm:sqref>A34</xm:sqref>
        </x14:conditionalFormatting>
        <x14:conditionalFormatting xmlns:xm="http://schemas.microsoft.com/office/excel/2006/main">
          <x14:cfRule type="expression" priority="4" id="{755A1AFB-CCE1-4A24-A191-D5D09FB302C1}">
            <xm:f>OR($G$15&lt;&gt;'Contrôles par défaut'!$C$42,$H$15&lt;&gt;'Contrôles par défaut'!$D$42,$I$15&lt;&gt;'Contrôles par défaut'!$E$42,$J$15&lt;&gt;'Contrôles par défaut'!$F$42,$K$15&lt;&gt;'Contrôles par défaut'!$G$42,$L$15&lt;&gt;'Contrôles par défaut'!$H$42)</xm:f>
            <x14:dxf>
              <font>
                <color theme="1"/>
              </font>
              <fill>
                <patternFill>
                  <bgColor theme="8" tint="0.39994506668294322"/>
                </patternFill>
              </fill>
            </x14:dxf>
          </x14:cfRule>
          <xm:sqref>M15</xm:sqref>
        </x14:conditionalFormatting>
        <x14:conditionalFormatting xmlns:xm="http://schemas.microsoft.com/office/excel/2006/main">
          <x14:cfRule type="expression" priority="3" id="{DDD52C21-414F-40E2-9992-260BACD087D5}">
            <xm:f>OR($G$18&lt;&gt;'Contrôles par défaut'!$C$45,$H$18&lt;&gt;'Contrôles par défaut'!$D$45,$I$18&lt;&gt;'Contrôles par défaut'!$E$45,$J$18&lt;&gt;'Contrôles par défaut'!$F$45,$K$18&lt;&gt;'Contrôles par défaut'!$G$45,$L$18&lt;&gt;'Contrôles par défaut'!$H$45)</xm:f>
            <x14:dxf>
              <font>
                <color theme="1"/>
              </font>
              <fill>
                <patternFill>
                  <bgColor theme="8" tint="0.39994506668294322"/>
                </patternFill>
              </fill>
            </x14:dxf>
          </x14:cfRule>
          <xm:sqref>M18</xm:sqref>
        </x14:conditionalFormatting>
        <x14:conditionalFormatting xmlns:xm="http://schemas.microsoft.com/office/excel/2006/main">
          <x14:cfRule type="expression" priority="2" id="{3C0F1962-9382-413A-8D15-DD6172622E0B}">
            <xm:f>OR($G$21&lt;&gt;'Contrôles par défaut'!$C$48,$H$21&lt;&gt;'Contrôles par défaut'!$D$48,$I$21&lt;&gt;'Contrôles par défaut'!$E$48,$J$21&lt;&gt;'Contrôles par défaut'!$F$48,$K$21&lt;&gt;'Contrôles par défaut'!$G$48,$L$21&lt;&gt;'Contrôles par défaut'!$H$48)</xm:f>
            <x14:dxf>
              <font>
                <color theme="1"/>
              </font>
              <fill>
                <patternFill>
                  <bgColor theme="8" tint="0.39994506668294322"/>
                </patternFill>
              </fill>
            </x14:dxf>
          </x14:cfRule>
          <xm:sqref>M21</xm:sqref>
        </x14:conditionalFormatting>
        <x14:conditionalFormatting xmlns:xm="http://schemas.microsoft.com/office/excel/2006/main">
          <x14:cfRule type="expression" priority="1" id="{3D7B942E-11B5-4FF2-AC27-F8AF61D08162}">
            <xm:f>OR($G$31&lt;&gt;'Contrôles par défaut'!$C$51,$H$31&lt;&gt;'Contrôles par défaut'!$D$51,$I$31&lt;&gt;'Contrôles par défaut'!$E$51,$J$31&lt;&gt;'Contrôles par défaut'!$F$51,$K$31&lt;&gt;'Contrôles par défaut'!$G$51,$L$31&lt;&gt;'Contrôles par défaut'!$H$51)</xm:f>
            <x14:dxf>
              <font>
                <color theme="1"/>
              </font>
              <fill>
                <patternFill>
                  <bgColor theme="8" tint="0.39994506668294322"/>
                </patternFill>
              </fill>
            </x14:dxf>
          </x14:cfRule>
          <xm:sqref>M31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B5EC5F424DF0438C02C794499518FB" ma:contentTypeVersion="0" ma:contentTypeDescription="Create a new document." ma:contentTypeScope="" ma:versionID="5ab65c60870f55e49362d4efb7fd413f">
  <xsd:schema xmlns:xsd="http://www.w3.org/2001/XMLSchema" xmlns:xs="http://www.w3.org/2001/XMLSchema" xmlns:p="http://schemas.microsoft.com/office/2006/metadata/properties" targetNamespace="http://schemas.microsoft.com/office/2006/metadata/properties" ma:root="true" ma:fieldsID="62ea347ee6c5493b9e14b1c149bab3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267E3B-D061-4D8F-9CB4-985A0A9D1A73}">
  <ds:schemaRefs>
    <ds:schemaRef ds:uri="http://schemas.microsoft.com/sharepoint/v3/contenttype/forms"/>
  </ds:schemaRefs>
</ds:datastoreItem>
</file>

<file path=customXml/itemProps2.xml><?xml version="1.0" encoding="utf-8"?>
<ds:datastoreItem xmlns:ds="http://schemas.openxmlformats.org/officeDocument/2006/customXml" ds:itemID="{73072A52-623B-42B3-804C-D8F39A917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548986E-99A0-4F90-865A-B2513F560665}">
  <ds:schemaRefs>
    <ds:schemaRef ds:uri="http://purl.org/dc/elements/1.1/"/>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38</vt:i4>
      </vt:variant>
    </vt:vector>
  </HeadingPairs>
  <TitlesOfParts>
    <vt:vector size="70" baseType="lpstr">
      <vt:lpstr>Etape 1-Données pays</vt:lpstr>
      <vt:lpstr>Etape 2-Energie</vt:lpstr>
      <vt:lpstr>5-1 Fuels</vt:lpstr>
      <vt:lpstr>Etape 3-Métaux-MatPre</vt:lpstr>
      <vt:lpstr>5-2 Prim metal</vt:lpstr>
      <vt:lpstr>5-3 Other min + mat</vt:lpstr>
      <vt:lpstr>Etape 4-Utilis. Industrielle Hg</vt:lpstr>
      <vt:lpstr>5-4 Int Hg in Industry</vt:lpstr>
      <vt:lpstr>Etape5-Trait.+recyclage déchets</vt:lpstr>
      <vt:lpstr>5-8 Waste incin</vt:lpstr>
      <vt:lpstr>5-9 Waste depo and water treatm</vt:lpstr>
      <vt:lpstr>5-7 Recycl metals</vt:lpstr>
      <vt:lpstr>Etape6-Produits-substances Hg</vt:lpstr>
      <vt:lpstr>Countrydata</vt:lpstr>
      <vt:lpstr>5-5 Cons prod</vt:lpstr>
      <vt:lpstr>5-6 Other int use</vt:lpstr>
      <vt:lpstr>Etape7-Crématoriums-cimetières</vt:lpstr>
      <vt:lpstr>Etape8-Autres sources Hg</vt:lpstr>
      <vt:lpstr>Insérer résultats IN2</vt:lpstr>
      <vt:lpstr>Range-thresholds</vt:lpstr>
      <vt:lpstr>Unités de conversion</vt:lpstr>
      <vt:lpstr>Niveau 1-SommExec</vt:lpstr>
      <vt:lpstr>Niveau 1-Graphiques</vt:lpstr>
      <vt:lpstr>Niveau1- sources Hg identifiées</vt:lpstr>
      <vt:lpstr>Niveau 1-Sommaire des entréesHg</vt:lpstr>
      <vt:lpstr>Niveau 1-Sommaire des rejets</vt:lpstr>
      <vt:lpstr>Niveau 1- Sommaire général</vt:lpstr>
      <vt:lpstr>Level 2-introduction</vt:lpstr>
      <vt:lpstr>Level 2-summary</vt:lpstr>
      <vt:lpstr>Contrôles par défaut</vt:lpstr>
      <vt:lpstr>Translation note</vt:lpstr>
      <vt:lpstr>5-10 Cremat and cem</vt:lpstr>
      <vt:lpstr>'5-7 Recycl metals'!_Ref49683512</vt:lpstr>
      <vt:lpstr>'5-7 Recycl metals'!_Ref49683522</vt:lpstr>
      <vt:lpstr>'5-7 Recycl metals'!_Ref49683534</vt:lpstr>
      <vt:lpstr>'5-9 Waste depo and water treatm'!_Ref50871338</vt:lpstr>
      <vt:lpstr>'5-9 Waste depo and water treatm'!_Ref50871349</vt:lpstr>
      <vt:lpstr>'5-6 Other int use'!_Ref52957575</vt:lpstr>
      <vt:lpstr>_SeF4</vt:lpstr>
      <vt:lpstr>Country</vt:lpstr>
      <vt:lpstr>no</vt:lpstr>
      <vt:lpstr>pres</vt:lpstr>
      <vt:lpstr>'Etape 1-Données pays'!Print_Area</vt:lpstr>
      <vt:lpstr>'Etape 2-Energie'!Print_Area</vt:lpstr>
      <vt:lpstr>'Etape 3-Métaux-MatPre'!Print_Area</vt:lpstr>
      <vt:lpstr>'Etape 4-Utilis. Industrielle Hg'!Print_Area</vt:lpstr>
      <vt:lpstr>'Etape5-Trait.+recyclage déchets'!Print_Area</vt:lpstr>
      <vt:lpstr>'Etape6-Produits-substances Hg'!Print_Area</vt:lpstr>
      <vt:lpstr>'Etape7-Crématoriums-cimetières'!Print_Area</vt:lpstr>
      <vt:lpstr>'Etape8-Autres sources Hg'!Print_Area</vt:lpstr>
      <vt:lpstr>'Insérer résultats IN2'!Print_Area</vt:lpstr>
      <vt:lpstr>'Level 2-summary'!Print_Area</vt:lpstr>
      <vt:lpstr>'Niveau 1- Sommaire général'!Print_Area</vt:lpstr>
      <vt:lpstr>'Niveau 1-Graphiques'!Print_Area</vt:lpstr>
      <vt:lpstr>'Niveau 1-Sommaire des entréesHg'!Print_Area</vt:lpstr>
      <vt:lpstr>'Niveau 1-Sommaire des rejets'!Print_Area</vt:lpstr>
      <vt:lpstr>'Niveau 1-SommExec'!Print_Area</vt:lpstr>
      <vt:lpstr>'Niveau1- sources Hg identifiées'!Print_Area</vt:lpstr>
      <vt:lpstr>que</vt:lpstr>
      <vt:lpstr>quest</vt:lpstr>
      <vt:lpstr>quest2</vt:lpstr>
      <vt:lpstr>trans_warning</vt:lpstr>
      <vt:lpstr>trans1</vt:lpstr>
      <vt:lpstr>trans2</vt:lpstr>
      <vt:lpstr>trans3</vt:lpstr>
      <vt:lpstr>trans4</vt:lpstr>
      <vt:lpstr>trans5</vt:lpstr>
      <vt:lpstr>yes</vt:lpstr>
      <vt:lpstr>yn</vt:lpstr>
      <vt:lpstr>yn?</vt:lpstr>
    </vt:vector>
  </TitlesOfParts>
  <Company>COWI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dc:creator>
  <cp:lastModifiedBy>Angeline Djampou</cp:lastModifiedBy>
  <cp:lastPrinted>2012-09-10T09:31:09Z</cp:lastPrinted>
  <dcterms:created xsi:type="dcterms:W3CDTF">2005-10-18T14:46:44Z</dcterms:created>
  <dcterms:modified xsi:type="dcterms:W3CDTF">2019-11-08T19:19:53Z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142642220</vt:i4>
  </property>
  <property fmtid="{D5CDD505-2E9C-101B-9397-08002B2CF9AE}" pid="3" name="_NewReviewCycle">
    <vt:lpwstr/>
  </property>
  <property fmtid="{D5CDD505-2E9C-101B-9397-08002B2CF9AE}" pid="4" name="_EmailSubject">
    <vt:lpwstr>Hg-toolkit-IL1-JAM_SLAR_ver1-JAM-KS.xls - et par hurtige kommentarer/spørgsmål</vt:lpwstr>
  </property>
  <property fmtid="{D5CDD505-2E9C-101B-9397-08002B2CF9AE}" pid="5" name="_AuthorEmail">
    <vt:lpwstr>SLAR@cowi.dk</vt:lpwstr>
  </property>
  <property fmtid="{D5CDD505-2E9C-101B-9397-08002B2CF9AE}" pid="6" name="_AuthorEmailDisplayName">
    <vt:lpwstr>Søren Larsen</vt:lpwstr>
  </property>
  <property fmtid="{D5CDD505-2E9C-101B-9397-08002B2CF9AE}" pid="7" name="_PreviousAdHocReviewCycleID">
    <vt:i4>-217575388</vt:i4>
  </property>
  <property fmtid="{D5CDD505-2E9C-101B-9397-08002B2CF9AE}" pid="8" name="_ReviewingToolsShownOnce">
    <vt:lpwstr/>
  </property>
  <property fmtid="{D5CDD505-2E9C-101B-9397-08002B2CF9AE}" pid="9" name="ContentTypeId">
    <vt:lpwstr>0x010100C4B5EC5F424DF0438C02C794499518FB</vt:lpwstr>
  </property>
</Properties>
</file>