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djampoua\Dropbox\tagging 2019\"/>
    </mc:Choice>
  </mc:AlternateContent>
  <xr:revisionPtr revIDLastSave="0" documentId="8_{E8CA5815-0036-4B08-8C5C-6E000E978CFB}" xr6:coauthVersionLast="41" xr6:coauthVersionMax="41" xr10:uidLastSave="{00000000-0000-0000-0000-000000000000}"/>
  <bookViews>
    <workbookView xWindow="-110" yWindow="-110" windowWidth="19420" windowHeight="10420" tabRatio="870" xr2:uid="{00000000-000D-0000-FFFF-FFFF00000000}"/>
  </bookViews>
  <sheets>
    <sheet name="Этап 1 - Информация о стране" sheetId="18" r:id="rId1"/>
    <sheet name="Этап 2 - Потребление энергии" sheetId="14" r:id="rId2"/>
    <sheet name="5-1 Fuels" sheetId="2" state="hidden" r:id="rId3"/>
    <sheet name="Этап 3 - Металлы - Сырье" sheetId="15" r:id="rId4"/>
    <sheet name="5-2 Prim metal" sheetId="5" state="hidden" r:id="rId5"/>
    <sheet name="5-3 Other min + mat" sheetId="7" state="hidden" r:id="rId6"/>
    <sheet name="Этап 4-Пром. прим. Hg" sheetId="16" r:id="rId7"/>
    <sheet name="5-4 Int Hg in Industry" sheetId="4" state="hidden" r:id="rId8"/>
    <sheet name="Этап5-Обраб. отходов+перераб." sheetId="19" r:id="rId9"/>
    <sheet name="5-8 Waste incin" sheetId="8" state="hidden" r:id="rId10"/>
    <sheet name="5-9 Waste depo and water treatm" sheetId="11" state="hidden" r:id="rId11"/>
    <sheet name="5-7 Recycl metals" sheetId="10" state="hidden" r:id="rId12"/>
    <sheet name="Этап 6-Hg-продукция - вещ-ва" sheetId="17" r:id="rId13"/>
    <sheet name="Countrydata" sheetId="40" state="hidden" r:id="rId14"/>
    <sheet name="5-5 Cons prod" sheetId="3" state="hidden" r:id="rId15"/>
    <sheet name="5-6 Other int use" sheetId="9" state="hidden" r:id="rId16"/>
    <sheet name="Этап 7 - Крематории-кладбища" sheetId="25" r:id="rId17"/>
    <sheet name="Этап 8 - Прочие источники ртути" sheetId="26" r:id="rId18"/>
    <sheet name="Вставьте рез. яч. IL2 " sheetId="41" r:id="rId19"/>
    <sheet name="Range-thresholds" sheetId="37" state="hidden" r:id="rId20"/>
    <sheet name="Преобразование единиц" sheetId="42" r:id="rId21"/>
    <sheet name="Уровень 1-Кратк. сод." sheetId="30" r:id="rId22"/>
    <sheet name="Уровень 1 - Схемы" sheetId="39" r:id="rId23"/>
    <sheet name="Уровень 1 - Опред. ист. Hg" sheetId="32" r:id="rId24"/>
    <sheet name="Ур.1-свод. инф. по факт.вх.Hg" sheetId="44" r:id="rId25"/>
    <sheet name="Ур.1-свод.инф. по выбросам" sheetId="31" r:id="rId26"/>
    <sheet name="Уровень 1 - Суммарный итог" sheetId="29" r:id="rId27"/>
    <sheet name="Стандартные  настройки контроля" sheetId="45" r:id="rId28"/>
    <sheet name="Level 2-introduction" sheetId="6" state="hidden" r:id="rId29"/>
    <sheet name="Level 2-summary" sheetId="12" state="hidden" r:id="rId30"/>
    <sheet name="Controls defaults" sheetId="43" state="hidden" r:id="rId31"/>
    <sheet name="Translation note" sheetId="36" state="hidden" r:id="rId32"/>
    <sheet name="5-10 Cremat and cem" sheetId="13" state="hidden" r:id="rId33"/>
  </sheets>
  <externalReferences>
    <externalReference r:id="rId34"/>
    <externalReference r:id="rId35"/>
  </externalReferences>
  <definedNames>
    <definedName name="_Ref49683512" localSheetId="11">'5-7 Recycl metals'!$C$6</definedName>
    <definedName name="_Ref49683522" localSheetId="11">'5-7 Recycl metals'!$C$8</definedName>
    <definedName name="_Ref49683534" localSheetId="11">'5-7 Recycl metals'!$C$10</definedName>
    <definedName name="_Ref50871338" localSheetId="10">'5-9 Waste depo and water treatm'!$C$11</definedName>
    <definedName name="_Ref50871349" localSheetId="10">'5-9 Waste depo and water treatm'!$C$13</definedName>
    <definedName name="_Ref52957575" localSheetId="15">'5-6 Other int use'!$C$53</definedName>
    <definedName name="_SeF4" localSheetId="27">'[1]Translation note'!$B$16</definedName>
    <definedName name="_SeF4">'Translation note'!$B$16</definedName>
    <definedName name="Country" localSheetId="27">[1]Countrydata!$A$8:$A$206</definedName>
    <definedName name="Country">Countrydata!$A$8:$A$206</definedName>
    <definedName name="joo">'[2]Translation note'!$B$4</definedName>
    <definedName name="no" localSheetId="27">'[1]Translation note'!$B$5</definedName>
    <definedName name="no">'Translation note'!$B$5</definedName>
    <definedName name="noo">'[2]Translation note'!$B$5</definedName>
    <definedName name="pres" localSheetId="27">'[1]Translation note'!$B$3</definedName>
    <definedName name="pres">'Translation note'!$B$3</definedName>
    <definedName name="_xlnm.Print_Area" localSheetId="29">'Level 2-summary'!$A$11:$E$71</definedName>
    <definedName name="_xlnm.Print_Area" localSheetId="18">'Вставьте рез. яч. IL2 '!$A$9:$B$79</definedName>
    <definedName name="_xlnm.Print_Area" localSheetId="24">'Ур.1-свод. инф. по факт.вх.Hg'!$A$2:$D$73</definedName>
    <definedName name="_xlnm.Print_Area" localSheetId="25">'Ур.1-свод.инф. по выбросам'!$A$1:$G$75</definedName>
    <definedName name="_xlnm.Print_Area" localSheetId="23">'Уровень 1 - Опред. ист. Hg'!$A$2:$B$72</definedName>
    <definedName name="_xlnm.Print_Area" localSheetId="26">'Уровень 1 - Суммарный итог'!$A$2:$D$73</definedName>
    <definedName name="_xlnm.Print_Area" localSheetId="22">'Уровень 1 - Схемы'!$A$6:$A$25</definedName>
    <definedName name="_xlnm.Print_Area" localSheetId="21">'Уровень 1-Кратк. сод.'!$A$1:$J$33</definedName>
    <definedName name="_xlnm.Print_Area" localSheetId="0">'Этап 1 - Информация о стране'!$A$3:$B$20</definedName>
    <definedName name="_xlnm.Print_Area" localSheetId="1">'Этап 2 - Потребление энергии'!$A$1:$M$26</definedName>
    <definedName name="_xlnm.Print_Area" localSheetId="3">'Этап 3 - Металлы - Сырье'!$A$1:$M$31</definedName>
    <definedName name="_xlnm.Print_Area" localSheetId="6">'Этап 4-Пром. прим. Hg'!$A$1:$L$18</definedName>
    <definedName name="_xlnm.Print_Area" localSheetId="12">'Этап 6-Hg-продукция - вещ-ва'!$A$1:$M$49</definedName>
    <definedName name="_xlnm.Print_Area" localSheetId="16">'Этап 7 - Крематории-кладбища'!$A$1:$L$6</definedName>
    <definedName name="_xlnm.Print_Area" localSheetId="17">'Этап 8 - Прочие источники ртути'!$A$1:$B$30</definedName>
    <definedName name="_xlnm.Print_Area" localSheetId="8">'Этап5-Обраб. отходов+перераб.'!$A$1:$M$29</definedName>
    <definedName name="que" localSheetId="27">'[1]Translation note'!$B$6</definedName>
    <definedName name="que">'Translation note'!$B$6</definedName>
    <definedName name="quest" localSheetId="27">'[1]Translation note'!$B$7</definedName>
    <definedName name="quest">'Translation note'!$B$7</definedName>
    <definedName name="quest2" localSheetId="27">'[1]Translation note'!$B$8</definedName>
    <definedName name="quest2">'Translation note'!$B$8</definedName>
    <definedName name="sdf">'[2]Translation note'!$B$6</definedName>
    <definedName name="trans_warning" localSheetId="27">'[1]Translation note'!$B$15</definedName>
    <definedName name="trans_warning">'Translation note'!$B$15</definedName>
    <definedName name="trans1" localSheetId="27">'[1]Translation note'!$B$10</definedName>
    <definedName name="trans1">'Translation note'!$B$10</definedName>
    <definedName name="trans2" localSheetId="27">'[1]Translation note'!$B$11</definedName>
    <definedName name="trans2">'Translation note'!$B$11</definedName>
    <definedName name="trans3" localSheetId="27">'[1]Translation note'!$B$12</definedName>
    <definedName name="trans3">'Translation note'!$B$12</definedName>
    <definedName name="trans4" localSheetId="27">'[1]Translation note'!$B$13</definedName>
    <definedName name="trans4">'Translation note'!$B$13</definedName>
    <definedName name="trans5" localSheetId="27">'[1]Translation note'!$B$14</definedName>
    <definedName name="trans5">'Translation note'!$B$14</definedName>
    <definedName name="yes" localSheetId="27">'[1]Translation note'!$B$4</definedName>
    <definedName name="yes">'Translation note'!$B$4</definedName>
    <definedName name="yn" localSheetId="27">'[1]Translation note'!$B$4:$B$5</definedName>
    <definedName name="yn">'Translation note'!$B$4:$B$5</definedName>
    <definedName name="yn?" localSheetId="27">'[1]Translation note'!$B$4:$B$6</definedName>
    <definedName name="yn?">'Translation note'!$B$4:$B$6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 i="32" l="1"/>
  <c r="A4" i="32"/>
  <c r="D206" i="40" l="1"/>
  <c r="C206" i="40"/>
  <c r="D205" i="40"/>
  <c r="D204" i="40"/>
  <c r="D203" i="40"/>
  <c r="D202" i="40"/>
  <c r="E201" i="40"/>
  <c r="D201" i="40"/>
  <c r="D200" i="40"/>
  <c r="E199" i="40"/>
  <c r="D199" i="40" s="1"/>
  <c r="D198" i="40"/>
  <c r="D197" i="40"/>
  <c r="D195" i="40"/>
  <c r="D193" i="40"/>
  <c r="D192" i="40"/>
  <c r="D191" i="40"/>
  <c r="D190" i="40"/>
  <c r="D189" i="40"/>
  <c r="D187" i="40"/>
  <c r="D186" i="40"/>
  <c r="D185" i="40"/>
  <c r="D184" i="40"/>
  <c r="D183" i="40"/>
  <c r="D182" i="40"/>
  <c r="D181" i="40"/>
  <c r="D180" i="40"/>
  <c r="E179" i="40"/>
  <c r="D179" i="40" s="1"/>
  <c r="D178" i="40"/>
  <c r="D177" i="40"/>
  <c r="D174" i="40"/>
  <c r="D173" i="40"/>
  <c r="D172" i="40"/>
  <c r="D170" i="40"/>
  <c r="D169" i="40"/>
  <c r="D168" i="40"/>
  <c r="D165" i="40"/>
  <c r="D164" i="40"/>
  <c r="D163" i="40"/>
  <c r="D162" i="40"/>
  <c r="D161" i="40"/>
  <c r="D160" i="40"/>
  <c r="D159" i="40"/>
  <c r="D158" i="40"/>
  <c r="D157" i="40"/>
  <c r="D156" i="40"/>
  <c r="D155" i="40"/>
  <c r="D154" i="40"/>
  <c r="D153" i="40"/>
  <c r="D152" i="40"/>
  <c r="D151" i="40"/>
  <c r="D150" i="40"/>
  <c r="D149" i="40"/>
  <c r="D147" i="40"/>
  <c r="D144" i="40"/>
  <c r="D143" i="40"/>
  <c r="D142" i="40"/>
  <c r="D141" i="40"/>
  <c r="D140" i="40"/>
  <c r="D139" i="40"/>
  <c r="D138" i="40"/>
  <c r="D137" i="40"/>
  <c r="D135" i="40"/>
  <c r="D134" i="40"/>
  <c r="D133" i="40"/>
  <c r="D132" i="40"/>
  <c r="D129" i="40"/>
  <c r="E128" i="40"/>
  <c r="D128" i="40" s="1"/>
  <c r="D127" i="40"/>
  <c r="D126" i="40"/>
  <c r="D125" i="40"/>
  <c r="D124" i="40"/>
  <c r="D123" i="40"/>
  <c r="D122" i="40"/>
  <c r="D121" i="40"/>
  <c r="D120" i="40"/>
  <c r="D118" i="40"/>
  <c r="D117" i="40"/>
  <c r="D116" i="40"/>
  <c r="D115" i="40"/>
  <c r="D114" i="40"/>
  <c r="D113" i="40"/>
  <c r="D112" i="40"/>
  <c r="E111" i="40"/>
  <c r="D111" i="40"/>
  <c r="D110" i="40"/>
  <c r="D108" i="40"/>
  <c r="D107" i="40"/>
  <c r="D106" i="40"/>
  <c r="D105" i="40"/>
  <c r="D104" i="40"/>
  <c r="D103" i="40"/>
  <c r="D102" i="40"/>
  <c r="D101" i="40"/>
  <c r="D100" i="40"/>
  <c r="D99" i="40"/>
  <c r="C99" i="40"/>
  <c r="D98" i="40"/>
  <c r="D97" i="40"/>
  <c r="D96" i="40"/>
  <c r="D94" i="40"/>
  <c r="D90" i="40"/>
  <c r="D89" i="40"/>
  <c r="D88" i="40"/>
  <c r="D87" i="40"/>
  <c r="D84" i="40"/>
  <c r="D83" i="40"/>
  <c r="D82" i="40"/>
  <c r="D81" i="40"/>
  <c r="D80" i="40"/>
  <c r="D79" i="40"/>
  <c r="D78" i="40"/>
  <c r="D76" i="40"/>
  <c r="D74" i="40"/>
  <c r="D73" i="40"/>
  <c r="D72" i="40"/>
  <c r="D69" i="40"/>
  <c r="E68" i="40"/>
  <c r="D68" i="40"/>
  <c r="D67" i="40"/>
  <c r="D66" i="40"/>
  <c r="D65" i="40"/>
  <c r="D64" i="40"/>
  <c r="C64" i="40"/>
  <c r="D63" i="40"/>
  <c r="D62" i="40"/>
  <c r="D61" i="40"/>
  <c r="D60" i="40"/>
  <c r="D59" i="40"/>
  <c r="D58" i="40"/>
  <c r="D56" i="40"/>
  <c r="D55" i="40"/>
  <c r="D53" i="40"/>
  <c r="D52" i="40"/>
  <c r="D51" i="40"/>
  <c r="D50" i="40"/>
  <c r="D49" i="40"/>
  <c r="D48" i="40"/>
  <c r="D47" i="40"/>
  <c r="D46" i="40"/>
  <c r="E45" i="40"/>
  <c r="D45" i="40" s="1"/>
  <c r="D44" i="40"/>
  <c r="D42" i="40"/>
  <c r="D41" i="40"/>
  <c r="D40" i="40"/>
  <c r="D38" i="40"/>
  <c r="D37" i="40"/>
  <c r="D36" i="40"/>
  <c r="D35" i="40"/>
  <c r="D34" i="40"/>
  <c r="D33" i="40"/>
  <c r="D32" i="40"/>
  <c r="D31" i="40"/>
  <c r="D30" i="40"/>
  <c r="D29" i="40"/>
  <c r="D28" i="40"/>
  <c r="D27" i="40"/>
  <c r="D26" i="40"/>
  <c r="D24" i="40"/>
  <c r="D23" i="40"/>
  <c r="D22" i="40"/>
  <c r="D21" i="40"/>
  <c r="D20" i="40"/>
  <c r="D19" i="40"/>
  <c r="D17" i="40"/>
  <c r="D16" i="40"/>
  <c r="D15" i="40"/>
  <c r="D14" i="40"/>
  <c r="D13" i="40"/>
  <c r="D12" i="40"/>
  <c r="D11" i="40"/>
  <c r="D10" i="40"/>
  <c r="D9" i="40"/>
  <c r="D8" i="25"/>
  <c r="G6" i="17" l="1"/>
  <c r="G12" i="15" l="1"/>
  <c r="G13" i="15"/>
  <c r="H13" i="15"/>
  <c r="I13" i="15"/>
  <c r="J13" i="15"/>
  <c r="F50" i="45"/>
  <c r="E50" i="45"/>
  <c r="D50" i="45"/>
  <c r="C50" i="45"/>
  <c r="A50" i="45"/>
  <c r="F47" i="45"/>
  <c r="E47" i="45"/>
  <c r="D47" i="45"/>
  <c r="C47" i="45"/>
  <c r="A47" i="45"/>
  <c r="F44" i="45"/>
  <c r="E44" i="45"/>
  <c r="D44" i="45"/>
  <c r="C44" i="45"/>
  <c r="A44" i="45"/>
  <c r="F41" i="45"/>
  <c r="E41" i="45"/>
  <c r="D41" i="45"/>
  <c r="C41" i="45"/>
  <c r="A41" i="45"/>
  <c r="D53" i="45"/>
  <c r="C53" i="45"/>
  <c r="A53" i="45"/>
  <c r="D15" i="45"/>
  <c r="C15" i="45"/>
  <c r="A15" i="45"/>
  <c r="E12" i="45"/>
  <c r="D12" i="45"/>
  <c r="C12" i="45"/>
  <c r="A12" i="45"/>
  <c r="E9" i="45"/>
  <c r="D9" i="45"/>
  <c r="C9" i="45"/>
  <c r="A9" i="45"/>
  <c r="H6" i="45"/>
  <c r="G6" i="45"/>
  <c r="F6" i="45"/>
  <c r="E6" i="45"/>
  <c r="D6" i="45"/>
  <c r="C6" i="45"/>
  <c r="A6" i="45"/>
  <c r="H3" i="45"/>
  <c r="G3" i="45"/>
  <c r="F3" i="45"/>
  <c r="E3" i="45"/>
  <c r="D3" i="45"/>
  <c r="C3" i="45"/>
  <c r="A3" i="45"/>
  <c r="D38" i="45"/>
  <c r="C38" i="45"/>
  <c r="A38" i="45"/>
  <c r="G35" i="45"/>
  <c r="F35" i="45"/>
  <c r="E35" i="45"/>
  <c r="D35" i="45"/>
  <c r="C35" i="45"/>
  <c r="B35" i="45"/>
  <c r="G33" i="45"/>
  <c r="F33" i="45"/>
  <c r="E33" i="45"/>
  <c r="D33" i="45"/>
  <c r="C33" i="45"/>
  <c r="B33" i="45"/>
  <c r="A33" i="45"/>
  <c r="D30" i="45"/>
  <c r="C30" i="45"/>
  <c r="A30" i="45"/>
  <c r="D27" i="45"/>
  <c r="C27" i="45"/>
  <c r="A27" i="45"/>
  <c r="F24" i="45"/>
  <c r="E24" i="45"/>
  <c r="D24" i="45"/>
  <c r="C24" i="45"/>
  <c r="A24" i="45"/>
  <c r="F21" i="45"/>
  <c r="E21" i="45"/>
  <c r="D21" i="45"/>
  <c r="C21" i="45"/>
  <c r="A21" i="45"/>
  <c r="F18" i="45"/>
  <c r="E18" i="45"/>
  <c r="D18" i="45"/>
  <c r="C18" i="45"/>
  <c r="A18" i="45"/>
  <c r="A2" i="15" l="1"/>
  <c r="F15" i="37" l="1"/>
  <c r="F19" i="37"/>
  <c r="F29" i="37"/>
  <c r="F32" i="37"/>
  <c r="F36" i="37"/>
  <c r="F45" i="37"/>
  <c r="F58" i="37"/>
  <c r="F61" i="37"/>
  <c r="F67" i="37"/>
  <c r="F71" i="37"/>
  <c r="A7" i="32" l="1"/>
  <c r="B7" i="32"/>
  <c r="A8" i="32"/>
  <c r="B8" i="32"/>
  <c r="A9" i="32"/>
  <c r="B9" i="32"/>
  <c r="A10" i="32"/>
  <c r="B10" i="32"/>
  <c r="A11" i="32"/>
  <c r="B11" i="32"/>
  <c r="A12" i="32"/>
  <c r="B12" i="32"/>
  <c r="A13" i="32"/>
  <c r="B13" i="32"/>
  <c r="A14" i="32"/>
  <c r="A15" i="32"/>
  <c r="B15" i="32"/>
  <c r="A16" i="32"/>
  <c r="B16" i="32"/>
  <c r="A17" i="32"/>
  <c r="B17" i="32"/>
  <c r="A18" i="32"/>
  <c r="A19" i="32"/>
  <c r="B19" i="32"/>
  <c r="A20" i="32"/>
  <c r="B20" i="32"/>
  <c r="A21" i="32"/>
  <c r="B21" i="32"/>
  <c r="A22" i="32"/>
  <c r="B22" i="32"/>
  <c r="A23" i="32"/>
  <c r="B23" i="32"/>
  <c r="A24" i="32"/>
  <c r="B24" i="32"/>
  <c r="A25" i="32"/>
  <c r="B25" i="32"/>
  <c r="A26" i="32"/>
  <c r="B26" i="32"/>
  <c r="A27" i="32"/>
  <c r="B27" i="32"/>
  <c r="A28" i="32"/>
  <c r="A29" i="32"/>
  <c r="B29" i="32"/>
  <c r="A30" i="32"/>
  <c r="B30" i="32"/>
  <c r="A31" i="32"/>
  <c r="A32" i="32"/>
  <c r="B32" i="32"/>
  <c r="A33" i="32"/>
  <c r="B33" i="32"/>
  <c r="A34" i="32"/>
  <c r="B34" i="32"/>
  <c r="A35" i="32"/>
  <c r="A36" i="32"/>
  <c r="B36" i="32"/>
  <c r="A37" i="32"/>
  <c r="B37" i="32"/>
  <c r="A38" i="32"/>
  <c r="B38" i="32"/>
  <c r="A39" i="32"/>
  <c r="B39" i="32"/>
  <c r="A40" i="32"/>
  <c r="B40" i="32"/>
  <c r="A41" i="32"/>
  <c r="B41" i="32"/>
  <c r="A42" i="32"/>
  <c r="B42" i="32"/>
  <c r="A43" i="32"/>
  <c r="B43" i="32"/>
  <c r="A44" i="32"/>
  <c r="A45" i="32"/>
  <c r="B45" i="32"/>
  <c r="A46" i="32"/>
  <c r="A47" i="32"/>
  <c r="B47" i="32"/>
  <c r="A48" i="32"/>
  <c r="A49" i="32"/>
  <c r="A50" i="32"/>
  <c r="B50" i="32"/>
  <c r="A51" i="32"/>
  <c r="B51" i="32"/>
  <c r="A52" i="32"/>
  <c r="B52" i="32"/>
  <c r="A53" i="32"/>
  <c r="B53" i="32"/>
  <c r="A54" i="32"/>
  <c r="B54" i="32"/>
  <c r="A55" i="32"/>
  <c r="B55" i="32"/>
  <c r="A56" i="32"/>
  <c r="B56" i="32"/>
  <c r="A57" i="32"/>
  <c r="A58" i="32"/>
  <c r="B58" i="32"/>
  <c r="A59" i="32"/>
  <c r="B59" i="32"/>
  <c r="A60" i="32"/>
  <c r="A61" i="32"/>
  <c r="B61" i="32"/>
  <c r="A62" i="32"/>
  <c r="B62" i="32"/>
  <c r="A63" i="32"/>
  <c r="B63" i="32"/>
  <c r="A64" i="32"/>
  <c r="B64" i="32"/>
  <c r="A65" i="32"/>
  <c r="B65" i="32"/>
  <c r="A66" i="32"/>
  <c r="A67" i="32"/>
  <c r="B67" i="32"/>
  <c r="A68" i="32"/>
  <c r="B68" i="32"/>
  <c r="A69" i="32"/>
  <c r="B69" i="32"/>
  <c r="A70" i="32"/>
  <c r="A71" i="32"/>
  <c r="B71" i="32"/>
  <c r="A72" i="32"/>
  <c r="B72" i="32"/>
  <c r="B15" i="17"/>
  <c r="B46" i="32" s="1"/>
  <c r="D72" i="44" l="1"/>
  <c r="B72" i="44"/>
  <c r="D71" i="44"/>
  <c r="B71" i="44"/>
  <c r="D69" i="44"/>
  <c r="B69" i="44"/>
  <c r="D68" i="44"/>
  <c r="B68" i="44"/>
  <c r="D67" i="44"/>
  <c r="B67" i="44"/>
  <c r="D65" i="44"/>
  <c r="B65" i="44"/>
  <c r="D64" i="44"/>
  <c r="B64" i="44"/>
  <c r="D63" i="44"/>
  <c r="B63" i="44"/>
  <c r="D62" i="44"/>
  <c r="B62" i="44"/>
  <c r="D61" i="44"/>
  <c r="B61" i="44"/>
  <c r="D59" i="44"/>
  <c r="B59" i="44"/>
  <c r="D58" i="44"/>
  <c r="B58" i="44"/>
  <c r="D56" i="44"/>
  <c r="B56" i="44"/>
  <c r="D55" i="44"/>
  <c r="B55" i="44"/>
  <c r="D54" i="44"/>
  <c r="B54" i="44"/>
  <c r="D53" i="44"/>
  <c r="B53" i="44"/>
  <c r="D52" i="44"/>
  <c r="B52" i="44"/>
  <c r="D51" i="44"/>
  <c r="B51" i="44"/>
  <c r="D50" i="44"/>
  <c r="B50" i="44"/>
  <c r="D49" i="44"/>
  <c r="D48" i="44"/>
  <c r="D47" i="44"/>
  <c r="B47" i="44"/>
  <c r="D46" i="44"/>
  <c r="D45" i="44"/>
  <c r="B45" i="44"/>
  <c r="D43" i="44"/>
  <c r="B43" i="44"/>
  <c r="D42" i="44"/>
  <c r="B42" i="44"/>
  <c r="D41" i="44"/>
  <c r="B41" i="44"/>
  <c r="D40" i="44"/>
  <c r="B40" i="44"/>
  <c r="D39" i="44"/>
  <c r="B39" i="44"/>
  <c r="D38" i="44"/>
  <c r="B38" i="44"/>
  <c r="D37" i="44"/>
  <c r="B37" i="44"/>
  <c r="D36" i="44"/>
  <c r="B36" i="44"/>
  <c r="D34" i="44"/>
  <c r="B34" i="44"/>
  <c r="D33" i="44"/>
  <c r="B33" i="44"/>
  <c r="D32" i="44"/>
  <c r="B32" i="44"/>
  <c r="D30" i="44"/>
  <c r="B30" i="44"/>
  <c r="D29" i="44"/>
  <c r="B29" i="44"/>
  <c r="D27" i="44"/>
  <c r="B27" i="44"/>
  <c r="D26" i="44"/>
  <c r="B26" i="44"/>
  <c r="D25" i="44"/>
  <c r="B25" i="44"/>
  <c r="D24" i="44"/>
  <c r="B24" i="44"/>
  <c r="D23" i="44"/>
  <c r="B23" i="44"/>
  <c r="D22" i="44"/>
  <c r="B22" i="44"/>
  <c r="D21" i="44"/>
  <c r="B21" i="44"/>
  <c r="D20" i="44"/>
  <c r="B20" i="44"/>
  <c r="D19" i="44"/>
  <c r="B19" i="44"/>
  <c r="D17" i="44"/>
  <c r="B17" i="44"/>
  <c r="D16" i="44"/>
  <c r="B16" i="44"/>
  <c r="D15" i="44"/>
  <c r="B15" i="44"/>
  <c r="D13" i="44"/>
  <c r="B13" i="44"/>
  <c r="D12" i="44"/>
  <c r="B12" i="44"/>
  <c r="D11" i="44"/>
  <c r="B11" i="44"/>
  <c r="D10" i="44"/>
  <c r="B10" i="44"/>
  <c r="D9" i="44"/>
  <c r="B9" i="44"/>
  <c r="D8" i="44"/>
  <c r="B8" i="44"/>
  <c r="D7" i="44"/>
  <c r="B7" i="44"/>
  <c r="D6" i="44"/>
  <c r="B6" i="44"/>
  <c r="D5" i="44"/>
  <c r="B5" i="44"/>
  <c r="G10" i="14" l="1"/>
  <c r="G13" i="17" l="1"/>
  <c r="I10" i="5" l="1"/>
  <c r="G21" i="15"/>
  <c r="I9" i="5" l="1"/>
  <c r="G5" i="17" l="1"/>
  <c r="G33" i="15" l="1"/>
  <c r="D18" i="42" l="1"/>
  <c r="N27" i="9" l="1"/>
  <c r="N25" i="9"/>
  <c r="N18" i="9"/>
  <c r="N16" i="9"/>
  <c r="N45" i="3"/>
  <c r="N43" i="3"/>
  <c r="N30" i="3"/>
  <c r="N28" i="3"/>
  <c r="N23" i="3"/>
  <c r="N21" i="3"/>
  <c r="N15" i="3"/>
  <c r="N13" i="3"/>
  <c r="G24" i="15" l="1"/>
  <c r="I12" i="5"/>
  <c r="I11" i="5" l="1"/>
  <c r="G30" i="15"/>
  <c r="I19" i="7" l="1"/>
  <c r="I7" i="7"/>
  <c r="G31" i="19" l="1"/>
  <c r="G21" i="19"/>
  <c r="G18" i="19"/>
  <c r="G15" i="19" l="1"/>
  <c r="K10" i="5"/>
  <c r="K11" i="5"/>
  <c r="K9" i="5"/>
  <c r="N11" i="5" l="1"/>
  <c r="N10" i="5"/>
  <c r="Z10" i="5" s="1"/>
  <c r="F19" i="15"/>
  <c r="N9" i="5"/>
  <c r="G15" i="15"/>
  <c r="V22" i="5"/>
  <c r="W10" i="5" l="1"/>
  <c r="AA10" i="5"/>
  <c r="V10" i="5"/>
  <c r="Y10" i="5"/>
  <c r="X10" i="5"/>
  <c r="V9" i="5"/>
  <c r="Z9" i="5"/>
  <c r="V15" i="5"/>
  <c r="G9" i="15"/>
  <c r="G19" i="15" l="1"/>
  <c r="G28" i="14"/>
  <c r="G17" i="14" l="1"/>
  <c r="I39" i="2" l="1"/>
  <c r="G14" i="14"/>
  <c r="G7" i="14" l="1"/>
  <c r="B6" i="32" l="1"/>
  <c r="B6" i="29"/>
  <c r="C6" i="29"/>
  <c r="C6" i="44" s="1"/>
  <c r="D6" i="29"/>
  <c r="I18" i="2"/>
  <c r="I28" i="2"/>
  <c r="G28" i="2"/>
  <c r="G18" i="2"/>
  <c r="M11" i="14" l="1"/>
  <c r="M8" i="14"/>
  <c r="L6" i="29" s="1"/>
  <c r="A6" i="32" l="1"/>
  <c r="A6" i="29"/>
  <c r="A13" i="41"/>
  <c r="A7" i="37"/>
  <c r="A6" i="31"/>
  <c r="A6" i="44" l="1"/>
  <c r="AA25" i="7"/>
  <c r="Z25" i="7"/>
  <c r="Y25" i="7"/>
  <c r="X25" i="7"/>
  <c r="W25" i="7"/>
  <c r="V25" i="7"/>
  <c r="AA24" i="7"/>
  <c r="Z24" i="7"/>
  <c r="Y24" i="7"/>
  <c r="X24" i="7"/>
  <c r="W24" i="7"/>
  <c r="V24" i="7"/>
  <c r="AA23" i="7"/>
  <c r="Z23" i="7"/>
  <c r="Y23" i="7"/>
  <c r="X23" i="7"/>
  <c r="W23" i="7"/>
  <c r="V23" i="7"/>
  <c r="AA22" i="7"/>
  <c r="Z22" i="7"/>
  <c r="Y22" i="7"/>
  <c r="X22" i="7"/>
  <c r="W22" i="7"/>
  <c r="V22" i="7"/>
  <c r="AA21" i="7"/>
  <c r="Z21" i="7"/>
  <c r="Y21" i="7"/>
  <c r="X21" i="7"/>
  <c r="W21" i="7"/>
  <c r="V21" i="7"/>
  <c r="AA20" i="7"/>
  <c r="Z20" i="7"/>
  <c r="Y20" i="7"/>
  <c r="X20" i="7"/>
  <c r="W20" i="7"/>
  <c r="V20" i="7"/>
  <c r="AA13" i="7"/>
  <c r="Z13" i="7"/>
  <c r="Y13" i="7"/>
  <c r="X13" i="7"/>
  <c r="W13" i="7"/>
  <c r="V13" i="7"/>
  <c r="AA12" i="7"/>
  <c r="Z12" i="7"/>
  <c r="Y12" i="7"/>
  <c r="X12" i="7"/>
  <c r="W12" i="7"/>
  <c r="V12" i="7"/>
  <c r="AA11" i="7"/>
  <c r="Z11" i="7"/>
  <c r="Y11" i="7"/>
  <c r="X11" i="7"/>
  <c r="W11" i="7"/>
  <c r="V11" i="7"/>
  <c r="AA10" i="7"/>
  <c r="Z10" i="7"/>
  <c r="Y10" i="7"/>
  <c r="X10" i="7"/>
  <c r="W10" i="7"/>
  <c r="V10" i="7"/>
  <c r="AA9" i="7"/>
  <c r="Z9" i="7"/>
  <c r="Y9" i="7"/>
  <c r="X9" i="7"/>
  <c r="W9" i="7"/>
  <c r="V9" i="7"/>
  <c r="P23" i="2" l="1"/>
  <c r="P22" i="2"/>
  <c r="U22" i="2" s="1"/>
  <c r="P21" i="2"/>
  <c r="P20" i="2"/>
  <c r="U20" i="2" s="1"/>
  <c r="P24" i="2"/>
  <c r="U24" i="2" s="1"/>
  <c r="U23" i="2"/>
  <c r="U21" i="2"/>
  <c r="AA32" i="2"/>
  <c r="Z32" i="2"/>
  <c r="Y32" i="2"/>
  <c r="X32" i="2"/>
  <c r="W32" i="2"/>
  <c r="V32" i="2"/>
  <c r="AA31" i="2"/>
  <c r="Z31" i="2"/>
  <c r="Y31" i="2"/>
  <c r="X31" i="2"/>
  <c r="W31" i="2"/>
  <c r="V31" i="2"/>
  <c r="AA30" i="2"/>
  <c r="Z30" i="2"/>
  <c r="Y30" i="2"/>
  <c r="X30" i="2"/>
  <c r="W30" i="2"/>
  <c r="V30" i="2"/>
  <c r="AA28" i="2"/>
  <c r="Z28" i="2"/>
  <c r="Y28" i="2"/>
  <c r="X28" i="2"/>
  <c r="W28" i="2"/>
  <c r="V28" i="2"/>
  <c r="K28" i="2"/>
  <c r="AA27" i="2"/>
  <c r="Z27" i="2"/>
  <c r="Y27" i="2"/>
  <c r="X27" i="2"/>
  <c r="W27" i="2"/>
  <c r="V27" i="2"/>
  <c r="K27" i="2"/>
  <c r="P14" i="2"/>
  <c r="U14" i="2" s="1"/>
  <c r="P13" i="2"/>
  <c r="U13" i="2" s="1"/>
  <c r="P12" i="2"/>
  <c r="U12" i="2" s="1"/>
  <c r="P11" i="2"/>
  <c r="U11" i="2" s="1"/>
  <c r="P10" i="2"/>
  <c r="U10" i="2" s="1"/>
  <c r="N29" i="2" l="1"/>
  <c r="Z29" i="2" s="1"/>
  <c r="Z26" i="2" s="1"/>
  <c r="K11" i="14" s="1"/>
  <c r="K26" i="2"/>
  <c r="F11" i="14" s="1"/>
  <c r="K11" i="41"/>
  <c r="K25" i="41"/>
  <c r="K38" i="41"/>
  <c r="K51" i="41"/>
  <c r="K64" i="41"/>
  <c r="A77" i="41"/>
  <c r="K77" i="41"/>
  <c r="Y29" i="2" l="1"/>
  <c r="Y26" i="2" s="1"/>
  <c r="J11" i="14" s="1"/>
  <c r="V29" i="2"/>
  <c r="V26" i="2" s="1"/>
  <c r="G11" i="14" s="1"/>
  <c r="W29" i="2"/>
  <c r="W26" i="2" s="1"/>
  <c r="H11" i="14" s="1"/>
  <c r="X29" i="2"/>
  <c r="X26" i="2" s="1"/>
  <c r="I11" i="14" s="1"/>
  <c r="AA29" i="2"/>
  <c r="AA26" i="2" s="1"/>
  <c r="L11" i="14" s="1"/>
  <c r="R6" i="5"/>
  <c r="Q6" i="5"/>
  <c r="P6" i="5"/>
  <c r="I50" i="2"/>
  <c r="K50" i="2" s="1"/>
  <c r="G71" i="37"/>
  <c r="G67" i="37"/>
  <c r="G61" i="37"/>
  <c r="G58" i="37"/>
  <c r="G45" i="37"/>
  <c r="G36" i="37"/>
  <c r="G32" i="37"/>
  <c r="G29" i="37"/>
  <c r="G19" i="37"/>
  <c r="G15" i="37"/>
  <c r="A73" i="37"/>
  <c r="A72" i="44" s="1"/>
  <c r="A72" i="37"/>
  <c r="A71" i="44" s="1"/>
  <c r="A71" i="37"/>
  <c r="A70" i="44" s="1"/>
  <c r="A70" i="37"/>
  <c r="A69" i="37"/>
  <c r="A68" i="37"/>
  <c r="A67" i="37"/>
  <c r="A66" i="37"/>
  <c r="A65" i="37"/>
  <c r="A64" i="37"/>
  <c r="A63" i="37"/>
  <c r="A62" i="37"/>
  <c r="A61" i="37"/>
  <c r="A60" i="37"/>
  <c r="A59" i="37"/>
  <c r="A58" i="37"/>
  <c r="A57" i="37"/>
  <c r="A56" i="37"/>
  <c r="A55" i="44" s="1"/>
  <c r="A55" i="37"/>
  <c r="A54" i="37"/>
  <c r="A53" i="44" s="1"/>
  <c r="A53" i="37"/>
  <c r="A52" i="37"/>
  <c r="A51" i="37"/>
  <c r="A50" i="37"/>
  <c r="A49" i="44" s="1"/>
  <c r="A49" i="37"/>
  <c r="A48" i="37"/>
  <c r="A47" i="44" s="1"/>
  <c r="A47" i="37"/>
  <c r="A46" i="37"/>
  <c r="A45" i="37"/>
  <c r="A44" i="37"/>
  <c r="A43" i="44" s="1"/>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5" i="37"/>
  <c r="A18" i="37"/>
  <c r="A17" i="37"/>
  <c r="A16" i="37"/>
  <c r="A15" i="37"/>
  <c r="A14" i="37"/>
  <c r="A12" i="37"/>
  <c r="A11" i="37"/>
  <c r="A10" i="37"/>
  <c r="A9" i="44" s="1"/>
  <c r="A9" i="37"/>
  <c r="A8" i="37"/>
  <c r="D57" i="37"/>
  <c r="E57" i="37"/>
  <c r="D56" i="37"/>
  <c r="E56" i="37" s="1"/>
  <c r="D55" i="37"/>
  <c r="E55" i="37" s="1"/>
  <c r="D51" i="37"/>
  <c r="E51" i="37" s="1"/>
  <c r="D48" i="37"/>
  <c r="E48" i="37"/>
  <c r="D46" i="37"/>
  <c r="E46" i="37" s="1"/>
  <c r="D39" i="37"/>
  <c r="D36" i="37"/>
  <c r="E36" i="37" s="1"/>
  <c r="D34" i="37"/>
  <c r="D28" i="37"/>
  <c r="D23" i="37"/>
  <c r="D21" i="37"/>
  <c r="D17" i="37"/>
  <c r="D12" i="37"/>
  <c r="D8" i="37"/>
  <c r="D35" i="37"/>
  <c r="E35" i="37" s="1"/>
  <c r="B42" i="37"/>
  <c r="B41" i="37"/>
  <c r="B38" i="37"/>
  <c r="B37" i="37"/>
  <c r="C24" i="37"/>
  <c r="D24" i="37" s="1"/>
  <c r="C9" i="37"/>
  <c r="D9" i="37" s="1"/>
  <c r="C10" i="37"/>
  <c r="D10" i="37"/>
  <c r="C11" i="37"/>
  <c r="D11" i="37" s="1"/>
  <c r="C13" i="37"/>
  <c r="D13" i="37"/>
  <c r="C14" i="37"/>
  <c r="D14" i="37" s="1"/>
  <c r="C15" i="37"/>
  <c r="D15" i="37" s="1"/>
  <c r="C16" i="37"/>
  <c r="D16" i="37" s="1"/>
  <c r="C18" i="37"/>
  <c r="D18" i="37"/>
  <c r="C19" i="37"/>
  <c r="D19" i="37" s="1"/>
  <c r="C20" i="37"/>
  <c r="D20" i="37"/>
  <c r="C22" i="37"/>
  <c r="D22" i="37" s="1"/>
  <c r="C25" i="37"/>
  <c r="D25" i="37" s="1"/>
  <c r="C26" i="37"/>
  <c r="D26" i="37" s="1"/>
  <c r="C27" i="37"/>
  <c r="D27" i="37" s="1"/>
  <c r="C29" i="37"/>
  <c r="D29" i="37" s="1"/>
  <c r="C30" i="37"/>
  <c r="D30" i="37"/>
  <c r="C31" i="37"/>
  <c r="D31" i="37" s="1"/>
  <c r="C32" i="37"/>
  <c r="D32" i="37" s="1"/>
  <c r="C33" i="37"/>
  <c r="D33" i="37" s="1"/>
  <c r="C35" i="37"/>
  <c r="C36" i="37"/>
  <c r="C37" i="37"/>
  <c r="C38" i="37"/>
  <c r="C40" i="37"/>
  <c r="D40" i="37"/>
  <c r="C41" i="37"/>
  <c r="C42" i="37"/>
  <c r="C43" i="37"/>
  <c r="D43" i="37"/>
  <c r="D44" i="37"/>
  <c r="C45" i="37"/>
  <c r="D45" i="37" s="1"/>
  <c r="C46" i="37"/>
  <c r="C47" i="37"/>
  <c r="D47" i="37" s="1"/>
  <c r="C48" i="37"/>
  <c r="C49" i="37"/>
  <c r="D49" i="37"/>
  <c r="C50" i="37"/>
  <c r="D50" i="37" s="1"/>
  <c r="C51" i="37"/>
  <c r="D52" i="37"/>
  <c r="D53" i="37"/>
  <c r="C54" i="37"/>
  <c r="D54" i="37" s="1"/>
  <c r="C55" i="37"/>
  <c r="C56" i="37"/>
  <c r="C57" i="37"/>
  <c r="C58" i="37"/>
  <c r="D58" i="37"/>
  <c r="C59" i="37"/>
  <c r="D59" i="37"/>
  <c r="C60" i="37"/>
  <c r="D60" i="37"/>
  <c r="C61" i="37"/>
  <c r="D61" i="37"/>
  <c r="C62" i="37"/>
  <c r="D62" i="37"/>
  <c r="C63" i="37"/>
  <c r="D63" i="37"/>
  <c r="C64" i="37"/>
  <c r="D64" i="37"/>
  <c r="D65" i="37"/>
  <c r="C66" i="37"/>
  <c r="D66" i="37" s="1"/>
  <c r="C67" i="37"/>
  <c r="D67" i="37" s="1"/>
  <c r="C68" i="37"/>
  <c r="D68" i="37"/>
  <c r="C69" i="37"/>
  <c r="D69" i="37" s="1"/>
  <c r="C70" i="37"/>
  <c r="D70" i="37"/>
  <c r="C71" i="37"/>
  <c r="D71" i="37" s="1"/>
  <c r="D72" i="37"/>
  <c r="C73" i="37"/>
  <c r="D73" i="37"/>
  <c r="C6" i="37"/>
  <c r="D6" i="37" s="1"/>
  <c r="J88" i="2"/>
  <c r="K18" i="2"/>
  <c r="I8" i="2"/>
  <c r="K8" i="2" s="1"/>
  <c r="D21" i="42"/>
  <c r="D22" i="42"/>
  <c r="D20" i="42"/>
  <c r="F16" i="42"/>
  <c r="D16" i="42" s="1"/>
  <c r="D15" i="42"/>
  <c r="D14" i="42"/>
  <c r="D13" i="42"/>
  <c r="D12" i="42"/>
  <c r="B39" i="29"/>
  <c r="D9" i="42"/>
  <c r="D10" i="42"/>
  <c r="D8" i="42"/>
  <c r="B79" i="41"/>
  <c r="A79" i="41"/>
  <c r="B78" i="41"/>
  <c r="A78" i="41"/>
  <c r="B76" i="41"/>
  <c r="B75" i="41"/>
  <c r="B74" i="41"/>
  <c r="A73" i="41"/>
  <c r="B72" i="41"/>
  <c r="B71" i="41"/>
  <c r="B70" i="41"/>
  <c r="B69" i="41"/>
  <c r="B68" i="41"/>
  <c r="A67" i="41"/>
  <c r="B66" i="41"/>
  <c r="A66" i="41"/>
  <c r="B65" i="41"/>
  <c r="A65" i="41"/>
  <c r="A64" i="41"/>
  <c r="B63" i="41"/>
  <c r="A63" i="41"/>
  <c r="B62" i="41"/>
  <c r="A62" i="41"/>
  <c r="B61" i="41"/>
  <c r="A61" i="41"/>
  <c r="B60" i="41"/>
  <c r="A60" i="41"/>
  <c r="B59" i="41"/>
  <c r="A59" i="41"/>
  <c r="B58" i="41"/>
  <c r="A58" i="41"/>
  <c r="B57" i="41"/>
  <c r="A57" i="41"/>
  <c r="B56" i="41"/>
  <c r="A56" i="41"/>
  <c r="B55" i="41"/>
  <c r="A55" i="41"/>
  <c r="B54" i="41"/>
  <c r="A54" i="41"/>
  <c r="B53" i="41"/>
  <c r="A53" i="41"/>
  <c r="B52" i="41"/>
  <c r="A52" i="41"/>
  <c r="A51" i="41"/>
  <c r="B50" i="41"/>
  <c r="A50" i="41"/>
  <c r="B49" i="41"/>
  <c r="A49" i="41"/>
  <c r="B48" i="41"/>
  <c r="A48" i="41"/>
  <c r="B47" i="41"/>
  <c r="A47" i="41"/>
  <c r="B46" i="41"/>
  <c r="A46" i="41"/>
  <c r="B45" i="41"/>
  <c r="A45" i="41"/>
  <c r="B44" i="41"/>
  <c r="A44" i="41"/>
  <c r="B43" i="41"/>
  <c r="A43" i="41"/>
  <c r="A42" i="41"/>
  <c r="B41" i="41"/>
  <c r="A41" i="41"/>
  <c r="B40" i="41"/>
  <c r="A40" i="41"/>
  <c r="B39" i="41"/>
  <c r="A39" i="41"/>
  <c r="A38" i="41"/>
  <c r="B37" i="41"/>
  <c r="A37" i="41"/>
  <c r="B36" i="41"/>
  <c r="A36" i="41"/>
  <c r="A35" i="41"/>
  <c r="B34" i="41"/>
  <c r="A34" i="41"/>
  <c r="B33" i="41"/>
  <c r="A33" i="41"/>
  <c r="B32" i="41"/>
  <c r="A32" i="41"/>
  <c r="B31" i="41"/>
  <c r="A31" i="41"/>
  <c r="B30" i="41"/>
  <c r="A30" i="41"/>
  <c r="B29" i="41"/>
  <c r="A29" i="41"/>
  <c r="B28" i="41"/>
  <c r="A28" i="41"/>
  <c r="B27" i="41"/>
  <c r="A27" i="41"/>
  <c r="B26" i="41"/>
  <c r="A26" i="41"/>
  <c r="A25" i="41"/>
  <c r="A24" i="41"/>
  <c r="A23" i="41"/>
  <c r="A22" i="41"/>
  <c r="A21" i="41"/>
  <c r="A20" i="41"/>
  <c r="A18" i="41"/>
  <c r="A17" i="41"/>
  <c r="A16" i="41"/>
  <c r="A15" i="41"/>
  <c r="A14" i="41"/>
  <c r="A11" i="41"/>
  <c r="D23" i="18"/>
  <c r="C46" i="17" s="1"/>
  <c r="B23" i="18"/>
  <c r="B6" i="18" s="1"/>
  <c r="C23" i="18"/>
  <c r="C11" i="17" s="1"/>
  <c r="C8" i="25" s="1"/>
  <c r="B7" i="36"/>
  <c r="I47" i="3"/>
  <c r="K47" i="3" s="1"/>
  <c r="F31" i="17" s="1"/>
  <c r="I43" i="3"/>
  <c r="K43" i="3" s="1"/>
  <c r="F29" i="17" s="1"/>
  <c r="I33" i="3"/>
  <c r="K33" i="3" s="1"/>
  <c r="I32" i="3"/>
  <c r="K32" i="3" s="1"/>
  <c r="I31" i="3"/>
  <c r="K31" i="3" s="1"/>
  <c r="I30" i="3"/>
  <c r="K30" i="3" s="1"/>
  <c r="I29" i="3"/>
  <c r="K29" i="3" s="1"/>
  <c r="F25" i="17" s="1"/>
  <c r="I16" i="3"/>
  <c r="K16" i="3" s="1"/>
  <c r="I15" i="3"/>
  <c r="K15" i="3" s="1"/>
  <c r="I14" i="3"/>
  <c r="K14" i="3" s="1"/>
  <c r="I13" i="3"/>
  <c r="K13" i="3" s="1"/>
  <c r="B32" i="29"/>
  <c r="B72" i="29"/>
  <c r="B71" i="29"/>
  <c r="B69" i="29"/>
  <c r="B68" i="29"/>
  <c r="B67" i="29"/>
  <c r="B65" i="29"/>
  <c r="B64" i="29"/>
  <c r="B63" i="29"/>
  <c r="B62" i="29"/>
  <c r="B61" i="29"/>
  <c r="B59" i="29"/>
  <c r="B58" i="29"/>
  <c r="B56" i="29"/>
  <c r="B55" i="29"/>
  <c r="B54" i="29"/>
  <c r="B53" i="29"/>
  <c r="B52" i="29"/>
  <c r="B51" i="29"/>
  <c r="B50" i="29"/>
  <c r="B47" i="29"/>
  <c r="B45" i="29"/>
  <c r="B43" i="29"/>
  <c r="B42" i="29"/>
  <c r="B41" i="29"/>
  <c r="B40" i="29"/>
  <c r="B38" i="29"/>
  <c r="B37" i="29"/>
  <c r="B36" i="29"/>
  <c r="B34" i="29"/>
  <c r="B33" i="29"/>
  <c r="B30" i="29"/>
  <c r="B29" i="29"/>
  <c r="B27" i="29"/>
  <c r="B26" i="29"/>
  <c r="B25" i="29"/>
  <c r="B24" i="29"/>
  <c r="B23" i="29"/>
  <c r="B22" i="29"/>
  <c r="B21" i="29"/>
  <c r="B20" i="29"/>
  <c r="B19" i="29"/>
  <c r="B17" i="29"/>
  <c r="B16" i="29"/>
  <c r="B15" i="29"/>
  <c r="B13" i="29"/>
  <c r="B12" i="29"/>
  <c r="B11" i="29"/>
  <c r="B10" i="29"/>
  <c r="B9" i="29"/>
  <c r="B8" i="29"/>
  <c r="B7" i="29"/>
  <c r="B5" i="29"/>
  <c r="B8" i="36"/>
  <c r="B3" i="19" s="1"/>
  <c r="I6" i="25"/>
  <c r="I72" i="29" s="1"/>
  <c r="E72" i="31" s="1"/>
  <c r="I5" i="25"/>
  <c r="I71" i="29" s="1"/>
  <c r="L27" i="19"/>
  <c r="K68" i="29" s="1"/>
  <c r="H18" i="30" s="1"/>
  <c r="K27" i="19"/>
  <c r="J68" i="29" s="1"/>
  <c r="G18" i="30" s="1"/>
  <c r="J27" i="19"/>
  <c r="I68" i="29" s="1"/>
  <c r="J9" i="19"/>
  <c r="I58" i="29" s="1"/>
  <c r="E58" i="31" s="1"/>
  <c r="B28" i="17"/>
  <c r="B49" i="32" s="1"/>
  <c r="B48" i="32"/>
  <c r="I45" i="3"/>
  <c r="K45" i="3" s="1"/>
  <c r="I28" i="3"/>
  <c r="K28" i="3" s="1"/>
  <c r="F24" i="17" s="1"/>
  <c r="M18" i="14"/>
  <c r="M19" i="14" s="1"/>
  <c r="A11" i="31"/>
  <c r="A10" i="31"/>
  <c r="C11" i="29"/>
  <c r="C11" i="44" s="1"/>
  <c r="A11" i="29"/>
  <c r="C10" i="29"/>
  <c r="C10" i="44" s="1"/>
  <c r="A10" i="29"/>
  <c r="I53" i="2"/>
  <c r="K53" i="2" s="1"/>
  <c r="I52" i="2"/>
  <c r="K52" i="2" s="1"/>
  <c r="D11" i="29"/>
  <c r="I6" i="5"/>
  <c r="K6" i="5" s="1"/>
  <c r="N6" i="5" s="1"/>
  <c r="AA18" i="9"/>
  <c r="Z18" i="9"/>
  <c r="Y18" i="9"/>
  <c r="X18" i="9"/>
  <c r="W18" i="9"/>
  <c r="V18" i="9"/>
  <c r="A72" i="31"/>
  <c r="A71" i="31"/>
  <c r="A70" i="31"/>
  <c r="A67" i="31"/>
  <c r="A66" i="31"/>
  <c r="A65" i="31"/>
  <c r="A64" i="31"/>
  <c r="A63" i="31"/>
  <c r="A62" i="31"/>
  <c r="A61" i="31"/>
  <c r="A60" i="31"/>
  <c r="A59" i="31"/>
  <c r="A58" i="31"/>
  <c r="A57" i="31"/>
  <c r="A56" i="31"/>
  <c r="A55" i="31"/>
  <c r="A54" i="31"/>
  <c r="A53" i="31"/>
  <c r="A52" i="31"/>
  <c r="A51" i="31"/>
  <c r="A50" i="31"/>
  <c r="A49" i="31"/>
  <c r="A48" i="31"/>
  <c r="A47" i="31"/>
  <c r="A46" i="31"/>
  <c r="A45" i="31"/>
  <c r="A44" i="31"/>
  <c r="A43" i="31"/>
  <c r="A42" i="31"/>
  <c r="A41" i="31"/>
  <c r="A40" i="31"/>
  <c r="A39" i="31"/>
  <c r="A38" i="31"/>
  <c r="A37" i="31"/>
  <c r="A36" i="31"/>
  <c r="A35" i="31"/>
  <c r="A34" i="31"/>
  <c r="A33" i="31"/>
  <c r="A32" i="31"/>
  <c r="A31" i="31"/>
  <c r="A30" i="31"/>
  <c r="A28" i="31"/>
  <c r="A27" i="31"/>
  <c r="A26" i="31"/>
  <c r="A25" i="31"/>
  <c r="A24" i="31"/>
  <c r="A23" i="31"/>
  <c r="A22" i="31"/>
  <c r="A21" i="31"/>
  <c r="A20" i="31"/>
  <c r="A19" i="31"/>
  <c r="A18" i="31"/>
  <c r="A17" i="31"/>
  <c r="A16" i="31"/>
  <c r="A15" i="31"/>
  <c r="A14" i="31"/>
  <c r="A13" i="31"/>
  <c r="A9" i="31"/>
  <c r="A8" i="31"/>
  <c r="A7" i="31"/>
  <c r="A4" i="31"/>
  <c r="L72" i="29"/>
  <c r="D72" i="29"/>
  <c r="C72" i="29"/>
  <c r="C72" i="44" s="1"/>
  <c r="L71" i="29"/>
  <c r="D71" i="29"/>
  <c r="C71" i="29"/>
  <c r="C71" i="44" s="1"/>
  <c r="A70" i="29"/>
  <c r="L69" i="29"/>
  <c r="D69" i="29"/>
  <c r="C69" i="29"/>
  <c r="C69" i="44" s="1"/>
  <c r="L68" i="29"/>
  <c r="D68" i="29"/>
  <c r="C68" i="29"/>
  <c r="C68" i="44" s="1"/>
  <c r="L67" i="29"/>
  <c r="D67" i="29"/>
  <c r="C67" i="29"/>
  <c r="C67" i="44" s="1"/>
  <c r="A66" i="29"/>
  <c r="L65" i="29"/>
  <c r="D65" i="29"/>
  <c r="C65" i="29"/>
  <c r="C65" i="44" s="1"/>
  <c r="L64" i="29"/>
  <c r="D64" i="29"/>
  <c r="C64" i="29"/>
  <c r="C64" i="44" s="1"/>
  <c r="L63" i="29"/>
  <c r="D63" i="29"/>
  <c r="C63" i="29"/>
  <c r="C63" i="44" s="1"/>
  <c r="L62" i="29"/>
  <c r="D62" i="29"/>
  <c r="C62" i="29"/>
  <c r="C62" i="44" s="1"/>
  <c r="L61" i="29"/>
  <c r="D61" i="29"/>
  <c r="C61" i="29"/>
  <c r="C61" i="44" s="1"/>
  <c r="A60" i="29"/>
  <c r="L59" i="29"/>
  <c r="D59" i="29"/>
  <c r="C59" i="29"/>
  <c r="C59" i="44" s="1"/>
  <c r="A59" i="29"/>
  <c r="L58" i="29"/>
  <c r="D58" i="29"/>
  <c r="C58" i="29"/>
  <c r="C58" i="44" s="1"/>
  <c r="A58" i="29"/>
  <c r="A57" i="29"/>
  <c r="L56" i="29"/>
  <c r="D56" i="29"/>
  <c r="A56" i="29"/>
  <c r="L55" i="29"/>
  <c r="D55" i="29"/>
  <c r="A55" i="29"/>
  <c r="L54" i="29"/>
  <c r="D54" i="29"/>
  <c r="A54" i="29"/>
  <c r="L53" i="29"/>
  <c r="D53" i="29"/>
  <c r="C53" i="29"/>
  <c r="C53" i="44" s="1"/>
  <c r="A53" i="29"/>
  <c r="L52" i="29"/>
  <c r="D52" i="29"/>
  <c r="C52" i="29"/>
  <c r="C52" i="44" s="1"/>
  <c r="A52" i="29"/>
  <c r="L51" i="29"/>
  <c r="D51" i="29"/>
  <c r="C51" i="29"/>
  <c r="C51" i="44" s="1"/>
  <c r="A51" i="29"/>
  <c r="L50" i="29"/>
  <c r="D50" i="29"/>
  <c r="A50" i="29"/>
  <c r="L49" i="29"/>
  <c r="D49" i="29"/>
  <c r="A49" i="29"/>
  <c r="L48" i="29"/>
  <c r="D48" i="29"/>
  <c r="A48" i="29"/>
  <c r="L47" i="29"/>
  <c r="D47" i="29"/>
  <c r="A47" i="29"/>
  <c r="L46" i="29"/>
  <c r="D46" i="29"/>
  <c r="A46" i="29"/>
  <c r="L45" i="29"/>
  <c r="D45" i="29"/>
  <c r="A45" i="29"/>
  <c r="A44" i="29"/>
  <c r="L43" i="29"/>
  <c r="D43" i="29"/>
  <c r="C43" i="29"/>
  <c r="C43" i="44" s="1"/>
  <c r="A43" i="29"/>
  <c r="L42" i="29"/>
  <c r="D42" i="29"/>
  <c r="C42" i="29"/>
  <c r="C42" i="44" s="1"/>
  <c r="A42" i="29"/>
  <c r="L41" i="29"/>
  <c r="D41" i="29"/>
  <c r="C41" i="29"/>
  <c r="C41" i="44" s="1"/>
  <c r="A41" i="29"/>
  <c r="L40" i="29"/>
  <c r="D40" i="29"/>
  <c r="C40" i="29"/>
  <c r="C40" i="44" s="1"/>
  <c r="A40" i="29"/>
  <c r="L39" i="29"/>
  <c r="D39" i="29"/>
  <c r="C39" i="29"/>
  <c r="C39" i="44" s="1"/>
  <c r="A39" i="29"/>
  <c r="L38" i="29"/>
  <c r="D38" i="29"/>
  <c r="C38" i="29"/>
  <c r="C38" i="44" s="1"/>
  <c r="A38" i="29"/>
  <c r="L37" i="29"/>
  <c r="D37" i="29"/>
  <c r="C37" i="29"/>
  <c r="C37" i="44" s="1"/>
  <c r="A37" i="29"/>
  <c r="L36" i="29"/>
  <c r="D36" i="29"/>
  <c r="C36" i="29"/>
  <c r="C36" i="44" s="1"/>
  <c r="A36" i="29"/>
  <c r="L34" i="29"/>
  <c r="D34" i="29"/>
  <c r="C34" i="29"/>
  <c r="C34" i="44" s="1"/>
  <c r="A34" i="29"/>
  <c r="L33" i="29"/>
  <c r="D33" i="29"/>
  <c r="C33" i="29"/>
  <c r="C33" i="44" s="1"/>
  <c r="A33" i="29"/>
  <c r="L32" i="29"/>
  <c r="D32" i="29"/>
  <c r="C32" i="29"/>
  <c r="C32" i="44" s="1"/>
  <c r="A32" i="29"/>
  <c r="A31" i="29"/>
  <c r="L30" i="29"/>
  <c r="D30" i="29"/>
  <c r="C30" i="29"/>
  <c r="C30" i="44" s="1"/>
  <c r="A30" i="29"/>
  <c r="L29" i="29"/>
  <c r="D29" i="29"/>
  <c r="C29" i="29"/>
  <c r="C29" i="44" s="1"/>
  <c r="A28" i="29"/>
  <c r="L27" i="29"/>
  <c r="D27" i="29"/>
  <c r="C27" i="29"/>
  <c r="C27" i="44" s="1"/>
  <c r="A27" i="29"/>
  <c r="L26" i="29"/>
  <c r="D26" i="29"/>
  <c r="C26" i="29"/>
  <c r="C26" i="44" s="1"/>
  <c r="A26" i="29"/>
  <c r="L25" i="29"/>
  <c r="D25" i="29"/>
  <c r="C25" i="29"/>
  <c r="C25" i="44" s="1"/>
  <c r="A25" i="29"/>
  <c r="L24" i="29"/>
  <c r="D24" i="29"/>
  <c r="C24" i="29"/>
  <c r="C24" i="44" s="1"/>
  <c r="A24" i="29"/>
  <c r="L23" i="29"/>
  <c r="D23" i="29"/>
  <c r="C23" i="29"/>
  <c r="C23" i="44" s="1"/>
  <c r="A23" i="29"/>
  <c r="L22" i="29"/>
  <c r="D22" i="29"/>
  <c r="C22" i="29"/>
  <c r="C22" i="44" s="1"/>
  <c r="A22" i="29"/>
  <c r="L21" i="29"/>
  <c r="D21" i="29"/>
  <c r="C21" i="29"/>
  <c r="C21" i="44" s="1"/>
  <c r="A21" i="29"/>
  <c r="L20" i="29"/>
  <c r="D20" i="29"/>
  <c r="C20" i="29"/>
  <c r="C20" i="44" s="1"/>
  <c r="A20" i="29"/>
  <c r="L19" i="29"/>
  <c r="D19" i="29"/>
  <c r="C19" i="29"/>
  <c r="C19" i="44" s="1"/>
  <c r="A19" i="29"/>
  <c r="A18" i="29"/>
  <c r="A17" i="29"/>
  <c r="D16" i="29"/>
  <c r="C16" i="29"/>
  <c r="C16" i="44" s="1"/>
  <c r="A16" i="29"/>
  <c r="D15" i="29"/>
  <c r="C15" i="29"/>
  <c r="C15" i="44" s="1"/>
  <c r="A15" i="29"/>
  <c r="A14" i="29"/>
  <c r="D13" i="29"/>
  <c r="C13" i="29"/>
  <c r="C13" i="44" s="1"/>
  <c r="A13" i="29"/>
  <c r="D12" i="29"/>
  <c r="C12" i="29"/>
  <c r="C12" i="44" s="1"/>
  <c r="D9" i="29"/>
  <c r="C9" i="29"/>
  <c r="C9" i="44" s="1"/>
  <c r="A9" i="29"/>
  <c r="D8" i="29"/>
  <c r="C8" i="29"/>
  <c r="C8" i="44" s="1"/>
  <c r="A8" i="29"/>
  <c r="D7" i="29"/>
  <c r="C7" i="29"/>
  <c r="C7" i="44" s="1"/>
  <c r="A7" i="29"/>
  <c r="D5" i="29"/>
  <c r="C5" i="29"/>
  <c r="C5" i="44" s="1"/>
  <c r="A4" i="29"/>
  <c r="M21" i="14"/>
  <c r="B20" i="41" s="1"/>
  <c r="M20" i="14"/>
  <c r="L12" i="29" s="1"/>
  <c r="I43" i="2"/>
  <c r="K43" i="2" s="1"/>
  <c r="K38" i="2"/>
  <c r="C28" i="17"/>
  <c r="C49" i="29" s="1"/>
  <c r="C49" i="44" s="1"/>
  <c r="C23" i="17"/>
  <c r="C48" i="29" s="1"/>
  <c r="C48" i="44" s="1"/>
  <c r="C15" i="17"/>
  <c r="C46" i="29" s="1"/>
  <c r="C46" i="44" s="1"/>
  <c r="I7" i="3"/>
  <c r="K7" i="3" s="1"/>
  <c r="H91" i="9"/>
  <c r="Y70" i="9"/>
  <c r="Y69" i="9"/>
  <c r="Y68" i="9"/>
  <c r="Y67" i="9"/>
  <c r="Y66" i="9"/>
  <c r="Y65" i="9"/>
  <c r="Y64" i="9"/>
  <c r="Y63" i="9"/>
  <c r="Y62" i="9"/>
  <c r="Y61" i="9"/>
  <c r="Y60" i="9"/>
  <c r="Y59" i="9"/>
  <c r="Y58" i="9"/>
  <c r="Y57" i="9"/>
  <c r="Y56" i="9"/>
  <c r="Y55" i="9"/>
  <c r="Y54" i="9"/>
  <c r="Y49" i="9"/>
  <c r="Y48" i="9"/>
  <c r="Y47" i="9"/>
  <c r="Y46" i="9"/>
  <c r="Y45" i="9"/>
  <c r="Y44" i="9"/>
  <c r="Y43" i="9"/>
  <c r="Y42" i="9"/>
  <c r="Y41" i="9"/>
  <c r="Y40" i="9"/>
  <c r="Y39" i="9"/>
  <c r="Y32" i="9"/>
  <c r="Y31" i="9"/>
  <c r="Y30" i="9"/>
  <c r="Y29" i="9"/>
  <c r="Y28" i="9"/>
  <c r="Y27" i="9"/>
  <c r="I15" i="9"/>
  <c r="K15" i="9" s="1"/>
  <c r="V16" i="9"/>
  <c r="I65" i="3"/>
  <c r="K65" i="3" s="1"/>
  <c r="N65" i="3" s="1"/>
  <c r="I61" i="3"/>
  <c r="K61" i="3" s="1"/>
  <c r="F36" i="17" s="1"/>
  <c r="E51" i="29" s="1"/>
  <c r="Y57" i="3"/>
  <c r="Y45" i="3"/>
  <c r="Y30" i="3"/>
  <c r="Y23" i="3"/>
  <c r="Y15" i="3"/>
  <c r="I16" i="11"/>
  <c r="K16" i="11" s="1"/>
  <c r="I13" i="11"/>
  <c r="K13" i="11" s="1"/>
  <c r="N13" i="11" s="1"/>
  <c r="V13" i="11" s="1"/>
  <c r="E66" i="12" s="1"/>
  <c r="I6" i="11"/>
  <c r="K6" i="11" s="1"/>
  <c r="N6" i="11" s="1"/>
  <c r="V6" i="11" s="1"/>
  <c r="E63" i="12" s="1"/>
  <c r="I26" i="8"/>
  <c r="K26" i="8" s="1"/>
  <c r="N26" i="8" s="1"/>
  <c r="AA26" i="8" s="1"/>
  <c r="I24" i="8"/>
  <c r="K24" i="8" s="1"/>
  <c r="N24" i="8" s="1"/>
  <c r="I19" i="8"/>
  <c r="K19" i="8" s="1"/>
  <c r="I13" i="8"/>
  <c r="K13" i="8" s="1"/>
  <c r="I7" i="8"/>
  <c r="K7" i="8" s="1"/>
  <c r="K10" i="10"/>
  <c r="N10" i="10" s="1"/>
  <c r="I8" i="10"/>
  <c r="K8" i="10" s="1"/>
  <c r="N8" i="10" s="1"/>
  <c r="I6" i="10"/>
  <c r="K6" i="10" s="1"/>
  <c r="I8" i="13"/>
  <c r="K8" i="13" s="1"/>
  <c r="E6" i="25" s="1"/>
  <c r="E72" i="29" s="1"/>
  <c r="I6" i="13"/>
  <c r="I64" i="3"/>
  <c r="K64" i="3" s="1"/>
  <c r="I60" i="3"/>
  <c r="K60" i="3" s="1"/>
  <c r="I56" i="3"/>
  <c r="K56" i="3" s="1"/>
  <c r="N56" i="3" s="1"/>
  <c r="I14" i="9"/>
  <c r="K14" i="9" s="1"/>
  <c r="N14" i="9" s="1"/>
  <c r="I36" i="3"/>
  <c r="K36" i="3" s="1"/>
  <c r="I26" i="3"/>
  <c r="K26" i="3" s="1"/>
  <c r="I19" i="3"/>
  <c r="K19" i="3" s="1"/>
  <c r="I12" i="4"/>
  <c r="K12" i="4" s="1"/>
  <c r="E7" i="16" s="1"/>
  <c r="E34" i="29" s="1"/>
  <c r="E34" i="44" s="1"/>
  <c r="F35" i="37" s="1"/>
  <c r="I10" i="4"/>
  <c r="K10" i="4" s="1"/>
  <c r="I7" i="4"/>
  <c r="K7" i="4" s="1"/>
  <c r="N8" i="4" s="1"/>
  <c r="I35" i="2"/>
  <c r="K35" i="2" s="1"/>
  <c r="I36" i="2"/>
  <c r="K36" i="2" s="1"/>
  <c r="N36" i="2" s="1"/>
  <c r="I31" i="7"/>
  <c r="K31" i="7" s="1"/>
  <c r="I35" i="5"/>
  <c r="K35" i="5" s="1"/>
  <c r="N35" i="5" s="1"/>
  <c r="Y35" i="5" s="1"/>
  <c r="H25" i="12" s="1"/>
  <c r="I43" i="5"/>
  <c r="K43" i="5" s="1"/>
  <c r="I38" i="5"/>
  <c r="K38" i="5" s="1"/>
  <c r="N38" i="5" s="1"/>
  <c r="I30" i="5"/>
  <c r="K30" i="5" s="1"/>
  <c r="I23" i="5"/>
  <c r="K23" i="5" s="1"/>
  <c r="I16" i="5"/>
  <c r="K16" i="5" s="1"/>
  <c r="K12" i="5"/>
  <c r="I63" i="2"/>
  <c r="K63" i="2" s="1"/>
  <c r="I62" i="2"/>
  <c r="K62" i="2" s="1"/>
  <c r="A6" i="37"/>
  <c r="A12" i="29"/>
  <c r="M26" i="14"/>
  <c r="L17" i="29" s="1"/>
  <c r="M12" i="14"/>
  <c r="B15" i="41" s="1"/>
  <c r="L7" i="29"/>
  <c r="M5" i="14"/>
  <c r="B12" i="41" s="1"/>
  <c r="AA38" i="7"/>
  <c r="Z38" i="7"/>
  <c r="Y38" i="7"/>
  <c r="X38" i="7"/>
  <c r="W38" i="7"/>
  <c r="V38" i="7"/>
  <c r="W17" i="2"/>
  <c r="W18" i="2"/>
  <c r="X17" i="2"/>
  <c r="X18" i="2"/>
  <c r="Y17" i="2"/>
  <c r="Y18" i="2"/>
  <c r="Z17" i="2"/>
  <c r="Z18" i="2"/>
  <c r="AA17" i="2"/>
  <c r="AA18" i="2"/>
  <c r="V17" i="2"/>
  <c r="V18" i="2"/>
  <c r="C47" i="12"/>
  <c r="D57" i="12"/>
  <c r="K64" i="12"/>
  <c r="X7" i="2"/>
  <c r="W39" i="9"/>
  <c r="X39" i="9"/>
  <c r="Z39" i="9"/>
  <c r="AA39" i="9"/>
  <c r="V39" i="9"/>
  <c r="K57" i="2"/>
  <c r="K17" i="2"/>
  <c r="K7" i="2"/>
  <c r="D12" i="12"/>
  <c r="C63" i="12"/>
  <c r="B69" i="12"/>
  <c r="C69" i="12"/>
  <c r="D69" i="12"/>
  <c r="H69" i="12"/>
  <c r="B70" i="12"/>
  <c r="C70" i="12"/>
  <c r="D70" i="12"/>
  <c r="H70" i="12"/>
  <c r="C68" i="12"/>
  <c r="A68" i="12"/>
  <c r="B63" i="12"/>
  <c r="D63" i="12"/>
  <c r="B64" i="12"/>
  <c r="C64" i="12"/>
  <c r="D64" i="12"/>
  <c r="E64" i="12"/>
  <c r="F64" i="12"/>
  <c r="G64" i="12"/>
  <c r="H64" i="12"/>
  <c r="I64" i="12"/>
  <c r="J64" i="12"/>
  <c r="B65" i="12"/>
  <c r="C65" i="12"/>
  <c r="D65" i="12"/>
  <c r="V11" i="11"/>
  <c r="E65" i="12" s="1"/>
  <c r="W11" i="11"/>
  <c r="F65" i="12" s="1"/>
  <c r="X11" i="11"/>
  <c r="G65" i="12" s="1"/>
  <c r="H65" i="12"/>
  <c r="I65" i="12"/>
  <c r="J65" i="12"/>
  <c r="B66" i="12"/>
  <c r="C66" i="12"/>
  <c r="D66" i="12"/>
  <c r="H66" i="12"/>
  <c r="I66" i="12"/>
  <c r="J66" i="12"/>
  <c r="B67" i="12"/>
  <c r="C67" i="12"/>
  <c r="D67" i="12"/>
  <c r="C62" i="12"/>
  <c r="A62" i="12"/>
  <c r="B57" i="12"/>
  <c r="C57" i="12"/>
  <c r="B58" i="12"/>
  <c r="C58" i="12"/>
  <c r="D58" i="12"/>
  <c r="B59" i="12"/>
  <c r="C59" i="12"/>
  <c r="D59" i="12"/>
  <c r="B60" i="12"/>
  <c r="C60" i="12"/>
  <c r="D60" i="12"/>
  <c r="B61" i="12"/>
  <c r="C61" i="12"/>
  <c r="D61" i="12"/>
  <c r="C56" i="12"/>
  <c r="A56" i="12"/>
  <c r="B53" i="12"/>
  <c r="C53" i="12"/>
  <c r="D53" i="12"/>
  <c r="H53" i="12"/>
  <c r="B54" i="12"/>
  <c r="C54" i="12"/>
  <c r="D54" i="12"/>
  <c r="B55" i="12"/>
  <c r="C55" i="12"/>
  <c r="D55" i="12"/>
  <c r="C52" i="12"/>
  <c r="A52" i="12"/>
  <c r="B47" i="12"/>
  <c r="D47" i="12"/>
  <c r="B48" i="12"/>
  <c r="C48" i="12"/>
  <c r="D48" i="12"/>
  <c r="B49" i="12"/>
  <c r="C49" i="12"/>
  <c r="D49" i="12"/>
  <c r="K39" i="9"/>
  <c r="B50" i="12"/>
  <c r="C50" i="12"/>
  <c r="D50" i="12"/>
  <c r="V51" i="9"/>
  <c r="E50" i="12" s="1"/>
  <c r="W51" i="9"/>
  <c r="F50" i="12"/>
  <c r="X51" i="9"/>
  <c r="G50" i="12" s="1"/>
  <c r="Y51" i="9"/>
  <c r="H50" i="12" s="1"/>
  <c r="Z51" i="9"/>
  <c r="I50" i="12" s="1"/>
  <c r="AA51" i="9"/>
  <c r="J50" i="12"/>
  <c r="B51" i="12"/>
  <c r="C51" i="12"/>
  <c r="D51" i="12"/>
  <c r="V54" i="9"/>
  <c r="W54" i="9"/>
  <c r="X54" i="9"/>
  <c r="Z54" i="9"/>
  <c r="AA54" i="9"/>
  <c r="C46" i="12"/>
  <c r="A46" i="12"/>
  <c r="K37" i="3"/>
  <c r="K38" i="3"/>
  <c r="K39" i="3"/>
  <c r="K40" i="3"/>
  <c r="K41" i="3"/>
  <c r="W45" i="3"/>
  <c r="AA45" i="3"/>
  <c r="V45" i="3"/>
  <c r="W15" i="3"/>
  <c r="X15" i="3"/>
  <c r="Z15" i="3"/>
  <c r="AA15" i="3"/>
  <c r="K8" i="3"/>
  <c r="K9" i="3"/>
  <c r="K10" i="3"/>
  <c r="K11" i="3"/>
  <c r="V15" i="3"/>
  <c r="B44" i="12"/>
  <c r="C44" i="12"/>
  <c r="D44" i="12"/>
  <c r="B45" i="12"/>
  <c r="C45" i="12"/>
  <c r="D45" i="12"/>
  <c r="B39" i="12"/>
  <c r="C39" i="12"/>
  <c r="D39" i="12"/>
  <c r="B40" i="12"/>
  <c r="C40" i="12"/>
  <c r="D40" i="12"/>
  <c r="B41" i="12"/>
  <c r="C41" i="12"/>
  <c r="D41" i="12"/>
  <c r="B42" i="12"/>
  <c r="C42" i="12"/>
  <c r="D42" i="12"/>
  <c r="B43" i="12"/>
  <c r="C43" i="12"/>
  <c r="D43" i="12"/>
  <c r="C38" i="12"/>
  <c r="A38" i="12"/>
  <c r="B34" i="12"/>
  <c r="C34" i="12"/>
  <c r="D34" i="12"/>
  <c r="B35" i="12"/>
  <c r="C35" i="12"/>
  <c r="D35" i="12"/>
  <c r="B36" i="12"/>
  <c r="C36" i="12"/>
  <c r="D36" i="12"/>
  <c r="B37" i="12"/>
  <c r="C37" i="12"/>
  <c r="D37" i="12"/>
  <c r="V14" i="4"/>
  <c r="E37" i="12"/>
  <c r="W14" i="4"/>
  <c r="F37" i="12" s="1"/>
  <c r="X14" i="4"/>
  <c r="G37" i="12" s="1"/>
  <c r="Y14" i="4"/>
  <c r="H37" i="12" s="1"/>
  <c r="Z14" i="4"/>
  <c r="I37" i="12" s="1"/>
  <c r="AA14" i="4"/>
  <c r="J37" i="12" s="1"/>
  <c r="C33" i="12"/>
  <c r="A33" i="12"/>
  <c r="B31" i="12"/>
  <c r="C31" i="12"/>
  <c r="D31" i="12"/>
  <c r="B32" i="12"/>
  <c r="C32" i="12"/>
  <c r="D32" i="12"/>
  <c r="V35" i="7"/>
  <c r="W35" i="7"/>
  <c r="X35" i="7"/>
  <c r="Y35" i="7"/>
  <c r="Z35" i="7"/>
  <c r="AA35" i="7"/>
  <c r="B30" i="12"/>
  <c r="C30" i="12"/>
  <c r="D30" i="12"/>
  <c r="C29" i="12"/>
  <c r="A29" i="12"/>
  <c r="W65" i="2"/>
  <c r="F18" i="12" s="1"/>
  <c r="X65" i="2"/>
  <c r="G18" i="12" s="1"/>
  <c r="Y65" i="2"/>
  <c r="H18" i="12" s="1"/>
  <c r="Z65" i="2"/>
  <c r="I18" i="12"/>
  <c r="AA65" i="2"/>
  <c r="J18" i="12" s="1"/>
  <c r="V65" i="2"/>
  <c r="E18" i="12" s="1"/>
  <c r="B21" i="12"/>
  <c r="C21" i="12"/>
  <c r="D21" i="12"/>
  <c r="B22" i="12"/>
  <c r="C22" i="12"/>
  <c r="D22" i="12"/>
  <c r="W15" i="5"/>
  <c r="X15" i="5"/>
  <c r="Y15" i="5"/>
  <c r="Z15" i="5"/>
  <c r="AA15" i="5"/>
  <c r="B23" i="12"/>
  <c r="C23" i="12"/>
  <c r="D23" i="12"/>
  <c r="W22" i="5"/>
  <c r="X22" i="5"/>
  <c r="Y22" i="5"/>
  <c r="Z22" i="5"/>
  <c r="AA22" i="5"/>
  <c r="B24" i="12"/>
  <c r="C24" i="12"/>
  <c r="D24" i="12"/>
  <c r="V29" i="5"/>
  <c r="W29" i="5"/>
  <c r="X29" i="5"/>
  <c r="Y29" i="5"/>
  <c r="Z29" i="5"/>
  <c r="AA29" i="5"/>
  <c r="B25" i="12"/>
  <c r="C25" i="12"/>
  <c r="D25" i="12"/>
  <c r="B26" i="12"/>
  <c r="C26" i="12"/>
  <c r="D26" i="12"/>
  <c r="V39" i="5"/>
  <c r="W39" i="5"/>
  <c r="X39" i="5"/>
  <c r="Y39" i="5"/>
  <c r="Z39" i="5"/>
  <c r="AA39" i="5"/>
  <c r="B27" i="12"/>
  <c r="C27" i="12"/>
  <c r="D27" i="12"/>
  <c r="V41" i="5"/>
  <c r="E27" i="12" s="1"/>
  <c r="W41" i="5"/>
  <c r="F27" i="12" s="1"/>
  <c r="X41" i="5"/>
  <c r="G27" i="12" s="1"/>
  <c r="Y41" i="5"/>
  <c r="H27" i="12"/>
  <c r="Z41" i="5"/>
  <c r="I27" i="12" s="1"/>
  <c r="AA41" i="5"/>
  <c r="J27" i="12" s="1"/>
  <c r="B28" i="12"/>
  <c r="C28" i="12"/>
  <c r="D28" i="12"/>
  <c r="K39" i="2"/>
  <c r="K44" i="2"/>
  <c r="K45" i="2"/>
  <c r="B20" i="12"/>
  <c r="C20" i="12"/>
  <c r="D20" i="12"/>
  <c r="C19" i="12"/>
  <c r="A19" i="12"/>
  <c r="B17" i="12"/>
  <c r="C17" i="12"/>
  <c r="D17" i="12"/>
  <c r="B18" i="12"/>
  <c r="C18" i="12"/>
  <c r="D18" i="12"/>
  <c r="B15" i="12"/>
  <c r="C15" i="12"/>
  <c r="D15" i="12"/>
  <c r="B16" i="12"/>
  <c r="C16" i="12"/>
  <c r="D16" i="12"/>
  <c r="V57" i="2"/>
  <c r="V58" i="2"/>
  <c r="W57" i="2"/>
  <c r="W58" i="2"/>
  <c r="X57" i="2"/>
  <c r="X58" i="2"/>
  <c r="Y57" i="2"/>
  <c r="Y58" i="2"/>
  <c r="Z57" i="2"/>
  <c r="Z58" i="2"/>
  <c r="AA57" i="2"/>
  <c r="AA58" i="2"/>
  <c r="B14" i="12"/>
  <c r="C14" i="12"/>
  <c r="D14" i="12"/>
  <c r="B13" i="12"/>
  <c r="C13" i="12"/>
  <c r="D13" i="12"/>
  <c r="V7" i="2"/>
  <c r="W7" i="2"/>
  <c r="Y7" i="2"/>
  <c r="Z7" i="2"/>
  <c r="AA7" i="2"/>
  <c r="B12" i="12"/>
  <c r="C12" i="12"/>
  <c r="C11" i="12"/>
  <c r="A11" i="12"/>
  <c r="K48" i="9"/>
  <c r="K49" i="9"/>
  <c r="K47" i="9"/>
  <c r="K46" i="9"/>
  <c r="K45" i="9"/>
  <c r="K44" i="9"/>
  <c r="K43" i="9"/>
  <c r="K42" i="9"/>
  <c r="K41" i="9"/>
  <c r="K40" i="9"/>
  <c r="K25" i="9"/>
  <c r="K26" i="9"/>
  <c r="K27" i="9"/>
  <c r="K28" i="9"/>
  <c r="K29" i="9"/>
  <c r="K30" i="9"/>
  <c r="K31" i="9"/>
  <c r="K32" i="9"/>
  <c r="AA49" i="9"/>
  <c r="Z49" i="9"/>
  <c r="X49" i="9"/>
  <c r="W49" i="9"/>
  <c r="V49" i="9"/>
  <c r="AA48" i="9"/>
  <c r="Z48" i="9"/>
  <c r="X48" i="9"/>
  <c r="W48" i="9"/>
  <c r="V48" i="9"/>
  <c r="AA47" i="9"/>
  <c r="Z47" i="9"/>
  <c r="X47" i="9"/>
  <c r="W47" i="9"/>
  <c r="V47" i="9"/>
  <c r="AA46" i="9"/>
  <c r="Z46" i="9"/>
  <c r="X46" i="9"/>
  <c r="W46" i="9"/>
  <c r="V46" i="9"/>
  <c r="AA45" i="9"/>
  <c r="Z45" i="9"/>
  <c r="X45" i="9"/>
  <c r="W45" i="9"/>
  <c r="V45" i="9"/>
  <c r="AA44" i="9"/>
  <c r="Z44" i="9"/>
  <c r="X44" i="9"/>
  <c r="W44" i="9"/>
  <c r="V44" i="9"/>
  <c r="AA43" i="9"/>
  <c r="Z43" i="9"/>
  <c r="X43" i="9"/>
  <c r="W43" i="9"/>
  <c r="V43" i="9"/>
  <c r="AA42" i="9"/>
  <c r="Z42" i="9"/>
  <c r="X42" i="9"/>
  <c r="W42" i="9"/>
  <c r="V42" i="9"/>
  <c r="AA41" i="9"/>
  <c r="Z41" i="9"/>
  <c r="X41" i="9"/>
  <c r="W41" i="9"/>
  <c r="V41" i="9"/>
  <c r="AA40" i="9"/>
  <c r="Z40" i="9"/>
  <c r="X40" i="9"/>
  <c r="W40" i="9"/>
  <c r="V40" i="9"/>
  <c r="AA32" i="9"/>
  <c r="Z32" i="9"/>
  <c r="X32" i="9"/>
  <c r="W32" i="9"/>
  <c r="V32" i="9"/>
  <c r="AA31" i="9"/>
  <c r="Z31" i="9"/>
  <c r="X31" i="9"/>
  <c r="W31" i="9"/>
  <c r="V31" i="9"/>
  <c r="AA30" i="9"/>
  <c r="Z30" i="9"/>
  <c r="X30" i="9"/>
  <c r="W30" i="9"/>
  <c r="V30" i="9"/>
  <c r="AA29" i="9"/>
  <c r="Z29" i="9"/>
  <c r="X29" i="9"/>
  <c r="W29" i="9"/>
  <c r="V29" i="9"/>
  <c r="AA28" i="9"/>
  <c r="Z28" i="9"/>
  <c r="X28" i="9"/>
  <c r="W28" i="9"/>
  <c r="V28" i="9"/>
  <c r="AA27" i="9"/>
  <c r="Z27" i="9"/>
  <c r="X27" i="9"/>
  <c r="W27" i="9"/>
  <c r="V27" i="9"/>
  <c r="AA70" i="9"/>
  <c r="Z70" i="9"/>
  <c r="X70" i="9"/>
  <c r="W70" i="9"/>
  <c r="V70" i="9"/>
  <c r="V55" i="9"/>
  <c r="W55" i="9"/>
  <c r="X55" i="9"/>
  <c r="Z55" i="9"/>
  <c r="AA55" i="9"/>
  <c r="V56" i="9"/>
  <c r="W56" i="9"/>
  <c r="X56" i="9"/>
  <c r="Z56" i="9"/>
  <c r="AA56" i="9"/>
  <c r="V57" i="9"/>
  <c r="W57" i="9"/>
  <c r="X57" i="9"/>
  <c r="Z57" i="9"/>
  <c r="AA57" i="9"/>
  <c r="V58" i="9"/>
  <c r="W58" i="9"/>
  <c r="W53" i="9" s="1"/>
  <c r="F51" i="12" s="1"/>
  <c r="X58" i="9"/>
  <c r="Z58" i="9"/>
  <c r="AA58" i="9"/>
  <c r="V59" i="9"/>
  <c r="W59" i="9"/>
  <c r="X59" i="9"/>
  <c r="Z59" i="9"/>
  <c r="AA59" i="9"/>
  <c r="V60" i="9"/>
  <c r="W60" i="9"/>
  <c r="X60" i="9"/>
  <c r="Z60" i="9"/>
  <c r="AA60" i="9"/>
  <c r="V61" i="9"/>
  <c r="W61" i="9"/>
  <c r="X61" i="9"/>
  <c r="Z61" i="9"/>
  <c r="AA61" i="9"/>
  <c r="V62" i="9"/>
  <c r="W62" i="9"/>
  <c r="X62" i="9"/>
  <c r="Z62" i="9"/>
  <c r="AA62" i="9"/>
  <c r="V63" i="9"/>
  <c r="W63" i="9"/>
  <c r="X63" i="9"/>
  <c r="Z63" i="9"/>
  <c r="AA63" i="9"/>
  <c r="V64" i="9"/>
  <c r="W64" i="9"/>
  <c r="X64" i="9"/>
  <c r="Z64" i="9"/>
  <c r="AA64" i="9"/>
  <c r="V65" i="9"/>
  <c r="W65" i="9"/>
  <c r="X65" i="9"/>
  <c r="Z65" i="9"/>
  <c r="AA65" i="9"/>
  <c r="V66" i="9"/>
  <c r="W66" i="9"/>
  <c r="X66" i="9"/>
  <c r="Z66" i="9"/>
  <c r="AA66" i="9"/>
  <c r="V67" i="9"/>
  <c r="W67" i="9"/>
  <c r="X67" i="9"/>
  <c r="Z67" i="9"/>
  <c r="AA67" i="9"/>
  <c r="V68" i="9"/>
  <c r="W68" i="9"/>
  <c r="X68" i="9"/>
  <c r="Z68" i="9"/>
  <c r="AA68" i="9"/>
  <c r="V69" i="9"/>
  <c r="W69" i="9"/>
  <c r="X69" i="9"/>
  <c r="Z69" i="9"/>
  <c r="AA69" i="9"/>
  <c r="AA36" i="7"/>
  <c r="Z36" i="7"/>
  <c r="Y36" i="7"/>
  <c r="X36" i="7"/>
  <c r="W36" i="7"/>
  <c r="V36" i="7"/>
  <c r="V44" i="2"/>
  <c r="W44" i="2"/>
  <c r="X44" i="2"/>
  <c r="Y44" i="2"/>
  <c r="Z44" i="2"/>
  <c r="AA44" i="2"/>
  <c r="AA57" i="3"/>
  <c r="Z57" i="3"/>
  <c r="X57" i="3"/>
  <c r="W57" i="3"/>
  <c r="V57" i="3"/>
  <c r="Z45" i="3"/>
  <c r="X45" i="3"/>
  <c r="AA30" i="3"/>
  <c r="Z30" i="3"/>
  <c r="X30" i="3"/>
  <c r="W30" i="3"/>
  <c r="V30" i="3"/>
  <c r="AA23" i="3"/>
  <c r="Z23" i="3"/>
  <c r="X23" i="3"/>
  <c r="W23" i="3"/>
  <c r="V23" i="3"/>
  <c r="W8" i="2"/>
  <c r="X8" i="2"/>
  <c r="Y8" i="2"/>
  <c r="Z8" i="2"/>
  <c r="AA8" i="2"/>
  <c r="V8" i="2"/>
  <c r="J26" i="19"/>
  <c r="I67" i="29" s="1"/>
  <c r="E67" i="31" s="1"/>
  <c r="L26" i="19"/>
  <c r="K67" i="29" s="1"/>
  <c r="G67" i="31" s="1"/>
  <c r="D10" i="29"/>
  <c r="H63" i="12"/>
  <c r="J63" i="12"/>
  <c r="I44" i="3"/>
  <c r="K44" i="3" s="1"/>
  <c r="I46" i="3"/>
  <c r="K46" i="3" s="1"/>
  <c r="K26" i="19"/>
  <c r="J67" i="29" s="1"/>
  <c r="G17" i="30" s="1"/>
  <c r="I63" i="12"/>
  <c r="D42" i="37"/>
  <c r="D38" i="37"/>
  <c r="D17" i="29"/>
  <c r="F16" i="15"/>
  <c r="E23" i="29" s="1"/>
  <c r="F17" i="15"/>
  <c r="E24" i="29" s="1"/>
  <c r="F18" i="17"/>
  <c r="J16" i="15"/>
  <c r="I23" i="29" s="1"/>
  <c r="E23" i="31" s="1"/>
  <c r="F20" i="17"/>
  <c r="E47" i="29" s="1"/>
  <c r="L17" i="15"/>
  <c r="K24" i="29" s="1"/>
  <c r="G24" i="31" s="1"/>
  <c r="H17" i="15"/>
  <c r="G24" i="29" s="1"/>
  <c r="C24" i="31" s="1"/>
  <c r="G17" i="15"/>
  <c r="F24" i="29" s="1"/>
  <c r="B24" i="31" s="1"/>
  <c r="J17" i="15"/>
  <c r="I24" i="29" s="1"/>
  <c r="E24" i="31" s="1"/>
  <c r="K17" i="15"/>
  <c r="J24" i="29" s="1"/>
  <c r="F24" i="31" s="1"/>
  <c r="I17" i="15"/>
  <c r="H24" i="29" s="1"/>
  <c r="D24" i="31" s="1"/>
  <c r="L20" i="17"/>
  <c r="K47" i="29" s="1"/>
  <c r="H20" i="17"/>
  <c r="G47" i="29" s="1"/>
  <c r="C47" i="31" s="1"/>
  <c r="K20" i="17"/>
  <c r="J47" i="29" s="1"/>
  <c r="F47" i="31" s="1"/>
  <c r="G20" i="17"/>
  <c r="F47" i="29" s="1"/>
  <c r="B47" i="31" s="1"/>
  <c r="J20" i="17"/>
  <c r="I47" i="29" s="1"/>
  <c r="E47" i="31" s="1"/>
  <c r="I20" i="17"/>
  <c r="H47" i="29" s="1"/>
  <c r="D47" i="31" s="1"/>
  <c r="AA53" i="9"/>
  <c r="J51" i="12" s="1"/>
  <c r="Y35" i="9"/>
  <c r="H49" i="12" s="1"/>
  <c r="Z25" i="9"/>
  <c r="N52" i="3"/>
  <c r="V52" i="3" s="1"/>
  <c r="N8" i="13" l="1"/>
  <c r="AA8" i="13" s="1"/>
  <c r="Y10" i="10"/>
  <c r="H55" i="12" s="1"/>
  <c r="Z10" i="10"/>
  <c r="I55" i="12" s="1"/>
  <c r="X10" i="10"/>
  <c r="G55" i="12" s="1"/>
  <c r="V10" i="10"/>
  <c r="E55" i="12" s="1"/>
  <c r="K6" i="13"/>
  <c r="E5" i="25" s="1"/>
  <c r="E71" i="29" s="1"/>
  <c r="E71" i="44" s="1"/>
  <c r="F72" i="37" s="1"/>
  <c r="G72" i="37" s="1"/>
  <c r="Y53" i="9"/>
  <c r="H51" i="12" s="1"/>
  <c r="D37" i="37"/>
  <c r="E37" i="37" s="1"/>
  <c r="Z8" i="13"/>
  <c r="I70" i="12" s="1"/>
  <c r="J6" i="25"/>
  <c r="J72" i="29" s="1"/>
  <c r="F72" i="31" s="1"/>
  <c r="W35" i="9"/>
  <c r="F49" i="12" s="1"/>
  <c r="A5" i="44"/>
  <c r="O8" i="14"/>
  <c r="V53" i="9"/>
  <c r="E51" i="12" s="1"/>
  <c r="V35" i="9"/>
  <c r="E49" i="12" s="1"/>
  <c r="X35" i="9"/>
  <c r="G49" i="12" s="1"/>
  <c r="Z53" i="9"/>
  <c r="I51" i="12" s="1"/>
  <c r="AA35" i="9"/>
  <c r="J49" i="12" s="1"/>
  <c r="D41" i="37"/>
  <c r="X53" i="9"/>
  <c r="G51" i="12" s="1"/>
  <c r="Z56" i="2"/>
  <c r="I16" i="12" s="1"/>
  <c r="X56" i="2"/>
  <c r="G16" i="12" s="1"/>
  <c r="V56" i="2"/>
  <c r="E16" i="12" s="1"/>
  <c r="Z35" i="9"/>
  <c r="I49" i="12" s="1"/>
  <c r="E42" i="37"/>
  <c r="A27" i="44"/>
  <c r="A26" i="44"/>
  <c r="B4" i="14"/>
  <c r="B3" i="44"/>
  <c r="B4" i="25"/>
  <c r="B3" i="29"/>
  <c r="B3" i="32"/>
  <c r="B3" i="26"/>
  <c r="B4" i="17"/>
  <c r="B8" i="19"/>
  <c r="B4" i="15"/>
  <c r="B4" i="16"/>
  <c r="A56" i="44"/>
  <c r="A51" i="44"/>
  <c r="A54" i="44"/>
  <c r="A52" i="44"/>
  <c r="A50" i="44"/>
  <c r="A48" i="44"/>
  <c r="A46" i="44"/>
  <c r="A44" i="44"/>
  <c r="A45" i="44"/>
  <c r="A69" i="44"/>
  <c r="A66" i="44"/>
  <c r="A68" i="44"/>
  <c r="A67" i="44"/>
  <c r="A65" i="44"/>
  <c r="A64" i="44"/>
  <c r="A63" i="44"/>
  <c r="A62" i="44"/>
  <c r="A60" i="44"/>
  <c r="A61" i="44"/>
  <c r="A58" i="44"/>
  <c r="A59" i="44"/>
  <c r="A57" i="44"/>
  <c r="A41" i="44"/>
  <c r="A34" i="44"/>
  <c r="A38" i="44"/>
  <c r="A42" i="44"/>
  <c r="A33" i="44"/>
  <c r="A37" i="44"/>
  <c r="A35" i="44"/>
  <c r="A39" i="44"/>
  <c r="A32" i="44"/>
  <c r="A36" i="44"/>
  <c r="A40" i="44"/>
  <c r="A31" i="44"/>
  <c r="A30" i="44"/>
  <c r="A28" i="44"/>
  <c r="A25" i="44"/>
  <c r="A23" i="44"/>
  <c r="A24" i="44"/>
  <c r="A22" i="44"/>
  <c r="A21" i="44"/>
  <c r="A20" i="44"/>
  <c r="A18" i="44"/>
  <c r="A19" i="44"/>
  <c r="A14" i="44"/>
  <c r="A15" i="44"/>
  <c r="A16" i="44"/>
  <c r="A17" i="44"/>
  <c r="A10" i="44"/>
  <c r="A11" i="44"/>
  <c r="A13" i="44"/>
  <c r="A7" i="44"/>
  <c r="A8" i="44"/>
  <c r="A4" i="44"/>
  <c r="B49" i="44"/>
  <c r="B46" i="44"/>
  <c r="E24" i="44"/>
  <c r="F25" i="37" s="1"/>
  <c r="G25" i="37" s="1"/>
  <c r="E47" i="44"/>
  <c r="F48" i="37" s="1"/>
  <c r="G48" i="37" s="1"/>
  <c r="E72" i="44"/>
  <c r="F73" i="37" s="1"/>
  <c r="E23" i="44"/>
  <c r="F24" i="37" s="1"/>
  <c r="E51" i="44"/>
  <c r="F52" i="37" s="1"/>
  <c r="B48" i="44"/>
  <c r="E62" i="37"/>
  <c r="W8" i="13"/>
  <c r="V34" i="7"/>
  <c r="E32" i="12" s="1"/>
  <c r="AA10" i="10"/>
  <c r="J55" i="12" s="1"/>
  <c r="W10" i="10"/>
  <c r="F55" i="12" s="1"/>
  <c r="X8" i="13"/>
  <c r="V8" i="13"/>
  <c r="Y34" i="7"/>
  <c r="H32" i="12" s="1"/>
  <c r="Z34" i="7"/>
  <c r="I32" i="12" s="1"/>
  <c r="F17" i="17"/>
  <c r="N19" i="11"/>
  <c r="N18" i="11"/>
  <c r="N17" i="11"/>
  <c r="Y17" i="11" s="1"/>
  <c r="N16" i="11"/>
  <c r="C17" i="29"/>
  <c r="C17" i="44" s="1"/>
  <c r="F38" i="17"/>
  <c r="E52" i="29" s="1"/>
  <c r="N61" i="3"/>
  <c r="B46" i="29"/>
  <c r="B48" i="29"/>
  <c r="E28" i="37"/>
  <c r="E72" i="37"/>
  <c r="E68" i="37"/>
  <c r="E27" i="37"/>
  <c r="E64" i="37"/>
  <c r="E54" i="37"/>
  <c r="E26" i="37"/>
  <c r="E53" i="37"/>
  <c r="E22" i="37"/>
  <c r="E23" i="37"/>
  <c r="E11" i="37"/>
  <c r="E14" i="37"/>
  <c r="E15" i="37"/>
  <c r="C10" i="17"/>
  <c r="E20" i="37"/>
  <c r="E41" i="37"/>
  <c r="E38" i="37"/>
  <c r="E25" i="37"/>
  <c r="E16" i="37"/>
  <c r="E9" i="37"/>
  <c r="E49" i="37"/>
  <c r="E33" i="37"/>
  <c r="E13" i="37"/>
  <c r="E24" i="37"/>
  <c r="C33" i="17"/>
  <c r="E66" i="37"/>
  <c r="E8" i="37"/>
  <c r="I20" i="3"/>
  <c r="E58" i="37"/>
  <c r="C45" i="17"/>
  <c r="C55" i="29" s="1"/>
  <c r="E31" i="37"/>
  <c r="E67" i="37"/>
  <c r="C34" i="17"/>
  <c r="E32" i="37"/>
  <c r="C48" i="17"/>
  <c r="C56" i="29" s="1"/>
  <c r="E17" i="37"/>
  <c r="E43" i="37"/>
  <c r="E44" i="37"/>
  <c r="E30" i="37"/>
  <c r="E52" i="37"/>
  <c r="E10" i="37"/>
  <c r="E69" i="37"/>
  <c r="E47" i="37"/>
  <c r="E45" i="37"/>
  <c r="E34" i="37"/>
  <c r="E40" i="37"/>
  <c r="E70" i="37"/>
  <c r="C42" i="17"/>
  <c r="I37" i="9" s="1"/>
  <c r="K37" i="9" s="1"/>
  <c r="N37" i="9" s="1"/>
  <c r="C21" i="17"/>
  <c r="C9" i="17"/>
  <c r="E65" i="37"/>
  <c r="C20" i="17"/>
  <c r="C47" i="29" s="1"/>
  <c r="E61" i="37"/>
  <c r="E59" i="37"/>
  <c r="E39" i="37"/>
  <c r="E6" i="37"/>
  <c r="E29" i="37"/>
  <c r="E50" i="37"/>
  <c r="E73" i="37"/>
  <c r="E12" i="37"/>
  <c r="E71" i="37"/>
  <c r="E63" i="37"/>
  <c r="C8" i="17"/>
  <c r="C45" i="29" s="1"/>
  <c r="E19" i="37"/>
  <c r="E18" i="37"/>
  <c r="E60" i="37"/>
  <c r="I7" i="9"/>
  <c r="K7" i="9" s="1"/>
  <c r="C43" i="17"/>
  <c r="C49" i="17"/>
  <c r="E21" i="37"/>
  <c r="F12" i="14"/>
  <c r="E8" i="29" s="1"/>
  <c r="N41" i="2"/>
  <c r="N40" i="2"/>
  <c r="N39" i="2"/>
  <c r="N47" i="2"/>
  <c r="N46" i="2"/>
  <c r="N45" i="2"/>
  <c r="K6" i="2"/>
  <c r="F5" i="14" s="1"/>
  <c r="E5" i="29" s="1"/>
  <c r="E5" i="44" s="1"/>
  <c r="F6" i="37" s="1"/>
  <c r="N13" i="2"/>
  <c r="N12" i="2"/>
  <c r="N11" i="2"/>
  <c r="N14" i="2"/>
  <c r="N10" i="2"/>
  <c r="N9" i="2"/>
  <c r="N51" i="2"/>
  <c r="N50" i="2"/>
  <c r="V50" i="2" s="1"/>
  <c r="N21" i="2"/>
  <c r="N24" i="2"/>
  <c r="N20" i="2"/>
  <c r="N23" i="2"/>
  <c r="N22" i="2"/>
  <c r="N19" i="2"/>
  <c r="AA19" i="2" s="1"/>
  <c r="F30" i="17"/>
  <c r="F26" i="17"/>
  <c r="Z21" i="3"/>
  <c r="F31" i="15"/>
  <c r="E30" i="29" s="1"/>
  <c r="E30" i="44" s="1"/>
  <c r="F31" i="37" s="1"/>
  <c r="N33" i="7"/>
  <c r="W33" i="7" s="1"/>
  <c r="N32" i="7"/>
  <c r="X34" i="7"/>
  <c r="G32" i="12" s="1"/>
  <c r="AA34" i="7"/>
  <c r="J32" i="12" s="1"/>
  <c r="W34" i="7"/>
  <c r="F32" i="12" s="1"/>
  <c r="N17" i="9"/>
  <c r="Z17" i="9" s="1"/>
  <c r="F40" i="17"/>
  <c r="E53" i="29" s="1"/>
  <c r="B49" i="29"/>
  <c r="K27" i="3"/>
  <c r="E13" i="16"/>
  <c r="E39" i="29" s="1"/>
  <c r="N36" i="3"/>
  <c r="AA36" i="3" s="1"/>
  <c r="K13" i="16" s="1"/>
  <c r="K39" i="29" s="1"/>
  <c r="G39" i="31" s="1"/>
  <c r="X8" i="4"/>
  <c r="N12" i="5"/>
  <c r="Y12" i="5" s="1"/>
  <c r="F22" i="15"/>
  <c r="E27" i="29" s="1"/>
  <c r="N31" i="5"/>
  <c r="N30" i="5"/>
  <c r="N33" i="5"/>
  <c r="N32" i="5"/>
  <c r="N17" i="5"/>
  <c r="N16" i="5"/>
  <c r="N8" i="8"/>
  <c r="V8" i="8" s="1"/>
  <c r="N10" i="8"/>
  <c r="N9" i="8"/>
  <c r="N7" i="8"/>
  <c r="N16" i="8"/>
  <c r="N15" i="8"/>
  <c r="N14" i="8"/>
  <c r="W14" i="8" s="1"/>
  <c r="N13" i="8"/>
  <c r="N22" i="8"/>
  <c r="N21" i="8"/>
  <c r="N20" i="8"/>
  <c r="V20" i="8" s="1"/>
  <c r="N19" i="8"/>
  <c r="F16" i="19"/>
  <c r="E62" i="29" s="1"/>
  <c r="Z16" i="9"/>
  <c r="F27" i="19"/>
  <c r="Y14" i="9"/>
  <c r="I14" i="16" s="1"/>
  <c r="I40" i="29" s="1"/>
  <c r="E40" i="31" s="1"/>
  <c r="AA14" i="9"/>
  <c r="K14" i="16" s="1"/>
  <c r="K40" i="29" s="1"/>
  <c r="G40" i="31" s="1"/>
  <c r="N12" i="4"/>
  <c r="X12" i="4" s="1"/>
  <c r="G36" i="12" s="1"/>
  <c r="E6" i="16"/>
  <c r="E33" i="29" s="1"/>
  <c r="N10" i="4"/>
  <c r="V10" i="4" s="1"/>
  <c r="X14" i="9"/>
  <c r="H14" i="16" s="1"/>
  <c r="H40" i="29" s="1"/>
  <c r="D40" i="31" s="1"/>
  <c r="W14" i="9"/>
  <c r="G14" i="16" s="1"/>
  <c r="G40" i="29" s="1"/>
  <c r="C40" i="31" s="1"/>
  <c r="V14" i="9"/>
  <c r="F14" i="16" s="1"/>
  <c r="F40" i="29" s="1"/>
  <c r="B40" i="31" s="1"/>
  <c r="E11" i="16"/>
  <c r="E37" i="29" s="1"/>
  <c r="N19" i="3"/>
  <c r="AA8" i="4"/>
  <c r="E5" i="16"/>
  <c r="E32" i="29" s="1"/>
  <c r="H7" i="16"/>
  <c r="H34" i="29" s="1"/>
  <c r="D34" i="31" s="1"/>
  <c r="E14" i="16"/>
  <c r="E40" i="29" s="1"/>
  <c r="Z14" i="9"/>
  <c r="J14" i="16" s="1"/>
  <c r="J40" i="29" s="1"/>
  <c r="F40" i="31" s="1"/>
  <c r="X9" i="5"/>
  <c r="I19" i="15" s="1"/>
  <c r="N26" i="5"/>
  <c r="N24" i="5"/>
  <c r="N25" i="5"/>
  <c r="F10" i="15"/>
  <c r="E21" i="29" s="1"/>
  <c r="N23" i="5"/>
  <c r="N19" i="5"/>
  <c r="N18" i="5"/>
  <c r="I10" i="7"/>
  <c r="I9" i="7"/>
  <c r="AE9" i="7" s="1"/>
  <c r="I12" i="7"/>
  <c r="I13" i="7"/>
  <c r="I11" i="7"/>
  <c r="I25" i="7"/>
  <c r="I22" i="7"/>
  <c r="I24" i="7"/>
  <c r="I21" i="7"/>
  <c r="AE21" i="7" s="1"/>
  <c r="I23" i="7"/>
  <c r="E7" i="29"/>
  <c r="K16" i="2"/>
  <c r="F8" i="14" s="1"/>
  <c r="E6" i="29" s="1"/>
  <c r="E6" i="44" s="1"/>
  <c r="F7" i="37" s="1"/>
  <c r="E16" i="16"/>
  <c r="E42" i="29" s="1"/>
  <c r="N60" i="3"/>
  <c r="K12" i="3"/>
  <c r="N14" i="3" s="1"/>
  <c r="AA14" i="3" s="1"/>
  <c r="F16" i="17"/>
  <c r="E17" i="16"/>
  <c r="E43" i="29" s="1"/>
  <c r="N64" i="3"/>
  <c r="AA56" i="3"/>
  <c r="V56" i="3"/>
  <c r="Z56" i="3"/>
  <c r="W56" i="3"/>
  <c r="X56" i="3"/>
  <c r="Y56" i="3"/>
  <c r="E10" i="16"/>
  <c r="E36" i="29" s="1"/>
  <c r="N7" i="3"/>
  <c r="Z7" i="3" s="1"/>
  <c r="K42" i="3"/>
  <c r="F28" i="17" s="1"/>
  <c r="N26" i="3"/>
  <c r="E12" i="16"/>
  <c r="E38" i="29" s="1"/>
  <c r="W65" i="3"/>
  <c r="H38" i="17" s="1"/>
  <c r="G52" i="29" s="1"/>
  <c r="C52" i="31" s="1"/>
  <c r="V65" i="3"/>
  <c r="G38" i="17" s="1"/>
  <c r="F52" i="29" s="1"/>
  <c r="B52" i="31" s="1"/>
  <c r="AA65" i="3"/>
  <c r="L38" i="17" s="1"/>
  <c r="K52" i="29" s="1"/>
  <c r="G52" i="31" s="1"/>
  <c r="Z65" i="3"/>
  <c r="K38" i="17" s="1"/>
  <c r="J52" i="29" s="1"/>
  <c r="F52" i="31" s="1"/>
  <c r="X65" i="3"/>
  <c r="I38" i="17" s="1"/>
  <c r="H52" i="29" s="1"/>
  <c r="D52" i="31" s="1"/>
  <c r="Y65" i="3"/>
  <c r="J38" i="17" s="1"/>
  <c r="I52" i="29" s="1"/>
  <c r="E52" i="31" s="1"/>
  <c r="Y28" i="3"/>
  <c r="W28" i="3"/>
  <c r="E15" i="16"/>
  <c r="E41" i="29" s="1"/>
  <c r="Z52" i="3"/>
  <c r="W52" i="3"/>
  <c r="AA19" i="3"/>
  <c r="K11" i="16" s="1"/>
  <c r="K37" i="29" s="1"/>
  <c r="G37" i="31" s="1"/>
  <c r="V8" i="4"/>
  <c r="K6" i="4"/>
  <c r="W35" i="5"/>
  <c r="F13" i="15"/>
  <c r="E22" i="29" s="1"/>
  <c r="F7" i="15"/>
  <c r="E20" i="29" s="1"/>
  <c r="E26" i="29"/>
  <c r="W9" i="5"/>
  <c r="H19" i="15" s="1"/>
  <c r="Y38" i="5"/>
  <c r="Y37" i="5" s="1"/>
  <c r="H26" i="12" s="1"/>
  <c r="AA38" i="5"/>
  <c r="AA37" i="5" s="1"/>
  <c r="J26" i="12" s="1"/>
  <c r="W38" i="5"/>
  <c r="W37" i="5" s="1"/>
  <c r="F26" i="12" s="1"/>
  <c r="Z38" i="5"/>
  <c r="Z37" i="5" s="1"/>
  <c r="I26" i="12" s="1"/>
  <c r="V38" i="5"/>
  <c r="V37" i="5" s="1"/>
  <c r="E26" i="12" s="1"/>
  <c r="X38" i="5"/>
  <c r="X37" i="5" s="1"/>
  <c r="G26" i="12" s="1"/>
  <c r="V35" i="5"/>
  <c r="Z35" i="5"/>
  <c r="AA35" i="5"/>
  <c r="X35" i="5"/>
  <c r="L5" i="29"/>
  <c r="AA56" i="2"/>
  <c r="J16" i="12" s="1"/>
  <c r="Y56" i="2"/>
  <c r="H16" i="12" s="1"/>
  <c r="W56" i="2"/>
  <c r="F16" i="12" s="1"/>
  <c r="N63" i="2"/>
  <c r="V63" i="2" s="1"/>
  <c r="G21" i="14" s="1"/>
  <c r="F13" i="29" s="1"/>
  <c r="B13" i="31" s="1"/>
  <c r="F21" i="14"/>
  <c r="E13" i="29" s="1"/>
  <c r="L13" i="29"/>
  <c r="B14" i="41"/>
  <c r="B18" i="41"/>
  <c r="L11" i="29"/>
  <c r="A5" i="29"/>
  <c r="B17" i="41"/>
  <c r="B24" i="41"/>
  <c r="A5" i="31"/>
  <c r="L10" i="29"/>
  <c r="F19" i="14"/>
  <c r="E11" i="29" s="1"/>
  <c r="N53" i="2"/>
  <c r="Z53" i="2" s="1"/>
  <c r="K19" i="14" s="1"/>
  <c r="J11" i="29" s="1"/>
  <c r="F11" i="31" s="1"/>
  <c r="A12" i="41"/>
  <c r="L8" i="29"/>
  <c r="M24" i="14"/>
  <c r="A13" i="37"/>
  <c r="O23" i="14" s="1"/>
  <c r="A12" i="31"/>
  <c r="A19" i="41"/>
  <c r="F15" i="14"/>
  <c r="E9" i="29" s="1"/>
  <c r="B19" i="41"/>
  <c r="N62" i="2"/>
  <c r="F20" i="14"/>
  <c r="E12" i="29" s="1"/>
  <c r="N35" i="2"/>
  <c r="F24" i="14"/>
  <c r="E15" i="29" s="1"/>
  <c r="Z38" i="2"/>
  <c r="N52" i="2"/>
  <c r="F18" i="14"/>
  <c r="E10" i="29" s="1"/>
  <c r="W36" i="2"/>
  <c r="H25" i="14" s="1"/>
  <c r="G16" i="29" s="1"/>
  <c r="C16" i="31" s="1"/>
  <c r="V36" i="2"/>
  <c r="G25" i="14" s="1"/>
  <c r="F16" i="29" s="1"/>
  <c r="B16" i="31" s="1"/>
  <c r="Z36" i="2"/>
  <c r="K25" i="14" s="1"/>
  <c r="J16" i="29" s="1"/>
  <c r="F16" i="31" s="1"/>
  <c r="X36" i="2"/>
  <c r="I25" i="14" s="1"/>
  <c r="H16" i="29" s="1"/>
  <c r="D16" i="31" s="1"/>
  <c r="Y36" i="2"/>
  <c r="J25" i="14" s="1"/>
  <c r="I16" i="29" s="1"/>
  <c r="E16" i="31" s="1"/>
  <c r="AA36" i="2"/>
  <c r="L25" i="14" s="1"/>
  <c r="K16" i="29" s="1"/>
  <c r="G16" i="31" s="1"/>
  <c r="F26" i="14"/>
  <c r="E17" i="29" s="1"/>
  <c r="F25" i="14"/>
  <c r="E16" i="29" s="1"/>
  <c r="AA52" i="3"/>
  <c r="X28" i="3"/>
  <c r="F13" i="19"/>
  <c r="E61" i="29" s="1"/>
  <c r="X52" i="3"/>
  <c r="AA28" i="3"/>
  <c r="Z28" i="3"/>
  <c r="F22" i="19"/>
  <c r="E64" i="29" s="1"/>
  <c r="N6" i="10"/>
  <c r="X6" i="10" s="1"/>
  <c r="F9" i="19"/>
  <c r="E58" i="29" s="1"/>
  <c r="L23" i="19"/>
  <c r="K65" i="29" s="1"/>
  <c r="G65" i="31" s="1"/>
  <c r="J61" i="12"/>
  <c r="AA21" i="3"/>
  <c r="V21" i="3"/>
  <c r="AA16" i="9"/>
  <c r="W16" i="9"/>
  <c r="Y52" i="3"/>
  <c r="Y21" i="3"/>
  <c r="W21" i="3"/>
  <c r="Y16" i="9"/>
  <c r="X16" i="9"/>
  <c r="F23" i="19"/>
  <c r="E65" i="29" s="1"/>
  <c r="F26" i="19"/>
  <c r="E67" i="29" s="1"/>
  <c r="F19" i="19"/>
  <c r="E63" i="29" s="1"/>
  <c r="X21" i="3"/>
  <c r="G26" i="19"/>
  <c r="F67" i="29" s="1"/>
  <c r="B67" i="31" s="1"/>
  <c r="G27" i="19"/>
  <c r="F68" i="29" s="1"/>
  <c r="C18" i="30" s="1"/>
  <c r="C22" i="39" s="1"/>
  <c r="F10" i="19"/>
  <c r="E59" i="29" s="1"/>
  <c r="F29" i="19"/>
  <c r="E69" i="29" s="1"/>
  <c r="G22" i="39"/>
  <c r="AA24" i="8"/>
  <c r="Y24" i="8"/>
  <c r="Z24" i="8"/>
  <c r="AA25" i="9"/>
  <c r="X13" i="11"/>
  <c r="H22" i="39"/>
  <c r="X8" i="10"/>
  <c r="V8" i="10"/>
  <c r="W8" i="10"/>
  <c r="Z8" i="10"/>
  <c r="Y8" i="10"/>
  <c r="AA8" i="10"/>
  <c r="V25" i="9"/>
  <c r="X25" i="9"/>
  <c r="W25" i="9"/>
  <c r="Y25" i="9"/>
  <c r="Z26" i="8"/>
  <c r="W26" i="8"/>
  <c r="W13" i="11"/>
  <c r="V28" i="3"/>
  <c r="F22" i="39"/>
  <c r="V24" i="8"/>
  <c r="X24" i="8"/>
  <c r="W24" i="8"/>
  <c r="X6" i="11"/>
  <c r="V26" i="8"/>
  <c r="X26" i="8"/>
  <c r="Y26" i="8"/>
  <c r="W6" i="11"/>
  <c r="F17" i="30"/>
  <c r="G68" i="31"/>
  <c r="F68" i="31"/>
  <c r="B24" i="39"/>
  <c r="F21" i="39"/>
  <c r="F6" i="15"/>
  <c r="E19" i="29" s="1"/>
  <c r="X6" i="5"/>
  <c r="I6" i="15" s="1"/>
  <c r="H19" i="29" s="1"/>
  <c r="D19" i="31" s="1"/>
  <c r="V6" i="5"/>
  <c r="G6" i="15" s="1"/>
  <c r="Y6" i="5"/>
  <c r="Z6" i="5"/>
  <c r="F18" i="15"/>
  <c r="E25" i="29" s="1"/>
  <c r="N43" i="5"/>
  <c r="W43" i="2"/>
  <c r="Z43" i="2"/>
  <c r="V43" i="2"/>
  <c r="AA43" i="2"/>
  <c r="X43" i="2"/>
  <c r="Y43" i="2"/>
  <c r="W6" i="5"/>
  <c r="AA6" i="5"/>
  <c r="E68" i="31"/>
  <c r="F18" i="30"/>
  <c r="F20" i="30"/>
  <c r="F24" i="39" s="1"/>
  <c r="E71" i="31"/>
  <c r="H21" i="39"/>
  <c r="H17" i="30"/>
  <c r="G35" i="37"/>
  <c r="F67" i="31"/>
  <c r="G21" i="39"/>
  <c r="G47" i="31"/>
  <c r="B20" i="30" l="1"/>
  <c r="X17" i="11"/>
  <c r="G73" i="37"/>
  <c r="J70" i="12"/>
  <c r="K6" i="25"/>
  <c r="K72" i="29" s="1"/>
  <c r="G72" i="31" s="1"/>
  <c r="N6" i="13"/>
  <c r="G52" i="37"/>
  <c r="E61" i="44"/>
  <c r="F62" i="37" s="1"/>
  <c r="E70" i="12"/>
  <c r="F6" i="25"/>
  <c r="F72" i="29" s="1"/>
  <c r="B72" i="31" s="1"/>
  <c r="G70" i="12"/>
  <c r="H6" i="25"/>
  <c r="H72" i="29" s="1"/>
  <c r="D72" i="31" s="1"/>
  <c r="F70" i="12"/>
  <c r="G6" i="25"/>
  <c r="G72" i="29" s="1"/>
  <c r="C72" i="31" s="1"/>
  <c r="G24" i="37"/>
  <c r="I25" i="12"/>
  <c r="K16" i="15"/>
  <c r="J23" i="29" s="1"/>
  <c r="F23" i="31" s="1"/>
  <c r="F25" i="12"/>
  <c r="H16" i="15"/>
  <c r="G23" i="29" s="1"/>
  <c r="C23" i="31" s="1"/>
  <c r="E25" i="12"/>
  <c r="G16" i="15"/>
  <c r="F23" i="29" s="1"/>
  <c r="B23" i="31" s="1"/>
  <c r="J25" i="12"/>
  <c r="L16" i="15"/>
  <c r="K23" i="29" s="1"/>
  <c r="G23" i="31" s="1"/>
  <c r="G25" i="12"/>
  <c r="I16" i="15"/>
  <c r="H23" i="29" s="1"/>
  <c r="D23" i="31" s="1"/>
  <c r="A12" i="44"/>
  <c r="E16" i="44"/>
  <c r="F17" i="37" s="1"/>
  <c r="G17" i="37" s="1"/>
  <c r="O25" i="14" s="1"/>
  <c r="E10" i="44"/>
  <c r="F11" i="37" s="1"/>
  <c r="E15" i="44"/>
  <c r="F16" i="37" s="1"/>
  <c r="G16" i="37" s="1"/>
  <c r="O24" i="14" s="1"/>
  <c r="E22" i="44"/>
  <c r="F23" i="37" s="1"/>
  <c r="G23" i="37" s="1"/>
  <c r="E38" i="44"/>
  <c r="F39" i="37" s="1"/>
  <c r="G39" i="37" s="1"/>
  <c r="N12" i="16" s="1"/>
  <c r="E36" i="44"/>
  <c r="F37" i="37" s="1"/>
  <c r="G37" i="37" s="1"/>
  <c r="N10" i="16" s="1"/>
  <c r="E43" i="44"/>
  <c r="F44" i="37" s="1"/>
  <c r="E42" i="44"/>
  <c r="F43" i="37" s="1"/>
  <c r="G43" i="37" s="1"/>
  <c r="N16" i="16" s="1"/>
  <c r="E40" i="44"/>
  <c r="F41" i="37" s="1"/>
  <c r="G41" i="37" s="1"/>
  <c r="N14" i="16" s="1"/>
  <c r="C55" i="44"/>
  <c r="E52" i="44"/>
  <c r="F53" i="37" s="1"/>
  <c r="G53" i="37" s="1"/>
  <c r="O38" i="17" s="1"/>
  <c r="E25" i="44"/>
  <c r="F26" i="37" s="1"/>
  <c r="G26" i="37" s="1"/>
  <c r="E59" i="44"/>
  <c r="F60" i="37" s="1"/>
  <c r="G60" i="37" s="1"/>
  <c r="O10" i="19" s="1"/>
  <c r="E63" i="44"/>
  <c r="F64" i="37" s="1"/>
  <c r="E64" i="44"/>
  <c r="F65" i="37" s="1"/>
  <c r="G65" i="37" s="1"/>
  <c r="E17" i="44"/>
  <c r="F18" i="37" s="1"/>
  <c r="G18" i="37" s="1"/>
  <c r="O26" i="14" s="1"/>
  <c r="E9" i="44"/>
  <c r="F10" i="37" s="1"/>
  <c r="G10" i="37" s="1"/>
  <c r="O15" i="14" s="1"/>
  <c r="E11" i="44"/>
  <c r="F12" i="37" s="1"/>
  <c r="G12" i="37" s="1"/>
  <c r="O19" i="14" s="1"/>
  <c r="E13" i="44"/>
  <c r="F14" i="37" s="1"/>
  <c r="G14" i="37" s="1"/>
  <c r="O21" i="14" s="1"/>
  <c r="E37" i="44"/>
  <c r="F38" i="37" s="1"/>
  <c r="E62" i="44"/>
  <c r="F63" i="37" s="1"/>
  <c r="G63" i="37" s="1"/>
  <c r="E27" i="44"/>
  <c r="F28" i="37" s="1"/>
  <c r="G28" i="37" s="1"/>
  <c r="E39" i="44"/>
  <c r="F40" i="37" s="1"/>
  <c r="G40" i="37" s="1"/>
  <c r="N13" i="16" s="1"/>
  <c r="E53" i="44"/>
  <c r="F54" i="37" s="1"/>
  <c r="B19" i="30"/>
  <c r="C41" i="19" s="1"/>
  <c r="E69" i="44"/>
  <c r="F70" i="37" s="1"/>
  <c r="E19" i="44"/>
  <c r="F20" i="37" s="1"/>
  <c r="G20" i="37" s="1"/>
  <c r="E67" i="44"/>
  <c r="F68" i="37" s="1"/>
  <c r="G68" i="37" s="1"/>
  <c r="E8" i="44"/>
  <c r="F9" i="37" s="1"/>
  <c r="G9" i="37" s="1"/>
  <c r="O12" i="14" s="1"/>
  <c r="E12" i="44"/>
  <c r="F13" i="37" s="1"/>
  <c r="G13" i="37" s="1"/>
  <c r="O20" i="14" s="1"/>
  <c r="E26" i="44"/>
  <c r="F27" i="37" s="1"/>
  <c r="G27" i="37" s="1"/>
  <c r="E7" i="44"/>
  <c r="F8" i="37" s="1"/>
  <c r="G8" i="37" s="1"/>
  <c r="O11" i="14" s="1"/>
  <c r="E21" i="44"/>
  <c r="F22" i="37" s="1"/>
  <c r="G22" i="37" s="1"/>
  <c r="B10" i="30"/>
  <c r="B14" i="39" s="1"/>
  <c r="E32" i="44"/>
  <c r="F33" i="37" s="1"/>
  <c r="G33" i="37" s="1"/>
  <c r="N5" i="16" s="1"/>
  <c r="E33" i="44"/>
  <c r="F34" i="37" s="1"/>
  <c r="G34" i="37" s="1"/>
  <c r="N6" i="16" s="1"/>
  <c r="C47" i="44"/>
  <c r="E65" i="44"/>
  <c r="F66" i="37" s="1"/>
  <c r="G66" i="37" s="1"/>
  <c r="E58" i="44"/>
  <c r="F59" i="37" s="1"/>
  <c r="G59" i="37" s="1"/>
  <c r="O9" i="19" s="1"/>
  <c r="E20" i="44"/>
  <c r="F21" i="37" s="1"/>
  <c r="G21" i="37" s="1"/>
  <c r="E41" i="44"/>
  <c r="F42" i="37" s="1"/>
  <c r="G42" i="37" s="1"/>
  <c r="N15" i="16" s="1"/>
  <c r="C45" i="44"/>
  <c r="C56" i="44"/>
  <c r="Z12" i="4"/>
  <c r="W12" i="4"/>
  <c r="F36" i="12" s="1"/>
  <c r="Y12" i="4"/>
  <c r="B22" i="39"/>
  <c r="E68" i="29"/>
  <c r="C37" i="19" s="1"/>
  <c r="Z36" i="3"/>
  <c r="J13" i="16" s="1"/>
  <c r="J39" i="29" s="1"/>
  <c r="F39" i="31" s="1"/>
  <c r="G31" i="37"/>
  <c r="Y18" i="11"/>
  <c r="X18" i="11"/>
  <c r="W18" i="11"/>
  <c r="AA18" i="11"/>
  <c r="V18" i="11"/>
  <c r="Z18" i="11"/>
  <c r="AA17" i="11"/>
  <c r="W17" i="11"/>
  <c r="V19" i="11"/>
  <c r="Z19" i="11"/>
  <c r="Y19" i="11"/>
  <c r="X19" i="11"/>
  <c r="W19" i="11"/>
  <c r="AA19" i="11"/>
  <c r="V17" i="11"/>
  <c r="Z17" i="11"/>
  <c r="X16" i="11"/>
  <c r="I29" i="19" s="1"/>
  <c r="H69" i="29" s="1"/>
  <c r="E19" i="30" s="1"/>
  <c r="E23" i="39" s="1"/>
  <c r="W16" i="11"/>
  <c r="AA16" i="11"/>
  <c r="L29" i="19" s="1"/>
  <c r="K69" i="29" s="1"/>
  <c r="V16" i="11"/>
  <c r="Z16" i="11"/>
  <c r="K29" i="19" s="1"/>
  <c r="J69" i="29" s="1"/>
  <c r="F69" i="31" s="1"/>
  <c r="Y16" i="11"/>
  <c r="X36" i="3"/>
  <c r="H13" i="16" s="1"/>
  <c r="H39" i="29" s="1"/>
  <c r="D39" i="31" s="1"/>
  <c r="N10" i="9"/>
  <c r="N8" i="9"/>
  <c r="N11" i="9"/>
  <c r="V36" i="3"/>
  <c r="F13" i="16" s="1"/>
  <c r="F39" i="29" s="1"/>
  <c r="B39" i="31" s="1"/>
  <c r="Y36" i="3"/>
  <c r="I13" i="16" s="1"/>
  <c r="I39" i="29" s="1"/>
  <c r="E39" i="31" s="1"/>
  <c r="W36" i="3"/>
  <c r="G13" i="16" s="1"/>
  <c r="G39" i="29" s="1"/>
  <c r="C39" i="31" s="1"/>
  <c r="Y61" i="3"/>
  <c r="J36" i="17" s="1"/>
  <c r="I51" i="29" s="1"/>
  <c r="E51" i="31" s="1"/>
  <c r="AA61" i="3"/>
  <c r="L36" i="17" s="1"/>
  <c r="K51" i="29" s="1"/>
  <c r="G51" i="31" s="1"/>
  <c r="W61" i="3"/>
  <c r="H36" i="17" s="1"/>
  <c r="G51" i="29" s="1"/>
  <c r="C51" i="31" s="1"/>
  <c r="X61" i="3"/>
  <c r="I36" i="17" s="1"/>
  <c r="H51" i="29" s="1"/>
  <c r="D51" i="31" s="1"/>
  <c r="Z61" i="3"/>
  <c r="K36" i="17" s="1"/>
  <c r="J51" i="29" s="1"/>
  <c r="F51" i="31" s="1"/>
  <c r="V61" i="3"/>
  <c r="G36" i="17" s="1"/>
  <c r="F51" i="29" s="1"/>
  <c r="B51" i="31" s="1"/>
  <c r="G11" i="37"/>
  <c r="O18" i="14" s="1"/>
  <c r="F45" i="17"/>
  <c r="E55" i="29" s="1"/>
  <c r="G64" i="37"/>
  <c r="G54" i="37"/>
  <c r="O40" i="17" s="1"/>
  <c r="I38" i="9"/>
  <c r="K38" i="9" s="1"/>
  <c r="F48" i="17" s="1"/>
  <c r="E56" i="29" s="1"/>
  <c r="C54" i="29"/>
  <c r="K20" i="3"/>
  <c r="N22" i="3" s="1"/>
  <c r="X22" i="3" s="1"/>
  <c r="G44" i="37"/>
  <c r="N17" i="16" s="1"/>
  <c r="I24" i="9"/>
  <c r="K24" i="9" s="1"/>
  <c r="F7" i="17"/>
  <c r="N7" i="9"/>
  <c r="I51" i="3"/>
  <c r="K51" i="3" s="1"/>
  <c r="C50" i="29"/>
  <c r="G38" i="37"/>
  <c r="N11" i="16" s="1"/>
  <c r="Z20" i="8"/>
  <c r="Y22" i="2"/>
  <c r="V22" i="2"/>
  <c r="Z22" i="2"/>
  <c r="W22" i="2"/>
  <c r="AA22" i="2"/>
  <c r="X22" i="2"/>
  <c r="W21" i="2"/>
  <c r="X21" i="2"/>
  <c r="Y21" i="2"/>
  <c r="Z21" i="2"/>
  <c r="AA21" i="2"/>
  <c r="V21" i="2"/>
  <c r="W10" i="2"/>
  <c r="X10" i="2"/>
  <c r="Y10" i="2"/>
  <c r="Z10" i="2"/>
  <c r="AA10" i="2"/>
  <c r="V10" i="2"/>
  <c r="Y13" i="2"/>
  <c r="V13" i="2"/>
  <c r="Z13" i="2"/>
  <c r="W13" i="2"/>
  <c r="AA13" i="2"/>
  <c r="X13" i="2"/>
  <c r="Y63" i="2"/>
  <c r="J21" i="14" s="1"/>
  <c r="I13" i="29" s="1"/>
  <c r="E13" i="31" s="1"/>
  <c r="W23" i="2"/>
  <c r="AA23" i="2"/>
  <c r="X23" i="2"/>
  <c r="Y23" i="2"/>
  <c r="V23" i="2"/>
  <c r="Z23" i="2"/>
  <c r="W14" i="2"/>
  <c r="AA14" i="2"/>
  <c r="X14" i="2"/>
  <c r="Y14" i="2"/>
  <c r="V14" i="2"/>
  <c r="Z14" i="2"/>
  <c r="Y45" i="2"/>
  <c r="V45" i="2"/>
  <c r="Z45" i="2"/>
  <c r="W45" i="2"/>
  <c r="AA45" i="2"/>
  <c r="X45" i="2"/>
  <c r="W20" i="2"/>
  <c r="X20" i="2"/>
  <c r="Y20" i="2"/>
  <c r="Z20" i="2"/>
  <c r="AA20" i="2"/>
  <c r="V20" i="2"/>
  <c r="W11" i="2"/>
  <c r="X11" i="2"/>
  <c r="Y11" i="2"/>
  <c r="Z11" i="2"/>
  <c r="AA11" i="2"/>
  <c r="V11" i="2"/>
  <c r="W46" i="2"/>
  <c r="AA46" i="2"/>
  <c r="X46" i="2"/>
  <c r="Y46" i="2"/>
  <c r="V46" i="2"/>
  <c r="Z46" i="2"/>
  <c r="W24" i="2"/>
  <c r="X24" i="2"/>
  <c r="Y24" i="2"/>
  <c r="Z24" i="2"/>
  <c r="AA24" i="2"/>
  <c r="V24" i="2"/>
  <c r="W12" i="2"/>
  <c r="X12" i="2"/>
  <c r="Y12" i="2"/>
  <c r="Z12" i="2"/>
  <c r="AA12" i="2"/>
  <c r="V12" i="2"/>
  <c r="W47" i="2"/>
  <c r="AA47" i="2"/>
  <c r="X47" i="2"/>
  <c r="Y47" i="2"/>
  <c r="V47" i="2"/>
  <c r="Z47" i="2"/>
  <c r="K23" i="7"/>
  <c r="AG23" i="7" s="1"/>
  <c r="AE23" i="7"/>
  <c r="K25" i="7"/>
  <c r="AG25" i="7" s="1"/>
  <c r="AE25" i="7"/>
  <c r="K11" i="7"/>
  <c r="AG11" i="7" s="1"/>
  <c r="AE11" i="7"/>
  <c r="K10" i="7"/>
  <c r="AG10" i="7" s="1"/>
  <c r="AE10" i="7"/>
  <c r="K24" i="7"/>
  <c r="AG24" i="7" s="1"/>
  <c r="AE24" i="7"/>
  <c r="K13" i="7"/>
  <c r="AG13" i="7" s="1"/>
  <c r="AE13" i="7"/>
  <c r="K22" i="7"/>
  <c r="AG22" i="7" s="1"/>
  <c r="AE22" i="7"/>
  <c r="K12" i="7"/>
  <c r="AG12" i="7" s="1"/>
  <c r="AE12" i="7"/>
  <c r="G6" i="37"/>
  <c r="O5" i="14" s="1"/>
  <c r="V14" i="3"/>
  <c r="Z15" i="9"/>
  <c r="K40" i="17" s="1"/>
  <c r="J53" i="29" s="1"/>
  <c r="F53" i="31" s="1"/>
  <c r="X14" i="3"/>
  <c r="Y14" i="3"/>
  <c r="W14" i="3"/>
  <c r="X37" i="9"/>
  <c r="I45" i="17" s="1"/>
  <c r="H55" i="29" s="1"/>
  <c r="D55" i="31" s="1"/>
  <c r="V37" i="9"/>
  <c r="G45" i="17" s="1"/>
  <c r="F55" i="29" s="1"/>
  <c r="B55" i="31" s="1"/>
  <c r="AA37" i="9"/>
  <c r="L45" i="17" s="1"/>
  <c r="K55" i="29" s="1"/>
  <c r="G55" i="31" s="1"/>
  <c r="W37" i="9"/>
  <c r="H45" i="17" s="1"/>
  <c r="G55" i="29" s="1"/>
  <c r="C55" i="31" s="1"/>
  <c r="Y37" i="9"/>
  <c r="J45" i="17" s="1"/>
  <c r="I55" i="29" s="1"/>
  <c r="E55" i="31" s="1"/>
  <c r="Z37" i="9"/>
  <c r="K45" i="17" s="1"/>
  <c r="J55" i="29" s="1"/>
  <c r="F55" i="31" s="1"/>
  <c r="Z14" i="3"/>
  <c r="G62" i="37"/>
  <c r="O13" i="19" s="1"/>
  <c r="AA12" i="5"/>
  <c r="AA33" i="7"/>
  <c r="X32" i="7"/>
  <c r="AA32" i="7"/>
  <c r="W32" i="7"/>
  <c r="W31" i="7" s="1"/>
  <c r="Z32" i="7"/>
  <c r="V32" i="7"/>
  <c r="Y32" i="7"/>
  <c r="X33" i="7"/>
  <c r="Z33" i="7"/>
  <c r="Z31" i="7" s="1"/>
  <c r="Y33" i="7"/>
  <c r="V33" i="7"/>
  <c r="X12" i="5"/>
  <c r="X8" i="8"/>
  <c r="Y17" i="9"/>
  <c r="Y15" i="9" s="1"/>
  <c r="V17" i="9"/>
  <c r="V15" i="9" s="1"/>
  <c r="G40" i="17" s="1"/>
  <c r="F53" i="29" s="1"/>
  <c r="B53" i="31" s="1"/>
  <c r="W17" i="9"/>
  <c r="W15" i="9" s="1"/>
  <c r="H40" i="17" s="1"/>
  <c r="G53" i="29" s="1"/>
  <c r="C53" i="31" s="1"/>
  <c r="AA17" i="9"/>
  <c r="AA15" i="9" s="1"/>
  <c r="X17" i="9"/>
  <c r="X15" i="9" s="1"/>
  <c r="I40" i="17" s="1"/>
  <c r="H53" i="29" s="1"/>
  <c r="D53" i="31" s="1"/>
  <c r="E49" i="29"/>
  <c r="AA43" i="3"/>
  <c r="N44" i="3"/>
  <c r="N29" i="3"/>
  <c r="F23" i="17"/>
  <c r="AA8" i="8"/>
  <c r="Y8" i="8"/>
  <c r="Z8" i="8"/>
  <c r="W8" i="8"/>
  <c r="V12" i="4"/>
  <c r="E36" i="12" s="1"/>
  <c r="Y7" i="4"/>
  <c r="V7" i="4"/>
  <c r="V6" i="4" s="1"/>
  <c r="E34" i="12" s="1"/>
  <c r="Z7" i="4"/>
  <c r="W7" i="4"/>
  <c r="AA7" i="4"/>
  <c r="AA6" i="4" s="1"/>
  <c r="J34" i="12" s="1"/>
  <c r="X7" i="4"/>
  <c r="X6" i="4" s="1"/>
  <c r="G34" i="12" s="1"/>
  <c r="AA12" i="4"/>
  <c r="J36" i="12" s="1"/>
  <c r="V12" i="5"/>
  <c r="Z12" i="5"/>
  <c r="W12" i="5"/>
  <c r="Z31" i="5"/>
  <c r="V31" i="5"/>
  <c r="Y31" i="5"/>
  <c r="X31" i="5"/>
  <c r="AA31" i="5"/>
  <c r="W31" i="5"/>
  <c r="X32" i="5"/>
  <c r="AA32" i="5"/>
  <c r="W32" i="5"/>
  <c r="Z32" i="5"/>
  <c r="V32" i="5"/>
  <c r="Y32" i="5"/>
  <c r="Z33" i="5"/>
  <c r="V33" i="5"/>
  <c r="Y33" i="5"/>
  <c r="X33" i="5"/>
  <c r="AA33" i="5"/>
  <c r="W33" i="5"/>
  <c r="X30" i="5"/>
  <c r="AA30" i="5"/>
  <c r="W30" i="5"/>
  <c r="Z30" i="5"/>
  <c r="V30" i="5"/>
  <c r="Y30" i="5"/>
  <c r="Z14" i="8"/>
  <c r="X20" i="8"/>
  <c r="Y14" i="8"/>
  <c r="Y9" i="8"/>
  <c r="X9" i="8"/>
  <c r="W9" i="8"/>
  <c r="AA9" i="8"/>
  <c r="V9" i="8"/>
  <c r="Z9" i="8"/>
  <c r="V14" i="8"/>
  <c r="X14" i="8"/>
  <c r="Y20" i="8"/>
  <c r="W20" i="8"/>
  <c r="W21" i="8"/>
  <c r="AA21" i="8"/>
  <c r="V21" i="8"/>
  <c r="Z21" i="8"/>
  <c r="Y21" i="8"/>
  <c r="X21" i="8"/>
  <c r="V15" i="8"/>
  <c r="Z15" i="8"/>
  <c r="Y15" i="8"/>
  <c r="X15" i="8"/>
  <c r="W15" i="8"/>
  <c r="AA15" i="8"/>
  <c r="V10" i="8"/>
  <c r="Z10" i="8"/>
  <c r="Y10" i="8"/>
  <c r="X10" i="8"/>
  <c r="W10" i="8"/>
  <c r="AA10" i="8"/>
  <c r="AA14" i="8"/>
  <c r="AA20" i="8"/>
  <c r="X22" i="8"/>
  <c r="W22" i="8"/>
  <c r="AA22" i="8"/>
  <c r="V22" i="8"/>
  <c r="Z22" i="8"/>
  <c r="Y22" i="8"/>
  <c r="W16" i="8"/>
  <c r="AA16" i="8"/>
  <c r="V16" i="8"/>
  <c r="Z16" i="8"/>
  <c r="Y16" i="8"/>
  <c r="X16" i="8"/>
  <c r="V19" i="8"/>
  <c r="Z19" i="8"/>
  <c r="Y19" i="8"/>
  <c r="X19" i="8"/>
  <c r="W19" i="8"/>
  <c r="AA19" i="8"/>
  <c r="Y13" i="8"/>
  <c r="X13" i="8"/>
  <c r="W13" i="8"/>
  <c r="AA13" i="8"/>
  <c r="V13" i="8"/>
  <c r="Z13" i="8"/>
  <c r="V7" i="8"/>
  <c r="X7" i="8"/>
  <c r="W7" i="8"/>
  <c r="AA7" i="8"/>
  <c r="Z7" i="8"/>
  <c r="Y7" i="8"/>
  <c r="X43" i="3"/>
  <c r="Y43" i="3"/>
  <c r="W43" i="3"/>
  <c r="V43" i="3"/>
  <c r="Z43" i="3"/>
  <c r="Z8" i="4"/>
  <c r="Y8" i="4"/>
  <c r="W8" i="4"/>
  <c r="B12" i="30"/>
  <c r="B16" i="39" s="1"/>
  <c r="B11" i="30"/>
  <c r="B15" i="39" s="1"/>
  <c r="Y10" i="4"/>
  <c r="W10" i="4"/>
  <c r="X10" i="4"/>
  <c r="Z10" i="4"/>
  <c r="AA10" i="4"/>
  <c r="F6" i="16"/>
  <c r="F33" i="29" s="1"/>
  <c r="E35" i="12"/>
  <c r="W19" i="3"/>
  <c r="G11" i="16" s="1"/>
  <c r="G37" i="29" s="1"/>
  <c r="C37" i="31" s="1"/>
  <c r="X19" i="3"/>
  <c r="H11" i="16" s="1"/>
  <c r="H37" i="29" s="1"/>
  <c r="D37" i="31" s="1"/>
  <c r="Z19" i="3"/>
  <c r="J11" i="16" s="1"/>
  <c r="J37" i="29" s="1"/>
  <c r="F37" i="31" s="1"/>
  <c r="K7" i="16"/>
  <c r="K34" i="29" s="1"/>
  <c r="I7" i="16"/>
  <c r="I34" i="29" s="1"/>
  <c r="H36" i="12"/>
  <c r="Y19" i="3"/>
  <c r="I11" i="16" s="1"/>
  <c r="I37" i="29" s="1"/>
  <c r="E37" i="31" s="1"/>
  <c r="G7" i="16"/>
  <c r="G34" i="29" s="1"/>
  <c r="C34" i="31" s="1"/>
  <c r="V19" i="3"/>
  <c r="F11" i="16" s="1"/>
  <c r="F37" i="29" s="1"/>
  <c r="B37" i="31" s="1"/>
  <c r="J7" i="16"/>
  <c r="J34" i="29" s="1"/>
  <c r="F34" i="31" s="1"/>
  <c r="I36" i="12"/>
  <c r="Y9" i="5"/>
  <c r="J19" i="15" s="1"/>
  <c r="I26" i="29" s="1"/>
  <c r="AA9" i="5"/>
  <c r="L19" i="15" s="1"/>
  <c r="K19" i="15"/>
  <c r="Y24" i="5"/>
  <c r="X24" i="5"/>
  <c r="AA24" i="5"/>
  <c r="V24" i="5"/>
  <c r="W24" i="5"/>
  <c r="Z24" i="5"/>
  <c r="AA23" i="5"/>
  <c r="W23" i="5"/>
  <c r="V23" i="5"/>
  <c r="Y23" i="5"/>
  <c r="Z23" i="5"/>
  <c r="X23" i="5"/>
  <c r="Y26" i="5"/>
  <c r="AA26" i="5"/>
  <c r="V26" i="5"/>
  <c r="X26" i="5"/>
  <c r="W26" i="5"/>
  <c r="Z26" i="5"/>
  <c r="AA25" i="5"/>
  <c r="W25" i="5"/>
  <c r="Y25" i="5"/>
  <c r="X25" i="5"/>
  <c r="Z25" i="5"/>
  <c r="V25" i="5"/>
  <c r="Y19" i="5"/>
  <c r="X19" i="5"/>
  <c r="AA19" i="5"/>
  <c r="W19" i="5"/>
  <c r="Z19" i="5"/>
  <c r="V19" i="5"/>
  <c r="AA18" i="5"/>
  <c r="W18" i="5"/>
  <c r="Z18" i="5"/>
  <c r="V18" i="5"/>
  <c r="Y18" i="5"/>
  <c r="X18" i="5"/>
  <c r="Z40" i="2"/>
  <c r="V40" i="2"/>
  <c r="AA40" i="2"/>
  <c r="W40" i="2"/>
  <c r="X40" i="2"/>
  <c r="Y40" i="2"/>
  <c r="V39" i="2"/>
  <c r="AA39" i="2"/>
  <c r="W39" i="2"/>
  <c r="X39" i="2"/>
  <c r="Y39" i="2"/>
  <c r="Z39" i="2"/>
  <c r="V41" i="2"/>
  <c r="W41" i="2"/>
  <c r="Y41" i="2"/>
  <c r="X41" i="2"/>
  <c r="AA41" i="2"/>
  <c r="Z41" i="2"/>
  <c r="B4" i="30"/>
  <c r="B8" i="39" s="1"/>
  <c r="B68" i="31"/>
  <c r="B17" i="30"/>
  <c r="X55" i="3"/>
  <c r="G43" i="12" s="1"/>
  <c r="H15" i="16"/>
  <c r="H41" i="29" s="1"/>
  <c r="D41" i="31" s="1"/>
  <c r="K15" i="16"/>
  <c r="K41" i="29" s="1"/>
  <c r="G41" i="31" s="1"/>
  <c r="AA55" i="3"/>
  <c r="J43" i="12" s="1"/>
  <c r="F15" i="17"/>
  <c r="Z26" i="3"/>
  <c r="J12" i="16" s="1"/>
  <c r="J38" i="29" s="1"/>
  <c r="F38" i="31" s="1"/>
  <c r="Y26" i="3"/>
  <c r="V26" i="3"/>
  <c r="F12" i="16" s="1"/>
  <c r="F38" i="29" s="1"/>
  <c r="B38" i="31" s="1"/>
  <c r="AA26" i="3"/>
  <c r="K12" i="16" s="1"/>
  <c r="K38" i="29" s="1"/>
  <c r="G38" i="31" s="1"/>
  <c r="X26" i="3"/>
  <c r="H12" i="16" s="1"/>
  <c r="H38" i="29" s="1"/>
  <c r="D38" i="31" s="1"/>
  <c r="W26" i="3"/>
  <c r="Y55" i="3"/>
  <c r="I15" i="16"/>
  <c r="I41" i="29" s="1"/>
  <c r="E41" i="31" s="1"/>
  <c r="F15" i="16"/>
  <c r="F41" i="29" s="1"/>
  <c r="B41" i="31" s="1"/>
  <c r="V55" i="3"/>
  <c r="E43" i="12" s="1"/>
  <c r="W7" i="3"/>
  <c r="AA7" i="3"/>
  <c r="K10" i="16" s="1"/>
  <c r="K36" i="29" s="1"/>
  <c r="X7" i="3"/>
  <c r="H10" i="16" s="1"/>
  <c r="H36" i="29" s="1"/>
  <c r="V7" i="3"/>
  <c r="F10" i="16" s="1"/>
  <c r="F36" i="29" s="1"/>
  <c r="J10" i="16"/>
  <c r="J36" i="29" s="1"/>
  <c r="Y7" i="3"/>
  <c r="I10" i="16" s="1"/>
  <c r="I36" i="29" s="1"/>
  <c r="G15" i="16"/>
  <c r="G41" i="29" s="1"/>
  <c r="C41" i="31" s="1"/>
  <c r="W55" i="3"/>
  <c r="F43" i="12" s="1"/>
  <c r="W64" i="3"/>
  <c r="X64" i="3"/>
  <c r="V64" i="3"/>
  <c r="Z64" i="3"/>
  <c r="AA64" i="3"/>
  <c r="Y64" i="3"/>
  <c r="X60" i="3"/>
  <c r="Z60" i="3"/>
  <c r="AA60" i="3"/>
  <c r="V60" i="3"/>
  <c r="W60" i="3"/>
  <c r="Y60" i="3"/>
  <c r="J15" i="16"/>
  <c r="J41" i="29" s="1"/>
  <c r="F41" i="31" s="1"/>
  <c r="Z55" i="3"/>
  <c r="I43" i="12" s="1"/>
  <c r="I26" i="7"/>
  <c r="K21" i="7"/>
  <c r="I14" i="7"/>
  <c r="K9" i="7"/>
  <c r="AA17" i="5"/>
  <c r="Y17" i="5"/>
  <c r="W17" i="5"/>
  <c r="V17" i="5"/>
  <c r="X17" i="5"/>
  <c r="Z17" i="5"/>
  <c r="Z16" i="5"/>
  <c r="X16" i="5"/>
  <c r="W16" i="5"/>
  <c r="Y16" i="5"/>
  <c r="AA16" i="5"/>
  <c r="V16" i="5"/>
  <c r="B8" i="30"/>
  <c r="B12" i="39" s="1"/>
  <c r="Z11" i="5"/>
  <c r="V11" i="5"/>
  <c r="Y11" i="5"/>
  <c r="W11" i="5"/>
  <c r="G26" i="29" s="1"/>
  <c r="AA11" i="5"/>
  <c r="X11" i="5"/>
  <c r="W38" i="2"/>
  <c r="X63" i="2"/>
  <c r="I21" i="14" s="1"/>
  <c r="H13" i="29" s="1"/>
  <c r="D13" i="31" s="1"/>
  <c r="Z63" i="2"/>
  <c r="K21" i="14" s="1"/>
  <c r="J13" i="29" s="1"/>
  <c r="F13" i="31" s="1"/>
  <c r="W63" i="2"/>
  <c r="H21" i="14" s="1"/>
  <c r="G13" i="29" s="1"/>
  <c r="C13" i="31" s="1"/>
  <c r="N5" i="25"/>
  <c r="N6" i="25"/>
  <c r="O20" i="17"/>
  <c r="AA63" i="2"/>
  <c r="L21" i="14" s="1"/>
  <c r="K13" i="29" s="1"/>
  <c r="G13" i="31" s="1"/>
  <c r="AA53" i="2"/>
  <c r="L19" i="14" s="1"/>
  <c r="K11" i="29" s="1"/>
  <c r="G11" i="31" s="1"/>
  <c r="X38" i="2"/>
  <c r="N7" i="16"/>
  <c r="V38" i="2"/>
  <c r="Y53" i="2"/>
  <c r="J19" i="14" s="1"/>
  <c r="I11" i="29" s="1"/>
  <c r="E11" i="31" s="1"/>
  <c r="Y38" i="2"/>
  <c r="AA38" i="2"/>
  <c r="O36" i="17"/>
  <c r="W53" i="2"/>
  <c r="H19" i="14" s="1"/>
  <c r="G11" i="29" s="1"/>
  <c r="C11" i="31" s="1"/>
  <c r="B5" i="30"/>
  <c r="B9" i="39" s="1"/>
  <c r="B22" i="41"/>
  <c r="L15" i="29"/>
  <c r="M15" i="14"/>
  <c r="M25" i="14"/>
  <c r="B6" i="30"/>
  <c r="B10" i="39" s="1"/>
  <c r="X53" i="2"/>
  <c r="I19" i="14" s="1"/>
  <c r="H11" i="29" s="1"/>
  <c r="D11" i="31" s="1"/>
  <c r="V53" i="2"/>
  <c r="G19" i="14" s="1"/>
  <c r="F11" i="29" s="1"/>
  <c r="B11" i="31" s="1"/>
  <c r="V51" i="2"/>
  <c r="G26" i="14" s="1"/>
  <c r="Y51" i="2"/>
  <c r="AA51" i="2"/>
  <c r="W51" i="2"/>
  <c r="X51" i="2"/>
  <c r="Z51" i="2"/>
  <c r="Y62" i="2"/>
  <c r="Z62" i="2"/>
  <c r="AA62" i="2"/>
  <c r="W62" i="2"/>
  <c r="X62" i="2"/>
  <c r="V62" i="2"/>
  <c r="W50" i="2"/>
  <c r="Y50" i="2"/>
  <c r="Z50" i="2"/>
  <c r="AA50" i="2"/>
  <c r="V49" i="2"/>
  <c r="X50" i="2"/>
  <c r="V52" i="2"/>
  <c r="X52" i="2"/>
  <c r="I18" i="14" s="1"/>
  <c r="H10" i="29" s="1"/>
  <c r="D10" i="31" s="1"/>
  <c r="W52" i="2"/>
  <c r="H18" i="14" s="1"/>
  <c r="G10" i="29" s="1"/>
  <c r="C10" i="31" s="1"/>
  <c r="Z52" i="2"/>
  <c r="K18" i="14" s="1"/>
  <c r="J10" i="29" s="1"/>
  <c r="F10" i="31" s="1"/>
  <c r="Y52" i="2"/>
  <c r="J18" i="14" s="1"/>
  <c r="I10" i="29" s="1"/>
  <c r="E10" i="31" s="1"/>
  <c r="AA52" i="2"/>
  <c r="L18" i="14" s="1"/>
  <c r="K10" i="29" s="1"/>
  <c r="G10" i="31" s="1"/>
  <c r="Z35" i="2"/>
  <c r="W35" i="2"/>
  <c r="X35" i="2"/>
  <c r="AA35" i="2"/>
  <c r="V35" i="2"/>
  <c r="Y35" i="2"/>
  <c r="C17" i="30"/>
  <c r="C21" i="39" s="1"/>
  <c r="Z6" i="10"/>
  <c r="I53" i="12" s="1"/>
  <c r="W6" i="10"/>
  <c r="H9" i="19" s="1"/>
  <c r="G58" i="29" s="1"/>
  <c r="AA6" i="10"/>
  <c r="L9" i="19" s="1"/>
  <c r="K58" i="29" s="1"/>
  <c r="V6" i="10"/>
  <c r="E53" i="12" s="1"/>
  <c r="B15" i="30"/>
  <c r="B19" i="39" s="1"/>
  <c r="G70" i="37"/>
  <c r="H61" i="12"/>
  <c r="J23" i="19"/>
  <c r="I65" i="29" s="1"/>
  <c r="E65" i="31" s="1"/>
  <c r="F60" i="12"/>
  <c r="H22" i="19"/>
  <c r="G64" i="29" s="1"/>
  <c r="C64" i="31" s="1"/>
  <c r="F61" i="12"/>
  <c r="H23" i="19"/>
  <c r="G65" i="29" s="1"/>
  <c r="C65" i="31" s="1"/>
  <c r="H54" i="12"/>
  <c r="J10" i="19"/>
  <c r="I59" i="29" s="1"/>
  <c r="G54" i="12"/>
  <c r="I10" i="19"/>
  <c r="H59" i="29" s="1"/>
  <c r="D59" i="31" s="1"/>
  <c r="G66" i="12"/>
  <c r="I27" i="19"/>
  <c r="H68" i="29" s="1"/>
  <c r="I60" i="12"/>
  <c r="K22" i="19"/>
  <c r="J64" i="29" s="1"/>
  <c r="F64" i="31" s="1"/>
  <c r="G61" i="12"/>
  <c r="I23" i="19"/>
  <c r="H65" i="29" s="1"/>
  <c r="D65" i="31" s="1"/>
  <c r="G60" i="12"/>
  <c r="I22" i="19"/>
  <c r="H64" i="29" s="1"/>
  <c r="D64" i="31" s="1"/>
  <c r="I61" i="12"/>
  <c r="K23" i="19"/>
  <c r="J65" i="29" s="1"/>
  <c r="F65" i="31" s="1"/>
  <c r="I54" i="12"/>
  <c r="K10" i="19"/>
  <c r="J59" i="29" s="1"/>
  <c r="F59" i="31" s="1"/>
  <c r="H60" i="12"/>
  <c r="J22" i="19"/>
  <c r="I64" i="29" s="1"/>
  <c r="E64" i="31" s="1"/>
  <c r="B20" i="39"/>
  <c r="E61" i="12"/>
  <c r="G23" i="19"/>
  <c r="F65" i="29" s="1"/>
  <c r="B65" i="31" s="1"/>
  <c r="B21" i="39"/>
  <c r="E60" i="12"/>
  <c r="G22" i="19"/>
  <c r="F64" i="29" s="1"/>
  <c r="B64" i="31" s="1"/>
  <c r="F54" i="12"/>
  <c r="H10" i="19"/>
  <c r="G59" i="29" s="1"/>
  <c r="C59" i="31" s="1"/>
  <c r="J60" i="12"/>
  <c r="L22" i="19"/>
  <c r="K64" i="29" s="1"/>
  <c r="G64" i="31" s="1"/>
  <c r="B16" i="30"/>
  <c r="F63" i="12"/>
  <c r="H26" i="19"/>
  <c r="G67" i="29" s="1"/>
  <c r="G63" i="12"/>
  <c r="I26" i="19"/>
  <c r="H67" i="29" s="1"/>
  <c r="F66" i="12"/>
  <c r="H27" i="19"/>
  <c r="G68" i="29" s="1"/>
  <c r="J54" i="12"/>
  <c r="L10" i="19"/>
  <c r="K59" i="29" s="1"/>
  <c r="G59" i="31" s="1"/>
  <c r="E54" i="12"/>
  <c r="G10" i="19"/>
  <c r="F59" i="29" s="1"/>
  <c r="B59" i="31" s="1"/>
  <c r="G53" i="12"/>
  <c r="I9" i="19"/>
  <c r="H58" i="29" s="1"/>
  <c r="B23" i="39"/>
  <c r="B7" i="30"/>
  <c r="B11" i="39" s="1"/>
  <c r="G20" i="12"/>
  <c r="I20" i="12"/>
  <c r="K6" i="15"/>
  <c r="J19" i="29" s="1"/>
  <c r="F19" i="31" s="1"/>
  <c r="H20" i="12"/>
  <c r="J6" i="15"/>
  <c r="I19" i="29" s="1"/>
  <c r="E19" i="31" s="1"/>
  <c r="E20" i="12"/>
  <c r="F19" i="29"/>
  <c r="B19" i="31" s="1"/>
  <c r="V43" i="5"/>
  <c r="Y43" i="5"/>
  <c r="W43" i="5"/>
  <c r="H18" i="15" s="1"/>
  <c r="G25" i="29" s="1"/>
  <c r="AA43" i="5"/>
  <c r="J28" i="12" s="1"/>
  <c r="Z43" i="5"/>
  <c r="K18" i="15" s="1"/>
  <c r="J25" i="29" s="1"/>
  <c r="X43" i="5"/>
  <c r="I18" i="15" s="1"/>
  <c r="H25" i="29" s="1"/>
  <c r="W19" i="2"/>
  <c r="Y19" i="2"/>
  <c r="Z19" i="2"/>
  <c r="X19" i="2"/>
  <c r="V19" i="2"/>
  <c r="K7" i="29"/>
  <c r="G7" i="31" s="1"/>
  <c r="AA9" i="2"/>
  <c r="Y9" i="2"/>
  <c r="Z9" i="2"/>
  <c r="W9" i="2"/>
  <c r="X9" i="2"/>
  <c r="V9" i="2"/>
  <c r="H6" i="15"/>
  <c r="G19" i="29" s="1"/>
  <c r="C19" i="31" s="1"/>
  <c r="F20" i="12"/>
  <c r="J20" i="12"/>
  <c r="L6" i="15"/>
  <c r="K19" i="29" s="1"/>
  <c r="J29" i="19" l="1"/>
  <c r="I69" i="29" s="1"/>
  <c r="H29" i="19"/>
  <c r="G69" i="29" s="1"/>
  <c r="G29" i="19"/>
  <c r="F69" i="29" s="1"/>
  <c r="B69" i="31" s="1"/>
  <c r="V6" i="13"/>
  <c r="X6" i="13"/>
  <c r="Z6" i="13"/>
  <c r="AA6" i="13"/>
  <c r="W6" i="13"/>
  <c r="K15" i="14"/>
  <c r="J9" i="29" s="1"/>
  <c r="F9" i="31" s="1"/>
  <c r="V15" i="11"/>
  <c r="E67" i="12" s="1"/>
  <c r="A2" i="19"/>
  <c r="A2" i="14"/>
  <c r="A2" i="25"/>
  <c r="A2" i="16"/>
  <c r="E49" i="44"/>
  <c r="F50" i="37" s="1"/>
  <c r="G50" i="37" s="1"/>
  <c r="O28" i="17" s="1"/>
  <c r="E56" i="44"/>
  <c r="F57" i="37" s="1"/>
  <c r="G57" i="37" s="1"/>
  <c r="O48" i="17" s="1"/>
  <c r="E68" i="44"/>
  <c r="F69" i="37" s="1"/>
  <c r="G69" i="37" s="1"/>
  <c r="E55" i="44"/>
  <c r="F56" i="37" s="1"/>
  <c r="G56" i="37" s="1"/>
  <c r="O45" i="17" s="1"/>
  <c r="C50" i="44"/>
  <c r="C54" i="44"/>
  <c r="F7" i="16"/>
  <c r="F34" i="29" s="1"/>
  <c r="B34" i="31" s="1"/>
  <c r="Z6" i="4"/>
  <c r="I34" i="12" s="1"/>
  <c r="X15" i="11"/>
  <c r="G67" i="12" s="1"/>
  <c r="B18" i="30"/>
  <c r="H19" i="30"/>
  <c r="H23" i="39" s="1"/>
  <c r="G69" i="31"/>
  <c r="AA15" i="11"/>
  <c r="J67" i="12" s="1"/>
  <c r="Y15" i="11"/>
  <c r="H67" i="12" s="1"/>
  <c r="Z15" i="11"/>
  <c r="I67" i="12" s="1"/>
  <c r="W15" i="11"/>
  <c r="F67" i="12" s="1"/>
  <c r="X10" i="9"/>
  <c r="Y10" i="9"/>
  <c r="V10" i="9"/>
  <c r="Z10" i="9"/>
  <c r="W10" i="9"/>
  <c r="AA10" i="9"/>
  <c r="N38" i="9"/>
  <c r="Z38" i="9" s="1"/>
  <c r="K48" i="17" s="1"/>
  <c r="J56" i="29" s="1"/>
  <c r="F56" i="31" s="1"/>
  <c r="AA22" i="3"/>
  <c r="AA18" i="3" s="1"/>
  <c r="J40" i="12" s="1"/>
  <c r="Z22" i="3"/>
  <c r="Z18" i="3" s="1"/>
  <c r="I40" i="12" s="1"/>
  <c r="W22" i="3"/>
  <c r="W18" i="3" s="1"/>
  <c r="F40" i="12" s="1"/>
  <c r="Y22" i="3"/>
  <c r="Y18" i="3" s="1"/>
  <c r="V22" i="3"/>
  <c r="V18" i="3" s="1"/>
  <c r="E40" i="12" s="1"/>
  <c r="F33" i="17"/>
  <c r="E50" i="29" s="1"/>
  <c r="N53" i="3"/>
  <c r="X7" i="9"/>
  <c r="I8" i="17" s="1"/>
  <c r="Z7" i="9"/>
  <c r="K8" i="17" s="1"/>
  <c r="Y7" i="9"/>
  <c r="J8" i="17" s="1"/>
  <c r="W7" i="9"/>
  <c r="H8" i="17" s="1"/>
  <c r="V7" i="9"/>
  <c r="G8" i="17" s="1"/>
  <c r="AA7" i="9"/>
  <c r="L8" i="17" s="1"/>
  <c r="E45" i="29"/>
  <c r="N26" i="9"/>
  <c r="F42" i="17"/>
  <c r="E54" i="29" s="1"/>
  <c r="G15" i="14"/>
  <c r="F9" i="29" s="1"/>
  <c r="B9" i="31" s="1"/>
  <c r="L15" i="14"/>
  <c r="K9" i="29" s="1"/>
  <c r="G9" i="31" s="1"/>
  <c r="I15" i="14"/>
  <c r="H9" i="29" s="1"/>
  <c r="D9" i="31" s="1"/>
  <c r="J15" i="14"/>
  <c r="I9" i="29" s="1"/>
  <c r="E9" i="31" s="1"/>
  <c r="AA16" i="2"/>
  <c r="J13" i="12" s="1"/>
  <c r="Y16" i="2"/>
  <c r="J8" i="14" s="1"/>
  <c r="I6" i="29" s="1"/>
  <c r="E6" i="31" s="1"/>
  <c r="L8" i="14"/>
  <c r="K6" i="29" s="1"/>
  <c r="G6" i="31" s="1"/>
  <c r="X6" i="2"/>
  <c r="I5" i="14" s="1"/>
  <c r="H5" i="29" s="1"/>
  <c r="AA6" i="2"/>
  <c r="L5" i="14" s="1"/>
  <c r="K5" i="29" s="1"/>
  <c r="J10" i="15"/>
  <c r="I21" i="29" s="1"/>
  <c r="E21" i="31" s="1"/>
  <c r="W6" i="2"/>
  <c r="H5" i="14" s="1"/>
  <c r="G5" i="29" s="1"/>
  <c r="W16" i="2"/>
  <c r="H8" i="14" s="1"/>
  <c r="G6" i="29" s="1"/>
  <c r="C6" i="31" s="1"/>
  <c r="Z6" i="2"/>
  <c r="K5" i="14" s="1"/>
  <c r="J5" i="29" s="1"/>
  <c r="X16" i="2"/>
  <c r="I8" i="14" s="1"/>
  <c r="H6" i="29" s="1"/>
  <c r="D6" i="31" s="1"/>
  <c r="H15" i="14"/>
  <c r="G9" i="29" s="1"/>
  <c r="C9" i="31" s="1"/>
  <c r="V6" i="2"/>
  <c r="G5" i="14" s="1"/>
  <c r="F5" i="29" s="1"/>
  <c r="Y6" i="2"/>
  <c r="J5" i="14" s="1"/>
  <c r="I5" i="29" s="1"/>
  <c r="Z16" i="2"/>
  <c r="K8" i="14" s="1"/>
  <c r="J6" i="29" s="1"/>
  <c r="F6" i="31" s="1"/>
  <c r="G18" i="14"/>
  <c r="F10" i="29" s="1"/>
  <c r="B10" i="31" s="1"/>
  <c r="K26" i="14"/>
  <c r="V31" i="7"/>
  <c r="G31" i="15" s="1"/>
  <c r="F30" i="29" s="1"/>
  <c r="B30" i="31" s="1"/>
  <c r="AA31" i="7"/>
  <c r="L31" i="15" s="1"/>
  <c r="K30" i="29" s="1"/>
  <c r="G30" i="31" s="1"/>
  <c r="I26" i="14"/>
  <c r="K19" i="7"/>
  <c r="AG21" i="7"/>
  <c r="K7" i="7"/>
  <c r="AG9" i="7"/>
  <c r="X38" i="9"/>
  <c r="I48" i="17" s="1"/>
  <c r="H56" i="29" s="1"/>
  <c r="D56" i="31" s="1"/>
  <c r="X31" i="7"/>
  <c r="G31" i="12" s="1"/>
  <c r="L22" i="15"/>
  <c r="K27" i="29" s="1"/>
  <c r="G27" i="31" s="1"/>
  <c r="H26" i="14"/>
  <c r="Y49" i="2"/>
  <c r="H15" i="12" s="1"/>
  <c r="J26" i="14"/>
  <c r="I17" i="29" s="1"/>
  <c r="E17" i="31" s="1"/>
  <c r="H31" i="15"/>
  <c r="G30" i="29" s="1"/>
  <c r="C30" i="31" s="1"/>
  <c r="F31" i="12"/>
  <c r="K31" i="15"/>
  <c r="J30" i="29" s="1"/>
  <c r="F30" i="31" s="1"/>
  <c r="I31" i="12"/>
  <c r="X8" i="5"/>
  <c r="G21" i="12" s="1"/>
  <c r="Y31" i="7"/>
  <c r="G22" i="15"/>
  <c r="F27" i="29" s="1"/>
  <c r="B27" i="31" s="1"/>
  <c r="I10" i="15"/>
  <c r="H21" i="29" s="1"/>
  <c r="D21" i="31" s="1"/>
  <c r="L40" i="17"/>
  <c r="K53" i="29" s="1"/>
  <c r="G53" i="31" s="1"/>
  <c r="J40" i="17"/>
  <c r="I53" i="29" s="1"/>
  <c r="E53" i="31" s="1"/>
  <c r="X44" i="3"/>
  <c r="X35" i="3" s="1"/>
  <c r="G42" i="12" s="1"/>
  <c r="V44" i="3"/>
  <c r="V35" i="3" s="1"/>
  <c r="E42" i="12" s="1"/>
  <c r="AA44" i="3"/>
  <c r="Y44" i="3"/>
  <c r="Z44" i="3"/>
  <c r="W44" i="3"/>
  <c r="W35" i="3" s="1"/>
  <c r="F42" i="12" s="1"/>
  <c r="E48" i="29"/>
  <c r="W29" i="3"/>
  <c r="H23" i="17" s="1"/>
  <c r="G48" i="29" s="1"/>
  <c r="C48" i="31" s="1"/>
  <c r="Y29" i="3"/>
  <c r="Y25" i="3" s="1"/>
  <c r="AA29" i="3"/>
  <c r="L23" i="17" s="1"/>
  <c r="K48" i="29" s="1"/>
  <c r="G48" i="31" s="1"/>
  <c r="Z29" i="3"/>
  <c r="Z25" i="3" s="1"/>
  <c r="I41" i="12" s="1"/>
  <c r="V29" i="3"/>
  <c r="G23" i="17" s="1"/>
  <c r="F48" i="29" s="1"/>
  <c r="B48" i="31" s="1"/>
  <c r="X29" i="3"/>
  <c r="X25" i="3" s="1"/>
  <c r="G41" i="12" s="1"/>
  <c r="I13" i="19"/>
  <c r="H61" i="29" s="1"/>
  <c r="D61" i="31" s="1"/>
  <c r="L16" i="19"/>
  <c r="K62" i="29" s="1"/>
  <c r="G62" i="31" s="1"/>
  <c r="G13" i="19"/>
  <c r="F61" i="29" s="1"/>
  <c r="B61" i="31" s="1"/>
  <c r="K5" i="16"/>
  <c r="K32" i="29" s="1"/>
  <c r="G32" i="31" s="1"/>
  <c r="H5" i="16"/>
  <c r="H32" i="29" s="1"/>
  <c r="D32" i="31" s="1"/>
  <c r="F5" i="16"/>
  <c r="F32" i="29" s="1"/>
  <c r="B32" i="31" s="1"/>
  <c r="Z8" i="5"/>
  <c r="I21" i="12" s="1"/>
  <c r="Z28" i="5"/>
  <c r="I24" i="12" s="1"/>
  <c r="H10" i="15"/>
  <c r="G21" i="29" s="1"/>
  <c r="C21" i="31" s="1"/>
  <c r="Y28" i="5"/>
  <c r="K10" i="15"/>
  <c r="J21" i="29" s="1"/>
  <c r="F21" i="31" s="1"/>
  <c r="L10" i="15"/>
  <c r="K21" i="29" s="1"/>
  <c r="G21" i="31" s="1"/>
  <c r="W28" i="5"/>
  <c r="AA28" i="5"/>
  <c r="V28" i="5"/>
  <c r="X28" i="5"/>
  <c r="H19" i="19"/>
  <c r="G63" i="29" s="1"/>
  <c r="C63" i="31" s="1"/>
  <c r="Y18" i="8"/>
  <c r="H59" i="12" s="1"/>
  <c r="D69" i="31"/>
  <c r="D19" i="30"/>
  <c r="D23" i="39" s="1"/>
  <c r="C69" i="31"/>
  <c r="L13" i="19"/>
  <c r="K61" i="29" s="1"/>
  <c r="G61" i="31" s="1"/>
  <c r="K16" i="19"/>
  <c r="J62" i="29" s="1"/>
  <c r="F62" i="31" s="1"/>
  <c r="I19" i="19"/>
  <c r="H63" i="29" s="1"/>
  <c r="D63" i="31" s="1"/>
  <c r="X12" i="8"/>
  <c r="G58" i="12" s="1"/>
  <c r="X18" i="8"/>
  <c r="G59" i="12" s="1"/>
  <c r="W6" i="8"/>
  <c r="F57" i="12" s="1"/>
  <c r="Y12" i="8"/>
  <c r="H58" i="12" s="1"/>
  <c r="H16" i="19"/>
  <c r="G62" i="29" s="1"/>
  <c r="C62" i="31" s="1"/>
  <c r="AA6" i="8"/>
  <c r="J57" i="12" s="1"/>
  <c r="Z12" i="8"/>
  <c r="I58" i="12" s="1"/>
  <c r="H13" i="19"/>
  <c r="G61" i="29" s="1"/>
  <c r="C61" i="31" s="1"/>
  <c r="Y6" i="8"/>
  <c r="H57" i="12" s="1"/>
  <c r="X6" i="8"/>
  <c r="G57" i="12" s="1"/>
  <c r="Z18" i="8"/>
  <c r="K19" i="19" s="1"/>
  <c r="J63" i="29" s="1"/>
  <c r="F63" i="31" s="1"/>
  <c r="J13" i="19"/>
  <c r="I61" i="29" s="1"/>
  <c r="E61" i="31" s="1"/>
  <c r="I16" i="19"/>
  <c r="H62" i="29" s="1"/>
  <c r="D62" i="31" s="1"/>
  <c r="W12" i="8"/>
  <c r="F58" i="12" s="1"/>
  <c r="G16" i="19"/>
  <c r="F62" i="29" s="1"/>
  <c r="B62" i="31" s="1"/>
  <c r="J16" i="19"/>
  <c r="I62" i="29" s="1"/>
  <c r="E62" i="31" s="1"/>
  <c r="J19" i="19"/>
  <c r="I63" i="29" s="1"/>
  <c r="E63" i="31" s="1"/>
  <c r="AA18" i="8"/>
  <c r="K13" i="19"/>
  <c r="J61" i="29" s="1"/>
  <c r="F61" i="31" s="1"/>
  <c r="Z6" i="8"/>
  <c r="I57" i="12" s="1"/>
  <c r="V6" i="8"/>
  <c r="E57" i="12" s="1"/>
  <c r="G19" i="19"/>
  <c r="F63" i="29" s="1"/>
  <c r="B63" i="31" s="1"/>
  <c r="AA12" i="8"/>
  <c r="J58" i="12" s="1"/>
  <c r="W18" i="8"/>
  <c r="F59" i="12" s="1"/>
  <c r="V12" i="8"/>
  <c r="E58" i="12" s="1"/>
  <c r="V18" i="8"/>
  <c r="E59" i="12" s="1"/>
  <c r="G19" i="30"/>
  <c r="G23" i="39" s="1"/>
  <c r="G9" i="19"/>
  <c r="F58" i="29" s="1"/>
  <c r="B58" i="31" s="1"/>
  <c r="J53" i="12"/>
  <c r="F53" i="12"/>
  <c r="K9" i="19"/>
  <c r="J58" i="29" s="1"/>
  <c r="F58" i="31" s="1"/>
  <c r="W6" i="4"/>
  <c r="F34" i="12" s="1"/>
  <c r="G5" i="16"/>
  <c r="G32" i="29" s="1"/>
  <c r="D10" i="30" s="1"/>
  <c r="Y6" i="4"/>
  <c r="H34" i="12" s="1"/>
  <c r="I5" i="16"/>
  <c r="I32" i="29" s="1"/>
  <c r="E32" i="31" s="1"/>
  <c r="J5" i="16"/>
  <c r="J32" i="29" s="1"/>
  <c r="X18" i="3"/>
  <c r="G40" i="12" s="1"/>
  <c r="I35" i="12"/>
  <c r="J6" i="16"/>
  <c r="J33" i="29" s="1"/>
  <c r="J35" i="12"/>
  <c r="K6" i="16"/>
  <c r="K33" i="29" s="1"/>
  <c r="G33" i="31" s="1"/>
  <c r="H35" i="12"/>
  <c r="I6" i="16"/>
  <c r="I33" i="29" s="1"/>
  <c r="E33" i="31" s="1"/>
  <c r="G35" i="12"/>
  <c r="H6" i="16"/>
  <c r="H33" i="29" s="1"/>
  <c r="F35" i="12"/>
  <c r="G6" i="16"/>
  <c r="G33" i="29" s="1"/>
  <c r="G34" i="31"/>
  <c r="E34" i="31"/>
  <c r="B33" i="31"/>
  <c r="Y8" i="5"/>
  <c r="H21" i="12" s="1"/>
  <c r="J22" i="15"/>
  <c r="I27" i="29" s="1"/>
  <c r="E27" i="31" s="1"/>
  <c r="K22" i="15"/>
  <c r="J27" i="29" s="1"/>
  <c r="H22" i="15"/>
  <c r="G27" i="29" s="1"/>
  <c r="C27" i="31" s="1"/>
  <c r="I22" i="15"/>
  <c r="H27" i="29" s="1"/>
  <c r="D27" i="31" s="1"/>
  <c r="K26" i="29"/>
  <c r="G26" i="31" s="1"/>
  <c r="V8" i="5"/>
  <c r="E21" i="12" s="1"/>
  <c r="H26" i="29"/>
  <c r="D26" i="31" s="1"/>
  <c r="AA8" i="5"/>
  <c r="J21" i="12" s="1"/>
  <c r="W21" i="5"/>
  <c r="F23" i="12" s="1"/>
  <c r="Z21" i="5"/>
  <c r="I23" i="12" s="1"/>
  <c r="AA21" i="5"/>
  <c r="J23" i="12" s="1"/>
  <c r="X21" i="5"/>
  <c r="G23" i="12" s="1"/>
  <c r="V14" i="5"/>
  <c r="E22" i="12" s="1"/>
  <c r="G7" i="15"/>
  <c r="F20" i="29" s="1"/>
  <c r="B20" i="31" s="1"/>
  <c r="Y21" i="5"/>
  <c r="H23" i="12" s="1"/>
  <c r="G10" i="15"/>
  <c r="F21" i="29" s="1"/>
  <c r="B21" i="31" s="1"/>
  <c r="V21" i="5"/>
  <c r="E23" i="12" s="1"/>
  <c r="K7" i="15"/>
  <c r="H7" i="15"/>
  <c r="I7" i="15"/>
  <c r="L7" i="15"/>
  <c r="K20" i="29" s="1"/>
  <c r="G20" i="31" s="1"/>
  <c r="AA14" i="5"/>
  <c r="J22" i="12" s="1"/>
  <c r="Y14" i="5"/>
  <c r="H22" i="12" s="1"/>
  <c r="J7" i="15"/>
  <c r="I20" i="29" s="1"/>
  <c r="E20" i="31" s="1"/>
  <c r="K12" i="14"/>
  <c r="J8" i="29" s="1"/>
  <c r="F8" i="31" s="1"/>
  <c r="L12" i="14"/>
  <c r="K8" i="29" s="1"/>
  <c r="G8" i="31" s="1"/>
  <c r="G12" i="14"/>
  <c r="F8" i="29" s="1"/>
  <c r="B8" i="31" s="1"/>
  <c r="J12" i="14"/>
  <c r="I8" i="29" s="1"/>
  <c r="E8" i="31" s="1"/>
  <c r="I12" i="14"/>
  <c r="H8" i="29" s="1"/>
  <c r="D8" i="31" s="1"/>
  <c r="H12" i="14"/>
  <c r="G8" i="29" s="1"/>
  <c r="C8" i="31" s="1"/>
  <c r="G24" i="14"/>
  <c r="F15" i="29" s="1"/>
  <c r="B15" i="31" s="1"/>
  <c r="V34" i="2"/>
  <c r="E14" i="12" s="1"/>
  <c r="K24" i="14"/>
  <c r="J15" i="29" s="1"/>
  <c r="F15" i="31" s="1"/>
  <c r="Z34" i="2"/>
  <c r="I14" i="12" s="1"/>
  <c r="L24" i="14"/>
  <c r="K15" i="29" s="1"/>
  <c r="G15" i="31" s="1"/>
  <c r="AA34" i="2"/>
  <c r="J14" i="12" s="1"/>
  <c r="I24" i="14"/>
  <c r="H15" i="29" s="1"/>
  <c r="D15" i="31" s="1"/>
  <c r="X34" i="2"/>
  <c r="G14" i="12" s="1"/>
  <c r="J24" i="14"/>
  <c r="I15" i="29" s="1"/>
  <c r="E15" i="31" s="1"/>
  <c r="Y34" i="2"/>
  <c r="H14" i="12" s="1"/>
  <c r="H24" i="14"/>
  <c r="G15" i="29" s="1"/>
  <c r="C15" i="31" s="1"/>
  <c r="W34" i="2"/>
  <c r="F14" i="12" s="1"/>
  <c r="Y59" i="3"/>
  <c r="I16" i="16"/>
  <c r="I42" i="29" s="1"/>
  <c r="E42" i="31" s="1"/>
  <c r="J16" i="16"/>
  <c r="J42" i="29" s="1"/>
  <c r="F42" i="31" s="1"/>
  <c r="Z59" i="3"/>
  <c r="I44" i="12" s="1"/>
  <c r="J17" i="16"/>
  <c r="J43" i="29" s="1"/>
  <c r="F43" i="31" s="1"/>
  <c r="Z63" i="3"/>
  <c r="I45" i="12" s="1"/>
  <c r="B36" i="31"/>
  <c r="W13" i="3"/>
  <c r="W6" i="3" s="1"/>
  <c r="F39" i="12" s="1"/>
  <c r="X13" i="3"/>
  <c r="Y13" i="3"/>
  <c r="V13" i="3"/>
  <c r="G15" i="17" s="1"/>
  <c r="Z13" i="3"/>
  <c r="K15" i="17" s="1"/>
  <c r="J46" i="29" s="1"/>
  <c r="F46" i="31" s="1"/>
  <c r="AA13" i="3"/>
  <c r="AA6" i="3" s="1"/>
  <c r="J39" i="12" s="1"/>
  <c r="K16" i="16"/>
  <c r="K42" i="29" s="1"/>
  <c r="G42" i="31" s="1"/>
  <c r="AA59" i="3"/>
  <c r="J44" i="12" s="1"/>
  <c r="AA63" i="3"/>
  <c r="J45" i="12" s="1"/>
  <c r="K17" i="16"/>
  <c r="K43" i="29" s="1"/>
  <c r="G43" i="31" s="1"/>
  <c r="W63" i="3"/>
  <c r="F45" i="12" s="1"/>
  <c r="G17" i="16"/>
  <c r="G43" i="29" s="1"/>
  <c r="C43" i="31" s="1"/>
  <c r="F36" i="31"/>
  <c r="G10" i="16"/>
  <c r="G36" i="29" s="1"/>
  <c r="E46" i="29"/>
  <c r="E46" i="44" s="1"/>
  <c r="F47" i="37" s="1"/>
  <c r="G16" i="16"/>
  <c r="G42" i="29" s="1"/>
  <c r="C42" i="31" s="1"/>
  <c r="W59" i="3"/>
  <c r="F44" i="12" s="1"/>
  <c r="H16" i="16"/>
  <c r="H42" i="29" s="1"/>
  <c r="D42" i="31" s="1"/>
  <c r="X59" i="3"/>
  <c r="G44" i="12" s="1"/>
  <c r="F17" i="16"/>
  <c r="F43" i="29" s="1"/>
  <c r="B43" i="31" s="1"/>
  <c r="V63" i="3"/>
  <c r="E45" i="12" s="1"/>
  <c r="D36" i="31"/>
  <c r="G12" i="16"/>
  <c r="G38" i="29" s="1"/>
  <c r="C38" i="31" s="1"/>
  <c r="I12" i="16"/>
  <c r="I38" i="29" s="1"/>
  <c r="E38" i="31" s="1"/>
  <c r="V59" i="3"/>
  <c r="E44" i="12" s="1"/>
  <c r="F16" i="16"/>
  <c r="F42" i="29" s="1"/>
  <c r="B42" i="31" s="1"/>
  <c r="I17" i="16"/>
  <c r="I43" i="29" s="1"/>
  <c r="E43" i="31" s="1"/>
  <c r="Y63" i="3"/>
  <c r="H17" i="16"/>
  <c r="H43" i="29" s="1"/>
  <c r="D43" i="31" s="1"/>
  <c r="X63" i="3"/>
  <c r="G45" i="12" s="1"/>
  <c r="E36" i="31"/>
  <c r="G36" i="31"/>
  <c r="W8" i="5"/>
  <c r="F21" i="12" s="1"/>
  <c r="X14" i="5"/>
  <c r="Z14" i="5"/>
  <c r="F28" i="12"/>
  <c r="W14" i="5"/>
  <c r="I28" i="12"/>
  <c r="F26" i="29"/>
  <c r="B26" i="31" s="1"/>
  <c r="J26" i="29"/>
  <c r="E26" i="31"/>
  <c r="C26" i="31"/>
  <c r="V16" i="2"/>
  <c r="AA49" i="2"/>
  <c r="L26" i="14" s="1"/>
  <c r="K17" i="29" s="1"/>
  <c r="G17" i="31" s="1"/>
  <c r="Z49" i="2"/>
  <c r="I15" i="12" s="1"/>
  <c r="B23" i="41"/>
  <c r="L16" i="29"/>
  <c r="L9" i="29"/>
  <c r="B16" i="41"/>
  <c r="X49" i="2"/>
  <c r="G15" i="12" s="1"/>
  <c r="E17" i="12"/>
  <c r="G20" i="14"/>
  <c r="F12" i="29" s="1"/>
  <c r="B12" i="31" s="1"/>
  <c r="I17" i="12"/>
  <c r="K20" i="14"/>
  <c r="J12" i="29" s="1"/>
  <c r="F12" i="31" s="1"/>
  <c r="G17" i="12"/>
  <c r="I20" i="14"/>
  <c r="H12" i="29" s="1"/>
  <c r="D12" i="31" s="1"/>
  <c r="J20" i="14"/>
  <c r="I12" i="29" s="1"/>
  <c r="E12" i="31" s="1"/>
  <c r="H17" i="12"/>
  <c r="F17" i="12"/>
  <c r="H20" i="14"/>
  <c r="G12" i="29" s="1"/>
  <c r="C12" i="31" s="1"/>
  <c r="F17" i="29"/>
  <c r="E15" i="12"/>
  <c r="W49" i="2"/>
  <c r="J17" i="12"/>
  <c r="L20" i="14"/>
  <c r="K12" i="29" s="1"/>
  <c r="G12" i="31" s="1"/>
  <c r="D67" i="31"/>
  <c r="E17" i="30"/>
  <c r="E21" i="39" s="1"/>
  <c r="E59" i="31"/>
  <c r="F15" i="30"/>
  <c r="F19" i="39" s="1"/>
  <c r="D58" i="31"/>
  <c r="E15" i="30"/>
  <c r="E19" i="39" s="1"/>
  <c r="G58" i="31"/>
  <c r="H15" i="30"/>
  <c r="H19" i="39" s="1"/>
  <c r="C68" i="31"/>
  <c r="D18" i="30"/>
  <c r="C67" i="31"/>
  <c r="D17" i="30"/>
  <c r="C58" i="31"/>
  <c r="D15" i="30"/>
  <c r="D19" i="39" s="1"/>
  <c r="D68" i="31"/>
  <c r="E18" i="30"/>
  <c r="E22" i="39" s="1"/>
  <c r="C19" i="30"/>
  <c r="L18" i="15"/>
  <c r="K25" i="29" s="1"/>
  <c r="G25" i="31" s="1"/>
  <c r="J18" i="15"/>
  <c r="I25" i="29" s="1"/>
  <c r="H28" i="12"/>
  <c r="G28" i="12"/>
  <c r="G18" i="15"/>
  <c r="F25" i="29" s="1"/>
  <c r="E28" i="12"/>
  <c r="F7" i="29"/>
  <c r="B7" i="31" s="1"/>
  <c r="I7" i="29"/>
  <c r="E7" i="31" s="1"/>
  <c r="G7" i="29"/>
  <c r="C7" i="31" s="1"/>
  <c r="H7" i="29"/>
  <c r="D7" i="31" s="1"/>
  <c r="J7" i="29"/>
  <c r="F7" i="31" s="1"/>
  <c r="C25" i="31"/>
  <c r="F25" i="31"/>
  <c r="D25" i="31"/>
  <c r="G19" i="31"/>
  <c r="E45" i="44" l="1"/>
  <c r="F46" i="37" s="1"/>
  <c r="F69" i="12"/>
  <c r="G5" i="25"/>
  <c r="G71" i="29" s="1"/>
  <c r="F5" i="25"/>
  <c r="F71" i="29" s="1"/>
  <c r="E69" i="12"/>
  <c r="C11" i="30"/>
  <c r="I69" i="12"/>
  <c r="J5" i="25"/>
  <c r="J71" i="29" s="1"/>
  <c r="J69" i="12"/>
  <c r="K5" i="25"/>
  <c r="K71" i="29" s="1"/>
  <c r="H5" i="25"/>
  <c r="H71" i="29" s="1"/>
  <c r="G69" i="12"/>
  <c r="F19" i="30"/>
  <c r="F23" i="39" s="1"/>
  <c r="E69" i="31"/>
  <c r="D14" i="39"/>
  <c r="E48" i="44"/>
  <c r="F49" i="37" s="1"/>
  <c r="G49" i="37" s="1"/>
  <c r="O23" i="17" s="1"/>
  <c r="E54" i="44"/>
  <c r="F55" i="37" s="1"/>
  <c r="G55" i="37" s="1"/>
  <c r="O42" i="17" s="1"/>
  <c r="E50" i="44"/>
  <c r="F51" i="37" s="1"/>
  <c r="G51" i="37" s="1"/>
  <c r="O33" i="17" s="1"/>
  <c r="F13" i="12"/>
  <c r="F11" i="30"/>
  <c r="F15" i="39" s="1"/>
  <c r="AA38" i="9"/>
  <c r="L48" i="17" s="1"/>
  <c r="K56" i="29" s="1"/>
  <c r="G56" i="31" s="1"/>
  <c r="Y38" i="9"/>
  <c r="J48" i="17" s="1"/>
  <c r="I56" i="29" s="1"/>
  <c r="E56" i="31" s="1"/>
  <c r="W38" i="9"/>
  <c r="H48" i="17" s="1"/>
  <c r="G56" i="29" s="1"/>
  <c r="C56" i="31" s="1"/>
  <c r="E10" i="30"/>
  <c r="E14" i="39" s="1"/>
  <c r="V38" i="9"/>
  <c r="G48" i="17" s="1"/>
  <c r="F56" i="29" s="1"/>
  <c r="B56" i="31" s="1"/>
  <c r="G46" i="37"/>
  <c r="O7" i="17" s="1"/>
  <c r="B13" i="30"/>
  <c r="B17" i="39" s="1"/>
  <c r="Z53" i="3"/>
  <c r="X53" i="3"/>
  <c r="W53" i="3"/>
  <c r="Y53" i="3"/>
  <c r="AA53" i="3"/>
  <c r="V53" i="3"/>
  <c r="AA26" i="9"/>
  <c r="AA24" i="9" s="1"/>
  <c r="X26" i="9"/>
  <c r="X24" i="9" s="1"/>
  <c r="Y26" i="9"/>
  <c r="Y24" i="9" s="1"/>
  <c r="V26" i="9"/>
  <c r="V24" i="9" s="1"/>
  <c r="W26" i="9"/>
  <c r="W24" i="9" s="1"/>
  <c r="Z26" i="9"/>
  <c r="Z24" i="9" s="1"/>
  <c r="Z8" i="9"/>
  <c r="K9" i="17" s="1"/>
  <c r="X8" i="9"/>
  <c r="I9" i="17" s="1"/>
  <c r="AA8" i="9"/>
  <c r="L9" i="17" s="1"/>
  <c r="Y8" i="9"/>
  <c r="J9" i="17" s="1"/>
  <c r="W8" i="9"/>
  <c r="H9" i="17" s="1"/>
  <c r="V8" i="9"/>
  <c r="G9" i="17" s="1"/>
  <c r="H13" i="12"/>
  <c r="H12" i="12"/>
  <c r="G12" i="12"/>
  <c r="J31" i="12"/>
  <c r="I13" i="12"/>
  <c r="J12" i="12"/>
  <c r="E12" i="12"/>
  <c r="I12" i="12"/>
  <c r="F12" i="12"/>
  <c r="G13" i="12"/>
  <c r="I31" i="15"/>
  <c r="H30" i="29" s="1"/>
  <c r="D30" i="31" s="1"/>
  <c r="E31" i="12"/>
  <c r="K6" i="7"/>
  <c r="N14" i="7" s="1"/>
  <c r="X14" i="7" s="1"/>
  <c r="AG6" i="7"/>
  <c r="H4" i="30"/>
  <c r="H8" i="39" s="1"/>
  <c r="H10" i="30"/>
  <c r="H14" i="39" s="1"/>
  <c r="C10" i="30"/>
  <c r="C14" i="39" s="1"/>
  <c r="C32" i="31"/>
  <c r="F27" i="31"/>
  <c r="H31" i="12"/>
  <c r="J31" i="15"/>
  <c r="I30" i="29" s="1"/>
  <c r="E30" i="31" s="1"/>
  <c r="K13" i="15"/>
  <c r="J22" i="29" s="1"/>
  <c r="F22" i="31" s="1"/>
  <c r="AA25" i="3"/>
  <c r="J41" i="12" s="1"/>
  <c r="H28" i="17"/>
  <c r="G49" i="29" s="1"/>
  <c r="C49" i="31" s="1"/>
  <c r="J23" i="17"/>
  <c r="I48" i="29" s="1"/>
  <c r="E48" i="31" s="1"/>
  <c r="I23" i="17"/>
  <c r="H48" i="29" s="1"/>
  <c r="D48" i="31" s="1"/>
  <c r="Z35" i="3"/>
  <c r="I42" i="12" s="1"/>
  <c r="K28" i="17"/>
  <c r="J49" i="29" s="1"/>
  <c r="F49" i="31" s="1"/>
  <c r="AA35" i="3"/>
  <c r="J42" i="12" s="1"/>
  <c r="L28" i="17"/>
  <c r="K49" i="29" s="1"/>
  <c r="G49" i="31" s="1"/>
  <c r="I28" i="17"/>
  <c r="H49" i="29" s="1"/>
  <c r="D49" i="31" s="1"/>
  <c r="Y35" i="3"/>
  <c r="J28" i="17"/>
  <c r="I49" i="29" s="1"/>
  <c r="E49" i="31" s="1"/>
  <c r="G28" i="17"/>
  <c r="F49" i="29" s="1"/>
  <c r="B49" i="31" s="1"/>
  <c r="V25" i="3"/>
  <c r="E41" i="12" s="1"/>
  <c r="K23" i="17"/>
  <c r="J48" i="29" s="1"/>
  <c r="F48" i="31" s="1"/>
  <c r="W25" i="3"/>
  <c r="F41" i="12" s="1"/>
  <c r="E16" i="30"/>
  <c r="E20" i="39" s="1"/>
  <c r="H24" i="12"/>
  <c r="I22" i="29"/>
  <c r="E22" i="31" s="1"/>
  <c r="E24" i="12"/>
  <c r="F22" i="29"/>
  <c r="B22" i="31" s="1"/>
  <c r="J24" i="12"/>
  <c r="L13" i="15"/>
  <c r="K22" i="29" s="1"/>
  <c r="G22" i="31" s="1"/>
  <c r="G24" i="12"/>
  <c r="H22" i="29"/>
  <c r="D22" i="31" s="1"/>
  <c r="F24" i="12"/>
  <c r="G22" i="29"/>
  <c r="C22" i="31" s="1"/>
  <c r="G8" i="30"/>
  <c r="G12" i="39" s="1"/>
  <c r="I59" i="12"/>
  <c r="D16" i="30"/>
  <c r="D20" i="39" s="1"/>
  <c r="F16" i="30"/>
  <c r="F20" i="39" s="1"/>
  <c r="C16" i="30"/>
  <c r="C20" i="39" s="1"/>
  <c r="G16" i="30"/>
  <c r="G20" i="39" s="1"/>
  <c r="J59" i="12"/>
  <c r="L19" i="19"/>
  <c r="K63" i="29" s="1"/>
  <c r="H15" i="17"/>
  <c r="G46" i="29" s="1"/>
  <c r="C15" i="30"/>
  <c r="C19" i="39" s="1"/>
  <c r="L15" i="17"/>
  <c r="K46" i="29" s="1"/>
  <c r="G46" i="31" s="1"/>
  <c r="G15" i="30"/>
  <c r="G19" i="39" s="1"/>
  <c r="Z6" i="3"/>
  <c r="I39" i="12" s="1"/>
  <c r="F32" i="31"/>
  <c r="G10" i="30"/>
  <c r="G14" i="39" s="1"/>
  <c r="F10" i="30"/>
  <c r="F14" i="39" s="1"/>
  <c r="H11" i="30"/>
  <c r="H15" i="39" s="1"/>
  <c r="C33" i="31"/>
  <c r="D11" i="30"/>
  <c r="D15" i="39" s="1"/>
  <c r="F33" i="31"/>
  <c r="G11" i="30"/>
  <c r="G15" i="39" s="1"/>
  <c r="E11" i="30"/>
  <c r="E15" i="39" s="1"/>
  <c r="D33" i="31"/>
  <c r="C15" i="39"/>
  <c r="F12" i="30"/>
  <c r="F16" i="39" s="1"/>
  <c r="F8" i="30"/>
  <c r="F12" i="39" s="1"/>
  <c r="D8" i="30"/>
  <c r="H8" i="30"/>
  <c r="H12" i="39" s="1"/>
  <c r="E8" i="30"/>
  <c r="E12" i="39" s="1"/>
  <c r="H20" i="29"/>
  <c r="D20" i="31" s="1"/>
  <c r="J20" i="29"/>
  <c r="F20" i="31" s="1"/>
  <c r="G22" i="12"/>
  <c r="I22" i="12"/>
  <c r="F4" i="30"/>
  <c r="D4" i="30"/>
  <c r="D8" i="39" s="1"/>
  <c r="E4" i="30"/>
  <c r="E8" i="39" s="1"/>
  <c r="G4" i="30"/>
  <c r="G8" i="39" s="1"/>
  <c r="E12" i="30"/>
  <c r="E16" i="39" s="1"/>
  <c r="C12" i="30"/>
  <c r="C16" i="39" s="1"/>
  <c r="E13" i="12"/>
  <c r="G8" i="14"/>
  <c r="F6" i="29" s="1"/>
  <c r="H12" i="30"/>
  <c r="H16" i="39" s="1"/>
  <c r="G12" i="30"/>
  <c r="G16" i="39" s="1"/>
  <c r="C36" i="31"/>
  <c r="D12" i="30"/>
  <c r="D16" i="39" s="1"/>
  <c r="J15" i="17"/>
  <c r="I46" i="29" s="1"/>
  <c r="Y6" i="3"/>
  <c r="F46" i="29"/>
  <c r="V6" i="3"/>
  <c r="E39" i="12" s="1"/>
  <c r="I15" i="17"/>
  <c r="H46" i="29" s="1"/>
  <c r="X6" i="3"/>
  <c r="G39" i="12" s="1"/>
  <c r="G47" i="37"/>
  <c r="O15" i="17" s="1"/>
  <c r="B14" i="30"/>
  <c r="B18" i="39" s="1"/>
  <c r="F22" i="12"/>
  <c r="G20" i="29"/>
  <c r="F26" i="31"/>
  <c r="C8" i="30"/>
  <c r="C12" i="39" s="1"/>
  <c r="H17" i="29"/>
  <c r="D17" i="31" s="1"/>
  <c r="J15" i="12"/>
  <c r="J17" i="29"/>
  <c r="F17" i="31" s="1"/>
  <c r="F6" i="30"/>
  <c r="F10" i="39" s="1"/>
  <c r="H5" i="30"/>
  <c r="H9" i="39" s="1"/>
  <c r="D5" i="30"/>
  <c r="D9" i="39" s="1"/>
  <c r="C5" i="30"/>
  <c r="C9" i="39" s="1"/>
  <c r="F15" i="12"/>
  <c r="G17" i="29"/>
  <c r="E5" i="30"/>
  <c r="E9" i="39" s="1"/>
  <c r="C6" i="30"/>
  <c r="B17" i="31"/>
  <c r="F5" i="30"/>
  <c r="F9" i="39" s="1"/>
  <c r="G5" i="30"/>
  <c r="G9" i="39" s="1"/>
  <c r="H6" i="30"/>
  <c r="H10" i="39" s="1"/>
  <c r="D21" i="39"/>
  <c r="I17" i="30"/>
  <c r="D22" i="39"/>
  <c r="I18" i="30"/>
  <c r="C23" i="39"/>
  <c r="I19" i="30"/>
  <c r="E25" i="31"/>
  <c r="B25" i="31"/>
  <c r="F5" i="31"/>
  <c r="D5" i="31"/>
  <c r="B5" i="31"/>
  <c r="G5" i="31"/>
  <c r="E5" i="31"/>
  <c r="C5" i="31"/>
  <c r="G20" i="30" l="1"/>
  <c r="G24" i="39" s="1"/>
  <c r="F71" i="31"/>
  <c r="C20" i="30"/>
  <c r="B71" i="31"/>
  <c r="E20" i="30"/>
  <c r="E24" i="39" s="1"/>
  <c r="D71" i="31"/>
  <c r="D20" i="30"/>
  <c r="D24" i="39" s="1"/>
  <c r="C71" i="31"/>
  <c r="H20" i="30"/>
  <c r="H24" i="39" s="1"/>
  <c r="G71" i="31"/>
  <c r="A2" i="17"/>
  <c r="V11" i="9"/>
  <c r="W11" i="9"/>
  <c r="H10" i="17" s="1"/>
  <c r="AA11" i="9"/>
  <c r="L10" i="17" s="1"/>
  <c r="Y11" i="9"/>
  <c r="J10" i="17" s="1"/>
  <c r="X11" i="9"/>
  <c r="I10" i="17" s="1"/>
  <c r="Z11" i="9"/>
  <c r="K42" i="17"/>
  <c r="J54" i="29" s="1"/>
  <c r="F54" i="31" s="1"/>
  <c r="Z13" i="9"/>
  <c r="I48" i="12" s="1"/>
  <c r="I42" i="17"/>
  <c r="H54" i="29" s="1"/>
  <c r="D54" i="31" s="1"/>
  <c r="X13" i="9"/>
  <c r="G48" i="12" s="1"/>
  <c r="V49" i="3"/>
  <c r="G33" i="17"/>
  <c r="F50" i="29" s="1"/>
  <c r="B50" i="31" s="1"/>
  <c r="I33" i="17"/>
  <c r="H50" i="29" s="1"/>
  <c r="D50" i="31" s="1"/>
  <c r="X49" i="3"/>
  <c r="H42" i="17"/>
  <c r="G54" i="29" s="1"/>
  <c r="C54" i="31" s="1"/>
  <c r="W13" i="9"/>
  <c r="F48" i="12" s="1"/>
  <c r="L42" i="17"/>
  <c r="K54" i="29" s="1"/>
  <c r="G54" i="31" s="1"/>
  <c r="AA13" i="9"/>
  <c r="J48" i="12" s="1"/>
  <c r="L33" i="17"/>
  <c r="K50" i="29" s="1"/>
  <c r="G50" i="31" s="1"/>
  <c r="AA49" i="3"/>
  <c r="Z49" i="3"/>
  <c r="K33" i="17"/>
  <c r="J50" i="29" s="1"/>
  <c r="F50" i="31" s="1"/>
  <c r="V13" i="9"/>
  <c r="E48" i="12" s="1"/>
  <c r="G42" i="17"/>
  <c r="F54" i="29" s="1"/>
  <c r="B54" i="31" s="1"/>
  <c r="J33" i="17"/>
  <c r="I50" i="29" s="1"/>
  <c r="E50" i="31" s="1"/>
  <c r="Y49" i="3"/>
  <c r="J42" i="17"/>
  <c r="I54" i="29" s="1"/>
  <c r="E54" i="31" s="1"/>
  <c r="Y13" i="9"/>
  <c r="H48" i="12" s="1"/>
  <c r="W49" i="3"/>
  <c r="H33" i="17"/>
  <c r="G50" i="29" s="1"/>
  <c r="C50" i="31" s="1"/>
  <c r="N17" i="7"/>
  <c r="AA17" i="7" s="1"/>
  <c r="N26" i="7"/>
  <c r="AA26" i="7" s="1"/>
  <c r="N19" i="7"/>
  <c r="V19" i="7" s="1"/>
  <c r="N15" i="7"/>
  <c r="AA15" i="7" s="1"/>
  <c r="N29" i="7"/>
  <c r="X29" i="7" s="1"/>
  <c r="N27" i="7"/>
  <c r="V27" i="7" s="1"/>
  <c r="F26" i="15"/>
  <c r="E29" i="29" s="1"/>
  <c r="E29" i="44" s="1"/>
  <c r="F30" i="37" s="1"/>
  <c r="N16" i="7"/>
  <c r="X16" i="7" s="1"/>
  <c r="N28" i="7"/>
  <c r="W28" i="7" s="1"/>
  <c r="N7" i="7"/>
  <c r="Z7" i="7" s="1"/>
  <c r="D12" i="39"/>
  <c r="C7" i="30"/>
  <c r="C11" i="39" s="1"/>
  <c r="F7" i="30"/>
  <c r="F11" i="39" s="1"/>
  <c r="H7" i="30"/>
  <c r="H11" i="39" s="1"/>
  <c r="Y14" i="7"/>
  <c r="Z14" i="7"/>
  <c r="AA14" i="7"/>
  <c r="W14" i="7"/>
  <c r="V14" i="7"/>
  <c r="G63" i="31"/>
  <c r="H16" i="30"/>
  <c r="I15" i="30"/>
  <c r="C46" i="31"/>
  <c r="I10" i="30"/>
  <c r="I11" i="30"/>
  <c r="E7" i="30"/>
  <c r="E11" i="39" s="1"/>
  <c r="G7" i="30"/>
  <c r="G11" i="39" s="1"/>
  <c r="B6" i="31"/>
  <c r="C4" i="30"/>
  <c r="I4" i="30" s="1"/>
  <c r="D46" i="31"/>
  <c r="B46" i="31"/>
  <c r="I12" i="30"/>
  <c r="E46" i="31"/>
  <c r="C20" i="31"/>
  <c r="D7" i="30"/>
  <c r="D11" i="39" s="1"/>
  <c r="I8" i="30"/>
  <c r="G6" i="30"/>
  <c r="G10" i="39" s="1"/>
  <c r="E6" i="30"/>
  <c r="E10" i="39" s="1"/>
  <c r="I5" i="30"/>
  <c r="C10" i="39"/>
  <c r="C17" i="31"/>
  <c r="D6" i="30"/>
  <c r="D10" i="39" s="1"/>
  <c r="F8" i="39"/>
  <c r="E73" i="29" l="1"/>
  <c r="I20" i="30"/>
  <c r="C24" i="39"/>
  <c r="G30" i="37"/>
  <c r="B9" i="30"/>
  <c r="B13" i="39" s="1"/>
  <c r="B25" i="39" s="1"/>
  <c r="K10" i="17"/>
  <c r="Z6" i="9"/>
  <c r="K7" i="17" s="1"/>
  <c r="J45" i="29" s="1"/>
  <c r="V6" i="9"/>
  <c r="G7" i="17" s="1"/>
  <c r="F45" i="29" s="1"/>
  <c r="G10" i="17"/>
  <c r="V17" i="7"/>
  <c r="Z29" i="7"/>
  <c r="C14" i="30"/>
  <c r="C18" i="39" s="1"/>
  <c r="E14" i="30"/>
  <c r="E18" i="39" s="1"/>
  <c r="W6" i="9"/>
  <c r="F14" i="30"/>
  <c r="F18" i="39" s="1"/>
  <c r="G14" i="30"/>
  <c r="G18" i="39" s="1"/>
  <c r="X6" i="9"/>
  <c r="AA6" i="9"/>
  <c r="H14" i="30"/>
  <c r="H18" i="39" s="1"/>
  <c r="Y6" i="9"/>
  <c r="J7" i="17" s="1"/>
  <c r="D14" i="30"/>
  <c r="D18" i="39" s="1"/>
  <c r="Z17" i="7"/>
  <c r="Y17" i="7"/>
  <c r="X17" i="7"/>
  <c r="W17" i="7"/>
  <c r="X26" i="7"/>
  <c r="X27" i="7"/>
  <c r="Y26" i="7"/>
  <c r="Z26" i="7"/>
  <c r="W19" i="7"/>
  <c r="V26" i="7"/>
  <c r="W26" i="7"/>
  <c r="AA19" i="7"/>
  <c r="Z19" i="7"/>
  <c r="W29" i="7"/>
  <c r="W7" i="7"/>
  <c r="Z28" i="7"/>
  <c r="Y29" i="7"/>
  <c r="V29" i="7"/>
  <c r="AA29" i="7"/>
  <c r="X28" i="7"/>
  <c r="Z15" i="7"/>
  <c r="Y27" i="7"/>
  <c r="AA7" i="7"/>
  <c r="X7" i="7"/>
  <c r="W27" i="7"/>
  <c r="V7" i="7"/>
  <c r="Y15" i="7"/>
  <c r="W15" i="7"/>
  <c r="X15" i="7"/>
  <c r="Z27" i="7"/>
  <c r="AA27" i="7"/>
  <c r="Y19" i="7"/>
  <c r="X19" i="7"/>
  <c r="V15" i="7"/>
  <c r="Y28" i="7"/>
  <c r="V28" i="7"/>
  <c r="AA28" i="7"/>
  <c r="AA16" i="7"/>
  <c r="W16" i="7"/>
  <c r="Y16" i="7"/>
  <c r="V16" i="7"/>
  <c r="Z16" i="7"/>
  <c r="Y7" i="7"/>
  <c r="H20" i="39"/>
  <c r="I16" i="30"/>
  <c r="C8" i="39"/>
  <c r="I7" i="30"/>
  <c r="I6" i="30"/>
  <c r="G13" i="30" l="1"/>
  <c r="G17" i="39" s="1"/>
  <c r="C38" i="19"/>
  <c r="C39" i="19" s="1"/>
  <c r="E73" i="44"/>
  <c r="B21" i="30"/>
  <c r="I47" i="12"/>
  <c r="F45" i="31"/>
  <c r="E47" i="12"/>
  <c r="I14" i="30"/>
  <c r="C13" i="30"/>
  <c r="C17" i="39" s="1"/>
  <c r="B45" i="31"/>
  <c r="J47" i="12"/>
  <c r="L7" i="17"/>
  <c r="K45" i="29" s="1"/>
  <c r="I45" i="29"/>
  <c r="H47" i="12"/>
  <c r="G47" i="12"/>
  <c r="I7" i="17"/>
  <c r="H45" i="29" s="1"/>
  <c r="H7" i="17"/>
  <c r="G45" i="29" s="1"/>
  <c r="F47" i="12"/>
  <c r="Z6" i="7"/>
  <c r="AL12" i="7" s="1"/>
  <c r="X6" i="7"/>
  <c r="AJ10" i="7" s="1"/>
  <c r="V6" i="7"/>
  <c r="AH10" i="7" s="1"/>
  <c r="AA6" i="7"/>
  <c r="L26" i="15" s="1"/>
  <c r="K29" i="29" s="1"/>
  <c r="H9" i="30" s="1"/>
  <c r="H13" i="39" s="1"/>
  <c r="Y6" i="7"/>
  <c r="AK24" i="7" s="1"/>
  <c r="W6" i="7"/>
  <c r="AI25" i="7" s="1"/>
  <c r="G26" i="15"/>
  <c r="F29" i="29" s="1"/>
  <c r="C9" i="30" s="1"/>
  <c r="K73" i="29" l="1"/>
  <c r="F73" i="29"/>
  <c r="AH24" i="7"/>
  <c r="AL10" i="7"/>
  <c r="E13" i="30"/>
  <c r="E17" i="39" s="1"/>
  <c r="D45" i="31"/>
  <c r="C45" i="31"/>
  <c r="D13" i="30"/>
  <c r="C42" i="19" s="1"/>
  <c r="E45" i="31"/>
  <c r="F13" i="30"/>
  <c r="F17" i="39" s="1"/>
  <c r="G45" i="31"/>
  <c r="H13" i="30"/>
  <c r="H17" i="39" s="1"/>
  <c r="H25" i="39" s="1"/>
  <c r="AM24" i="7"/>
  <c r="AL11" i="7"/>
  <c r="G29" i="31"/>
  <c r="AM9" i="7"/>
  <c r="AM12" i="7"/>
  <c r="AJ21" i="7"/>
  <c r="AJ12" i="7"/>
  <c r="AL9" i="7"/>
  <c r="AL23" i="7"/>
  <c r="AM10" i="7"/>
  <c r="AL21" i="7"/>
  <c r="AL22" i="7"/>
  <c r="I26" i="15"/>
  <c r="H29" i="29" s="1"/>
  <c r="D29" i="31" s="1"/>
  <c r="AM13" i="7"/>
  <c r="AM25" i="7"/>
  <c r="AJ13" i="7"/>
  <c r="AM21" i="7"/>
  <c r="AM22" i="7"/>
  <c r="AI13" i="7"/>
  <c r="AJ22" i="7"/>
  <c r="AJ23" i="7"/>
  <c r="G30" i="12"/>
  <c r="G71" i="12" s="1"/>
  <c r="F30" i="12"/>
  <c r="F71" i="12" s="1"/>
  <c r="AL24" i="7"/>
  <c r="AL13" i="7"/>
  <c r="K26" i="15"/>
  <c r="J29" i="29" s="1"/>
  <c r="AJ25" i="7"/>
  <c r="AJ24" i="7"/>
  <c r="AK22" i="7"/>
  <c r="I30" i="12"/>
  <c r="I71" i="12" s="1"/>
  <c r="AM11" i="7"/>
  <c r="AM23" i="7"/>
  <c r="J30" i="12"/>
  <c r="J71" i="12" s="1"/>
  <c r="AL25" i="7"/>
  <c r="AJ9" i="7"/>
  <c r="AJ11" i="7"/>
  <c r="AI23" i="7"/>
  <c r="AH11" i="7"/>
  <c r="H30" i="12"/>
  <c r="H71" i="12" s="1"/>
  <c r="AH9" i="7"/>
  <c r="AH13" i="7"/>
  <c r="AH23" i="7"/>
  <c r="E30" i="12"/>
  <c r="E71" i="12" s="1"/>
  <c r="AK13" i="7"/>
  <c r="AH21" i="7"/>
  <c r="AH22" i="7"/>
  <c r="AH12" i="7"/>
  <c r="AK23" i="7"/>
  <c r="AH25" i="7"/>
  <c r="AI22" i="7"/>
  <c r="AI12" i="7"/>
  <c r="H26" i="15"/>
  <c r="G29" i="29" s="1"/>
  <c r="C29" i="31" s="1"/>
  <c r="AK9" i="7"/>
  <c r="AK10" i="7"/>
  <c r="AI21" i="7"/>
  <c r="AI11" i="7"/>
  <c r="AI24" i="7"/>
  <c r="AK11" i="7"/>
  <c r="AK12" i="7"/>
  <c r="AI9" i="7"/>
  <c r="AI10" i="7"/>
  <c r="J26" i="15"/>
  <c r="I29" i="29" s="1"/>
  <c r="E29" i="31" s="1"/>
  <c r="AK21" i="7"/>
  <c r="AK25" i="7"/>
  <c r="B29" i="31"/>
  <c r="C13" i="39"/>
  <c r="C25" i="39" s="1"/>
  <c r="C21" i="30"/>
  <c r="H73" i="29" l="1"/>
  <c r="D73" i="31" s="1"/>
  <c r="G73" i="29"/>
  <c r="G9" i="30"/>
  <c r="G21" i="30" s="1"/>
  <c r="J73" i="29"/>
  <c r="I73" i="29"/>
  <c r="C43" i="19"/>
  <c r="D17" i="39"/>
  <c r="I13" i="30"/>
  <c r="H21" i="30"/>
  <c r="G13" i="39"/>
  <c r="G25" i="39" s="1"/>
  <c r="AL6" i="7"/>
  <c r="AJ6" i="7"/>
  <c r="F9" i="30"/>
  <c r="F13" i="39" s="1"/>
  <c r="F25" i="39" s="1"/>
  <c r="E9" i="30"/>
  <c r="E13" i="39" s="1"/>
  <c r="E25" i="39" s="1"/>
  <c r="F29" i="31"/>
  <c r="AM6" i="7"/>
  <c r="G73" i="31" s="1"/>
  <c r="AH6" i="7"/>
  <c r="B73" i="31" s="1"/>
  <c r="D9" i="30"/>
  <c r="D13" i="39" s="1"/>
  <c r="D25" i="39" s="1"/>
  <c r="AI6" i="7"/>
  <c r="AK6" i="7"/>
  <c r="E73" i="31" l="1"/>
  <c r="F73" i="31"/>
  <c r="C73" i="31"/>
  <c r="D21" i="30"/>
  <c r="I9" i="30"/>
  <c r="I21" i="30" s="1"/>
  <c r="J10" i="30" s="1"/>
  <c r="F21" i="30"/>
  <c r="E21" i="30"/>
  <c r="J7" i="30" l="1"/>
  <c r="J14" i="30"/>
  <c r="J6" i="30"/>
  <c r="J18" i="30"/>
  <c r="J11" i="30"/>
  <c r="J19" i="30"/>
  <c r="J20" i="30"/>
  <c r="J15" i="30"/>
  <c r="J4" i="30"/>
  <c r="J5" i="30"/>
  <c r="J9" i="30"/>
  <c r="J8" i="30"/>
  <c r="J17" i="30"/>
  <c r="J13" i="30"/>
  <c r="J12" i="30"/>
  <c r="J16" i="30"/>
  <c r="J21"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5" authorId="0" shapeId="0" xr:uid="{00000000-0006-0000-0200-000001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8" authorId="0" shapeId="0" xr:uid="{00000000-0006-0000-0200-000002000000}">
      <text>
        <r>
          <rPr>
            <b/>
            <sz val="9"/>
            <color rgb="FF000000"/>
            <rFont val="Tahoma"/>
            <family val="2"/>
          </rPr>
          <t>Jakob Maag:</t>
        </r>
        <r>
          <rPr>
            <sz val="9"/>
            <color rgb="FF000000"/>
            <rFont val="Tahoma"/>
            <family val="2"/>
          </rPr>
          <t xml:space="preserve">
</t>
        </r>
        <r>
          <rPr>
            <sz val="9"/>
            <color rgb="FF000000"/>
            <rFont val="Tahoma"/>
            <family val="2"/>
          </rPr>
          <t>Affects only output distribution factors, as input factors are identical</t>
        </r>
      </text>
    </comment>
    <comment ref="P10" authorId="0" shapeId="0" xr:uid="{00000000-0006-0000-0200-000003000000}">
      <text>
        <r>
          <rPr>
            <b/>
            <sz val="9"/>
            <color rgb="FF000000"/>
            <rFont val="Tahoma"/>
            <family val="2"/>
          </rPr>
          <t>Jakob Maag:</t>
        </r>
        <r>
          <rPr>
            <sz val="9"/>
            <color rgb="FF000000"/>
            <rFont val="Tahoma"/>
            <family val="2"/>
          </rPr>
          <t xml:space="preserve">
</t>
        </r>
        <r>
          <rPr>
            <sz val="9"/>
            <color rgb="FF000000"/>
            <rFont val="Tahoma"/>
            <family val="2"/>
          </rPr>
          <t xml:space="preserve">Calculated for coal mix from IL2 factors 25JAN2016.
</t>
        </r>
        <r>
          <rPr>
            <sz val="9"/>
            <color rgb="FF000000"/>
            <rFont val="Tahoma"/>
            <family val="2"/>
          </rPr>
          <t xml:space="preserve">
</t>
        </r>
        <r>
          <rPr>
            <sz val="9"/>
            <color rgb="FF000000"/>
            <rFont val="Tahoma"/>
            <family val="2"/>
          </rPr>
          <t>ADDED HERE FOR INTRODUCTION OF Hg CONTROLS IN IL1</t>
        </r>
      </text>
    </comment>
    <comment ref="C16" authorId="0" shapeId="0" xr:uid="{00000000-0006-0000-0200-000004000000}">
      <text>
        <r>
          <rPr>
            <b/>
            <sz val="9"/>
            <color rgb="FF000000"/>
            <rFont val="Tahoma"/>
            <family val="2"/>
          </rPr>
          <t>Jakob Maag:</t>
        </r>
        <r>
          <rPr>
            <sz val="9"/>
            <color rgb="FF000000"/>
            <rFont val="Tahoma"/>
            <family val="2"/>
          </rPr>
          <t xml:space="preserve">
</t>
        </r>
        <r>
          <rPr>
            <sz val="9"/>
            <color rgb="FF000000"/>
            <rFont val="Tahoma"/>
            <family val="2"/>
          </rPr>
          <t>Introduced 25JAN2016 as per Minamata Convention source categories</t>
        </r>
      </text>
    </comment>
    <comment ref="P20" authorId="0" shapeId="0" xr:uid="{00000000-0006-0000-0200-000005000000}">
      <text>
        <r>
          <rPr>
            <b/>
            <sz val="9"/>
            <color rgb="FF000000"/>
            <rFont val="Tahoma"/>
            <family val="2"/>
          </rPr>
          <t>Jakob Maag:</t>
        </r>
        <r>
          <rPr>
            <sz val="9"/>
            <color rgb="FF000000"/>
            <rFont val="Tahoma"/>
            <family val="2"/>
          </rPr>
          <t xml:space="preserve">
</t>
        </r>
        <r>
          <rPr>
            <sz val="9"/>
            <color rgb="FF000000"/>
            <rFont val="Tahoma"/>
            <family val="2"/>
          </rPr>
          <t xml:space="preserve">Calculated for coal mix from IL2 factors 25JAN2016.
</t>
        </r>
        <r>
          <rPr>
            <sz val="9"/>
            <color rgb="FF000000"/>
            <rFont val="Tahoma"/>
            <family val="2"/>
          </rPr>
          <t xml:space="preserve">
</t>
        </r>
        <r>
          <rPr>
            <sz val="9"/>
            <color rgb="FF000000"/>
            <rFont val="Tahoma"/>
            <family val="2"/>
          </rPr>
          <t>ADDED HERE FOR INTRODUCTION OF Hg CONTROLS IN IL1</t>
        </r>
      </text>
    </comment>
    <comment ref="C26" authorId="0" shapeId="0" xr:uid="{00000000-0006-0000-0200-000006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34" authorId="0" shapeId="0" xr:uid="{00000000-0006-0000-0200-000007000000}">
      <text>
        <r>
          <rPr>
            <b/>
            <sz val="8"/>
            <color rgb="FF000000"/>
            <rFont val="Tahoma"/>
            <family val="2"/>
          </rPr>
          <t>Jakob Maag:</t>
        </r>
        <r>
          <rPr>
            <sz val="8"/>
            <color rgb="FF000000"/>
            <rFont val="Tahoma"/>
            <family val="2"/>
          </rPr>
          <t xml:space="preserve">
</t>
        </r>
        <r>
          <rPr>
            <sz val="8"/>
            <color rgb="FF000000"/>
            <rFont val="Tahoma"/>
            <family val="2"/>
          </rPr>
          <t>Input factors for crude oil changed  + waste output moved to  sectors spec. waste;  changed Jan 2013</t>
        </r>
      </text>
    </comment>
    <comment ref="G38" authorId="0" shapeId="0" xr:uid="{47839BDF-FF7E-EE40-AADE-27F62100E816}">
      <text>
        <r>
          <rPr>
            <b/>
            <sz val="9"/>
            <color indexed="81"/>
            <rFont val="Tahoma"/>
            <family val="2"/>
          </rPr>
          <t>Jakob Maag:</t>
        </r>
        <r>
          <rPr>
            <sz val="9"/>
            <color indexed="81"/>
            <rFont val="Tahoma"/>
            <family val="2"/>
          </rPr>
          <t xml:space="preserve">
Factor corrected from 55 Sep2019</t>
        </r>
      </text>
    </comment>
    <comment ref="C40" authorId="0" shapeId="0" xr:uid="{00000000-0006-0000-0200-000008000000}">
      <text>
        <r>
          <rPr>
            <b/>
            <sz val="9"/>
            <color rgb="FF000000"/>
            <rFont val="Tahoma"/>
            <family val="2"/>
          </rPr>
          <t>Jakob Maag:</t>
        </r>
        <r>
          <rPr>
            <sz val="9"/>
            <color rgb="FF000000"/>
            <rFont val="Tahoma"/>
            <family val="2"/>
          </rPr>
          <t xml:space="preserve">
</t>
        </r>
        <r>
          <rPr>
            <sz val="9"/>
            <color rgb="FF000000"/>
            <rFont val="Tahoma"/>
            <family val="2"/>
          </rPr>
          <t>Explanation here removed 25JAN2016, as all output scenarios are now present</t>
        </r>
      </text>
    </comment>
    <comment ref="M41" authorId="0" shapeId="0" xr:uid="{00000000-0006-0000-0200-000009000000}">
      <text>
        <r>
          <rPr>
            <b/>
            <sz val="9"/>
            <color rgb="FF000000"/>
            <rFont val="Tahoma"/>
            <family val="2"/>
          </rPr>
          <t>Jakob Maag:</t>
        </r>
        <r>
          <rPr>
            <sz val="9"/>
            <color rgb="FF000000"/>
            <rFont val="Tahoma"/>
            <family val="2"/>
          </rPr>
          <t xml:space="preserve">
</t>
        </r>
        <r>
          <rPr>
            <sz val="9"/>
            <color rgb="FF000000"/>
            <rFont val="Tahoma"/>
            <family val="2"/>
          </rPr>
          <t>Added in IL1 25JAN2016</t>
        </r>
      </text>
    </comment>
    <comment ref="G43" authorId="0" shapeId="0" xr:uid="{CA24FBAD-CC23-BA4A-A07F-4BDB20DE2620}">
      <text>
        <r>
          <rPr>
            <b/>
            <sz val="9"/>
            <color indexed="81"/>
            <rFont val="Tahoma"/>
            <family val="2"/>
          </rPr>
          <t>Jakob Maag:</t>
        </r>
        <r>
          <rPr>
            <sz val="9"/>
            <color indexed="81"/>
            <rFont val="Tahoma"/>
            <family val="2"/>
          </rPr>
          <t xml:space="preserve">
Factor corrected from 5.5 Sep2019</t>
        </r>
      </text>
    </comment>
    <comment ref="M47" authorId="0" shapeId="0" xr:uid="{00000000-0006-0000-0200-00000A000000}">
      <text>
        <r>
          <rPr>
            <b/>
            <sz val="9"/>
            <color rgb="FF000000"/>
            <rFont val="Tahoma"/>
            <family val="2"/>
          </rPr>
          <t>Jakob Maag:</t>
        </r>
        <r>
          <rPr>
            <sz val="9"/>
            <color rgb="FF000000"/>
            <rFont val="Tahoma"/>
            <family val="2"/>
          </rPr>
          <t xml:space="preserve">
</t>
        </r>
        <r>
          <rPr>
            <sz val="9"/>
            <color rgb="FF000000"/>
            <rFont val="Tahoma"/>
            <family val="2"/>
          </rPr>
          <t>Added in IL1 25JAN2016</t>
        </r>
      </text>
    </comment>
    <comment ref="C49" authorId="0" shapeId="0" xr:uid="{00000000-0006-0000-0200-00000B000000}">
      <text>
        <r>
          <rPr>
            <b/>
            <sz val="8"/>
            <color rgb="FF000000"/>
            <rFont val="Tahoma"/>
            <family val="2"/>
          </rPr>
          <t>Jakob Maag:</t>
        </r>
        <r>
          <rPr>
            <sz val="8"/>
            <color rgb="FF000000"/>
            <rFont val="Tahoma"/>
            <family val="2"/>
          </rPr>
          <t xml:space="preserve">
</t>
        </r>
        <r>
          <rPr>
            <sz val="8"/>
            <color rgb="FF000000"/>
            <rFont val="Tahoma"/>
            <family val="2"/>
          </rPr>
          <t>output shifted from general waste to sector specific waste - changed Jan 2013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6" authorId="0" shapeId="0" xr:uid="{00000000-0006-0000-0400-000001000000}">
      <text>
        <r>
          <rPr>
            <b/>
            <sz val="9"/>
            <color indexed="81"/>
            <rFont val="Tahoma"/>
            <family val="2"/>
          </rPr>
          <t>Jakob Maag:</t>
        </r>
        <r>
          <rPr>
            <sz val="9"/>
            <color indexed="81"/>
            <rFont val="Tahoma"/>
            <family val="2"/>
          </rPr>
          <t xml:space="preserve">
Calculation changed here 24Apr15</t>
        </r>
      </text>
    </comment>
    <comment ref="P6" authorId="0" shapeId="0" xr:uid="{00000000-0006-0000-0400-000002000000}">
      <text>
        <r>
          <rPr>
            <b/>
            <sz val="9"/>
            <color indexed="81"/>
            <rFont val="Tahoma"/>
            <family val="2"/>
          </rPr>
          <t>Jakob Maag:</t>
        </r>
        <r>
          <rPr>
            <sz val="9"/>
            <color indexed="81"/>
            <rFont val="Tahoma"/>
            <family val="2"/>
          </rPr>
          <t xml:space="preserve">
Factors changed Oct 2014 to basis share of releases</t>
        </r>
      </text>
    </comment>
    <comment ref="C8" authorId="0" shapeId="0" xr:uid="{00000000-0006-0000-0400-000003000000}">
      <text>
        <r>
          <rPr>
            <b/>
            <sz val="8"/>
            <color indexed="81"/>
            <rFont val="Tahoma"/>
            <family val="2"/>
          </rPr>
          <t>Jakob Maag:</t>
        </r>
        <r>
          <rPr>
            <sz val="8"/>
            <color indexed="81"/>
            <rFont val="Tahoma"/>
            <family val="2"/>
          </rPr>
          <t xml:space="preserve">
changed jan 2013</t>
        </r>
      </text>
    </comment>
    <comment ref="G9" authorId="0" shapeId="0" xr:uid="{00000000-0006-0000-0400-000004000000}">
      <text>
        <r>
          <rPr>
            <b/>
            <sz val="9"/>
            <color indexed="81"/>
            <rFont val="Tahoma"/>
            <family val="2"/>
          </rPr>
          <t>Jakob Maag: Dec 2016</t>
        </r>
        <r>
          <rPr>
            <sz val="9"/>
            <color indexed="81"/>
            <rFont val="Tahoma"/>
            <family val="2"/>
          </rPr>
          <t xml:space="preserve">
FACTOR RAISED AS IN GMA/AGC guideline
</t>
        </r>
      </text>
    </comment>
    <comment ref="G10" authorId="0" shapeId="0" xr:uid="{00000000-0006-0000-0400-000005000000}">
      <text>
        <r>
          <rPr>
            <b/>
            <sz val="9"/>
            <color indexed="81"/>
            <rFont val="Tahoma"/>
            <family val="2"/>
          </rPr>
          <t>Jakob Maag:</t>
        </r>
        <r>
          <rPr>
            <sz val="9"/>
            <color indexed="81"/>
            <rFont val="Tahoma"/>
            <family val="2"/>
          </rPr>
          <t xml:space="preserve">
Added Dec 2016</t>
        </r>
      </text>
    </comment>
    <comment ref="P10" authorId="0" shapeId="0" xr:uid="{00000000-0006-0000-0400-000006000000}">
      <text>
        <r>
          <rPr>
            <b/>
            <sz val="9"/>
            <color indexed="81"/>
            <rFont val="Tahoma"/>
            <family val="2"/>
          </rPr>
          <t>Jakob Maag: DEC 2016</t>
        </r>
        <r>
          <rPr>
            <sz val="9"/>
            <color indexed="81"/>
            <rFont val="Tahoma"/>
            <family val="2"/>
          </rPr>
          <t xml:space="preserve">
All output factors revised based on AGC data and advice</t>
        </r>
      </text>
    </comment>
    <comment ref="G12" authorId="0" shapeId="0" xr:uid="{00000000-0006-0000-0400-000007000000}">
      <text>
        <r>
          <rPr>
            <b/>
            <sz val="9"/>
            <color indexed="81"/>
            <rFont val="Tahoma"/>
            <family val="2"/>
          </rPr>
          <t>Jakob Maag:</t>
        </r>
        <r>
          <rPr>
            <sz val="9"/>
            <color indexed="81"/>
            <rFont val="Tahoma"/>
            <family val="2"/>
          </rPr>
          <t xml:space="preserve">
Revised Dec 2016</t>
        </r>
      </text>
    </comment>
    <comment ref="C14" authorId="0" shapeId="0" xr:uid="{00000000-0006-0000-0400-000008000000}">
      <text>
        <r>
          <rPr>
            <b/>
            <sz val="8"/>
            <color indexed="81"/>
            <rFont val="Tahoma"/>
            <family val="2"/>
          </rPr>
          <t>Jakob Maag:</t>
        </r>
        <r>
          <rPr>
            <sz val="8"/>
            <color indexed="81"/>
            <rFont val="Tahoma"/>
            <family val="2"/>
          </rPr>
          <t xml:space="preserve">
Input and output changed jan 2013</t>
        </r>
      </text>
    </comment>
    <comment ref="C21" authorId="0" shapeId="0" xr:uid="{00000000-0006-0000-0400-000009000000}">
      <text>
        <r>
          <rPr>
            <b/>
            <sz val="8"/>
            <color indexed="81"/>
            <rFont val="Tahoma"/>
            <family val="2"/>
          </rPr>
          <t>Jakob Maag:</t>
        </r>
        <r>
          <rPr>
            <sz val="8"/>
            <color indexed="81"/>
            <rFont val="Tahoma"/>
            <family val="2"/>
          </rPr>
          <t xml:space="preserve">
Input and output changed jan 2013</t>
        </r>
      </text>
    </comment>
    <comment ref="C28" authorId="0" shapeId="0" xr:uid="{00000000-0006-0000-0400-00000A000000}">
      <text>
        <r>
          <rPr>
            <b/>
            <sz val="8"/>
            <color indexed="81"/>
            <rFont val="Tahoma"/>
            <family val="2"/>
          </rPr>
          <t>Jakob Maag:</t>
        </r>
        <r>
          <rPr>
            <sz val="8"/>
            <color indexed="81"/>
            <rFont val="Tahoma"/>
            <family val="2"/>
          </rPr>
          <t xml:space="preserve">
Input and output changed jan 2013</t>
        </r>
      </text>
    </comment>
    <comment ref="F35" authorId="0" shapeId="0" xr:uid="{00000000-0006-0000-0400-00000B000000}">
      <text>
        <r>
          <rPr>
            <b/>
            <sz val="8"/>
            <color indexed="81"/>
            <rFont val="Tahoma"/>
            <family val="2"/>
          </rPr>
          <t>Jakob Maag:</t>
        </r>
        <r>
          <rPr>
            <sz val="8"/>
            <color indexed="81"/>
            <rFont val="Tahoma"/>
            <family val="2"/>
          </rPr>
          <t xml:space="preserve">
changed jan 2013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AC3" authorId="0" shapeId="0" xr:uid="{00000000-0006-0000-0500-000001000000}">
      <text>
        <r>
          <rPr>
            <b/>
            <sz val="9"/>
            <color indexed="81"/>
            <rFont val="Tahoma"/>
            <family val="2"/>
          </rPr>
          <t>Jakob Maag: 24oct2016</t>
        </r>
        <r>
          <rPr>
            <sz val="9"/>
            <color indexed="81"/>
            <rFont val="Tahoma"/>
            <family val="2"/>
          </rPr>
          <t xml:space="preserve">
Introduced to allow subtraction of fuel contributions for cement production in fossil fuel sub-categories</t>
        </r>
      </text>
    </comment>
    <comment ref="C6" authorId="0" shapeId="0" xr:uid="{00000000-0006-0000-0500-000002000000}">
      <text>
        <r>
          <rPr>
            <b/>
            <sz val="8"/>
            <color indexed="81"/>
            <rFont val="Tahoma"/>
            <family val="2"/>
          </rPr>
          <t>Jakob Maag:</t>
        </r>
        <r>
          <rPr>
            <sz val="8"/>
            <color indexed="81"/>
            <rFont val="Tahoma"/>
            <family val="2"/>
          </rPr>
          <t xml:space="preserve">
Changed Jan. 2013</t>
        </r>
      </text>
    </comment>
    <comment ref="C7" authorId="0" shapeId="0" xr:uid="{00000000-0006-0000-0500-000003000000}">
      <text>
        <r>
          <rPr>
            <b/>
            <sz val="9"/>
            <color indexed="81"/>
            <rFont val="Tahoma"/>
            <family val="2"/>
          </rPr>
          <t>Jakob Maag:</t>
        </r>
        <r>
          <rPr>
            <sz val="9"/>
            <color indexed="81"/>
            <rFont val="Tahoma"/>
            <family val="2"/>
          </rPr>
          <t xml:space="preserve">
IL1: Examples show that waste/no waste has significant influence on results, so they are reflected in output scenarios</t>
        </r>
      </text>
    </comment>
    <comment ref="L7" authorId="0" shapeId="0" xr:uid="{00000000-0006-0000-0500-000004000000}">
      <text>
        <r>
          <rPr>
            <b/>
            <sz val="9"/>
            <color indexed="81"/>
            <rFont val="Tahoma"/>
            <family val="2"/>
          </rPr>
          <t>Jakob Maag:</t>
        </r>
        <r>
          <rPr>
            <sz val="9"/>
            <color indexed="81"/>
            <rFont val="Tahoma"/>
            <family val="2"/>
          </rPr>
          <t xml:space="preserve">
Added 15JAN2016</t>
        </r>
      </text>
    </comment>
    <comment ref="C8" authorId="0" shapeId="0" xr:uid="{00000000-0006-0000-0500-000005000000}">
      <text>
        <r>
          <rPr>
            <b/>
            <sz val="9"/>
            <color indexed="81"/>
            <rFont val="Tahoma"/>
            <family val="2"/>
          </rPr>
          <t>Jakob Maag:</t>
        </r>
        <r>
          <rPr>
            <sz val="9"/>
            <color indexed="81"/>
            <rFont val="Tahoma"/>
            <family val="2"/>
          </rPr>
          <t xml:space="preserve">
Fossil fules added 15JAN2016 due to Minamata Convention source definition - fossil fuel mix has moderate influence on total mercury input (0-13%)</t>
        </r>
      </text>
    </comment>
    <comment ref="AH8" authorId="0" shapeId="0" xr:uid="{00000000-0006-0000-0500-000006000000}">
      <text>
        <r>
          <rPr>
            <b/>
            <sz val="9"/>
            <color indexed="81"/>
            <rFont val="Tahoma"/>
            <family val="2"/>
          </rPr>
          <t>Jakob Maag:
24 oct2016</t>
        </r>
        <r>
          <rPr>
            <sz val="9"/>
            <color indexed="81"/>
            <rFont val="Tahoma"/>
            <family val="2"/>
          </rPr>
          <t xml:space="preserve">
Below, outputs are calculated via overall resulting distribution of Hg inputs from fuels. This is okay as it will only be subtracted in totals in summary sheets</t>
        </r>
      </text>
    </comment>
    <comment ref="I9" authorId="0" shapeId="0" xr:uid="{00000000-0006-0000-0500-000007000000}">
      <text>
        <r>
          <rPr>
            <b/>
            <sz val="9"/>
            <color indexed="81"/>
            <rFont val="Tahoma"/>
            <family val="2"/>
          </rPr>
          <t>Jakob Maag:</t>
        </r>
        <r>
          <rPr>
            <sz val="9"/>
            <color indexed="81"/>
            <rFont val="Tahoma"/>
            <family val="2"/>
          </rPr>
          <t xml:space="preserve">
In IL1, a mixed fuel input is assumed. This has only moderate influence on the results</t>
        </r>
      </text>
    </comment>
    <comment ref="J9" authorId="0" shapeId="0" xr:uid="{00000000-0006-0000-0500-000008000000}">
      <text>
        <r>
          <rPr>
            <b/>
            <sz val="9"/>
            <color indexed="81"/>
            <rFont val="Tahoma"/>
            <family val="2"/>
          </rPr>
          <t>Jakob Maag:</t>
        </r>
        <r>
          <rPr>
            <sz val="9"/>
            <color indexed="81"/>
            <rFont val="Tahoma"/>
            <family val="2"/>
          </rPr>
          <t xml:space="preserve">
changed 15JAN2016 due to fuel introduction</t>
        </r>
      </text>
    </comment>
    <comment ref="M13" authorId="0" shapeId="0" xr:uid="{00000000-0006-0000-0500-000009000000}">
      <text>
        <r>
          <rPr>
            <b/>
            <sz val="9"/>
            <color indexed="81"/>
            <rFont val="Tahoma"/>
            <family val="2"/>
          </rPr>
          <t>Jakob Maag:</t>
        </r>
        <r>
          <rPr>
            <sz val="9"/>
            <color indexed="81"/>
            <rFont val="Tahoma"/>
            <family val="2"/>
          </rPr>
          <t xml:space="preserve">
To make IL1.5 work, the simplifying assumption was made, that all cement kilns with filters have dust recycling, which seems a reasonable general assumtpion based on literature.
Working without this assumtion gave to many combinations to manage in the IL1.5 calculation setup.</t>
        </r>
      </text>
    </comment>
    <comment ref="L19" authorId="0" shapeId="0" xr:uid="{00000000-0006-0000-0500-00000A000000}">
      <text>
        <r>
          <rPr>
            <b/>
            <sz val="9"/>
            <color indexed="81"/>
            <rFont val="Tahoma"/>
            <family val="2"/>
          </rPr>
          <t>Jakob Maag:</t>
        </r>
        <r>
          <rPr>
            <sz val="9"/>
            <color indexed="81"/>
            <rFont val="Tahoma"/>
            <family val="2"/>
          </rPr>
          <t xml:space="preserve">
Added 15JAN2016</t>
        </r>
      </text>
    </comment>
    <comment ref="C20" authorId="0" shapeId="0" xr:uid="{00000000-0006-0000-0500-00000B000000}">
      <text>
        <r>
          <rPr>
            <b/>
            <sz val="9"/>
            <color indexed="81"/>
            <rFont val="Tahoma"/>
            <family val="2"/>
          </rPr>
          <t>Jakob Maag:</t>
        </r>
        <r>
          <rPr>
            <sz val="9"/>
            <color indexed="81"/>
            <rFont val="Tahoma"/>
            <family val="2"/>
          </rPr>
          <t xml:space="preserve">
Fossil fules added 15JAN2016 due to Minamata Convention source definition </t>
        </r>
      </text>
    </comment>
    <comment ref="G21" authorId="0" shapeId="0" xr:uid="{00000000-0006-0000-0500-00000C000000}">
      <text>
        <r>
          <rPr>
            <b/>
            <sz val="9"/>
            <color indexed="81"/>
            <rFont val="Tahoma"/>
            <family val="2"/>
          </rPr>
          <t>Jakob Maag:</t>
        </r>
        <r>
          <rPr>
            <sz val="9"/>
            <color indexed="81"/>
            <rFont val="Tahoma"/>
            <family val="2"/>
          </rPr>
          <t xml:space="preserve">
Note that these factors are different due to subtraction of waste fuel contribution of 12% primary energy on average for such facilities (an assumtion; see detailed 2016 calculations on this issue)</t>
        </r>
      </text>
    </comment>
    <comment ref="J21" authorId="0" shapeId="0" xr:uid="{00000000-0006-0000-0500-00000D000000}">
      <text>
        <r>
          <rPr>
            <b/>
            <sz val="9"/>
            <color indexed="81"/>
            <rFont val="Tahoma"/>
            <family val="2"/>
          </rPr>
          <t>Jakob Maag:</t>
        </r>
        <r>
          <rPr>
            <sz val="9"/>
            <color indexed="81"/>
            <rFont val="Tahoma"/>
            <family val="2"/>
          </rPr>
          <t xml:space="preserve">
changed 15JAN2016 due to fuel introduction</t>
        </r>
      </text>
    </comment>
    <comment ref="I22" authorId="0" shapeId="0" xr:uid="{00000000-0006-0000-0500-00000E000000}">
      <text>
        <r>
          <rPr>
            <b/>
            <sz val="9"/>
            <color indexed="81"/>
            <rFont val="Tahoma"/>
            <family val="2"/>
          </rPr>
          <t>Jakob Maag:</t>
        </r>
        <r>
          <rPr>
            <sz val="9"/>
            <color indexed="81"/>
            <rFont val="Tahoma"/>
            <family val="2"/>
          </rPr>
          <t xml:space="preserve">
KEEP THESE IN PUBISHED VERSION - FORMULAS FOR FOSSIL FUEL CONTRIBUTIONS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700-000001000000}">
      <text>
        <r>
          <rPr>
            <b/>
            <sz val="8"/>
            <color indexed="81"/>
            <rFont val="Tahoma"/>
            <family val="2"/>
          </rPr>
          <t>Jakob Maag:</t>
        </r>
        <r>
          <rPr>
            <sz val="8"/>
            <color indexed="81"/>
            <rFont val="Tahoma"/>
            <family val="2"/>
          </rPr>
          <t xml:space="preserve">
changed Jan 2013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99D76BF4-4884-8549-8AF4-23060F9E1876}">
      <text>
        <r>
          <rPr>
            <b/>
            <sz val="9"/>
            <color indexed="81"/>
            <rFont val="Tahoma"/>
            <family val="2"/>
          </rPr>
          <t>Jakob Maag:</t>
        </r>
        <r>
          <rPr>
            <sz val="9"/>
            <color indexed="81"/>
            <rFont val="Tahoma"/>
            <family val="2"/>
          </rPr>
          <t xml:space="preserve">
Changed 4 jul2019 from 5 g/t</t>
        </r>
      </text>
    </comment>
    <comment ref="J24" authorId="0" shapeId="0" xr:uid="{00000000-0006-0000-0900-000001000000}">
      <text>
        <r>
          <rPr>
            <b/>
            <sz val="9"/>
            <color rgb="FF000000"/>
            <rFont val="Tahoma"/>
            <family val="2"/>
          </rPr>
          <t>Jakob Maag:</t>
        </r>
        <r>
          <rPr>
            <sz val="9"/>
            <color rgb="FF000000"/>
            <rFont val="Tahoma"/>
            <family val="2"/>
          </rPr>
          <t xml:space="preserve">
</t>
        </r>
        <r>
          <rPr>
            <sz val="9"/>
            <color rgb="FF000000"/>
            <rFont val="Tahoma"/>
            <family val="2"/>
          </rPr>
          <t>dry added 27jan2016</t>
        </r>
      </text>
    </comment>
    <comment ref="C26" authorId="0" shapeId="0" xr:uid="{00000000-0006-0000-0900-000002000000}">
      <text>
        <r>
          <rPr>
            <b/>
            <sz val="9"/>
            <color rgb="FF000000"/>
            <rFont val="Tahoma"/>
            <family val="2"/>
          </rPr>
          <t>Jakob Maag:</t>
        </r>
        <r>
          <rPr>
            <sz val="9"/>
            <color rgb="FF000000"/>
            <rFont val="Tahoma"/>
            <family val="2"/>
          </rPr>
          <t xml:space="preserve">
</t>
        </r>
        <r>
          <rPr>
            <sz val="9"/>
            <color rgb="FF000000"/>
            <rFont val="Tahoma"/>
            <family val="2"/>
          </rPr>
          <t>Title adjusted 24Apr15</t>
        </r>
      </text>
    </comment>
    <comment ref="G26" authorId="0" shapeId="0" xr:uid="{C75B6405-F0CA-9740-A1CF-99E119D28129}">
      <text>
        <r>
          <rPr>
            <b/>
            <sz val="9"/>
            <color rgb="FF000000"/>
            <rFont val="Tahoma"/>
            <family val="2"/>
          </rPr>
          <t>Jakob Maag:</t>
        </r>
        <r>
          <rPr>
            <sz val="9"/>
            <color rgb="FF000000"/>
            <rFont val="Tahoma"/>
            <family val="2"/>
          </rPr>
          <t xml:space="preserve">
</t>
        </r>
        <r>
          <rPr>
            <sz val="9"/>
            <color rgb="FF000000"/>
            <rFont val="Tahoma"/>
            <family val="2"/>
          </rPr>
          <t>Changed 4 jul2019 from 5 g/t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6" authorId="0" shapeId="0" xr:uid="{B6F8C267-48CC-BA4A-B1D5-279DE454C104}">
      <text>
        <r>
          <rPr>
            <b/>
            <sz val="9"/>
            <color indexed="81"/>
            <rFont val="Tahoma"/>
            <family val="2"/>
          </rPr>
          <t>Jakob Maag:</t>
        </r>
        <r>
          <rPr>
            <sz val="9"/>
            <color indexed="81"/>
            <rFont val="Tahoma"/>
            <family val="2"/>
          </rPr>
          <t xml:space="preserve">
Changed 4 jul2019 from 5 g/t</t>
        </r>
      </text>
    </comment>
    <comment ref="G13" authorId="0" shapeId="0" xr:uid="{512D1BA0-B720-0D41-B649-350F411EE72E}">
      <text>
        <r>
          <rPr>
            <b/>
            <sz val="9"/>
            <color indexed="81"/>
            <rFont val="Tahoma"/>
            <family val="2"/>
          </rPr>
          <t>Jakob Maag:</t>
        </r>
        <r>
          <rPr>
            <sz val="9"/>
            <color indexed="81"/>
            <rFont val="Tahoma"/>
            <family val="2"/>
          </rPr>
          <t xml:space="preserve">
Changed 4 jul2019 from 5 g/t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15" authorId="0" shapeId="0" xr:uid="{00000000-0006-0000-0E00-000001000000}">
      <text>
        <r>
          <rPr>
            <b/>
            <sz val="9"/>
            <color rgb="FF000000"/>
            <rFont val="Tahoma"/>
            <family val="2"/>
          </rPr>
          <t>Jakob Maag: 2016</t>
        </r>
        <r>
          <rPr>
            <sz val="9"/>
            <color rgb="FF000000"/>
            <rFont val="Tahoma"/>
            <family val="2"/>
          </rPr>
          <t xml:space="preserve">
</t>
        </r>
        <r>
          <rPr>
            <sz val="9"/>
            <color rgb="FF000000"/>
            <rFont val="Tahoma"/>
            <family val="2"/>
          </rPr>
          <t xml:space="preserve">Inclusion of special collection is incorporated for all relevant products: 
</t>
        </r>
        <r>
          <rPr>
            <sz val="9"/>
            <color rgb="FF000000"/>
            <rFont val="Tahoma"/>
            <family val="2"/>
          </rPr>
          <t xml:space="preserve">If y og n: scen 1
</t>
        </r>
        <r>
          <rPr>
            <sz val="9"/>
            <color rgb="FF000000"/>
            <rFont val="Tahoma"/>
            <family val="2"/>
          </rPr>
          <t xml:space="preserve">If n og n: scen 2 or n og y (= unrealistic), or no answer for separate collection
</t>
        </r>
        <r>
          <rPr>
            <sz val="9"/>
            <color rgb="FF000000"/>
            <rFont val="Tahoma"/>
            <family val="2"/>
          </rPr>
          <t>If y og y: scen 3</t>
        </r>
      </text>
    </comment>
    <comment ref="N53" authorId="0" shapeId="0" xr:uid="{00000000-0006-0000-0E00-000002000000}">
      <text>
        <r>
          <rPr>
            <b/>
            <sz val="9"/>
            <color rgb="FF000000"/>
            <rFont val="Tahoma"/>
            <family val="2"/>
          </rPr>
          <t>Jakob Maag:</t>
        </r>
        <r>
          <rPr>
            <sz val="9"/>
            <color rgb="FF000000"/>
            <rFont val="Tahoma"/>
            <family val="2"/>
          </rPr>
          <t xml:space="preserve">
</t>
        </r>
        <r>
          <rPr>
            <sz val="9"/>
            <color rgb="FF000000"/>
            <rFont val="Tahoma"/>
            <family val="2"/>
          </rPr>
          <t>4july2016: These output scenarios for PUR were not changed for IL1.5, as separate collection is not relevant here)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F00-000001000000}">
      <text>
        <r>
          <rPr>
            <b/>
            <sz val="9"/>
            <color indexed="81"/>
            <rFont val="Tahoma"/>
            <family val="2"/>
          </rPr>
          <t>Jakob Maag:</t>
        </r>
        <r>
          <rPr>
            <sz val="9"/>
            <color indexed="81"/>
            <rFont val="Tahoma"/>
            <family val="2"/>
          </rPr>
          <t xml:space="preserve">
Was actually changed to 0,2 in April 2013 version</t>
        </r>
      </text>
    </comment>
    <comment ref="R11" authorId="0" shapeId="0" xr:uid="{00000000-0006-0000-0F00-000002000000}">
      <text>
        <r>
          <rPr>
            <b/>
            <sz val="9"/>
            <color indexed="81"/>
            <rFont val="Tahoma"/>
            <family val="2"/>
          </rPr>
          <t>Jakob Maag:</t>
        </r>
        <r>
          <rPr>
            <sz val="9"/>
            <color indexed="81"/>
            <rFont val="Tahoma"/>
            <family val="2"/>
          </rPr>
          <t xml:space="preserve">
Changed Oct 2014</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3" authorId="0" shapeId="0" xr:uid="{00000000-0006-0000-1400-000001000000}">
      <text>
        <r>
          <rPr>
            <b/>
            <sz val="8"/>
            <color indexed="81"/>
            <rFont val="Tahoma"/>
            <family val="2"/>
          </rPr>
          <t>Jakob Maag:</t>
        </r>
        <r>
          <rPr>
            <sz val="8"/>
            <color indexed="81"/>
            <rFont val="Tahoma"/>
            <family val="2"/>
          </rPr>
          <t xml:space="preserve">
If general factor adjustments are needed, adjust this one first, as all black factors link t this cell</t>
        </r>
      </text>
    </comment>
    <comment ref="C4" authorId="0" shapeId="0" xr:uid="{00000000-0006-0000-1400-000002000000}">
      <text>
        <r>
          <rPr>
            <b/>
            <sz val="8"/>
            <color indexed="81"/>
            <rFont val="Tahoma"/>
            <family val="2"/>
          </rPr>
          <t>Jakob Maag:</t>
        </r>
        <r>
          <rPr>
            <sz val="8"/>
            <color indexed="81"/>
            <rFont val="Tahoma"/>
            <family val="2"/>
          </rPr>
          <t xml:space="preserve">
In cases where experience data do not reflect expected maximum vaues</t>
        </r>
      </text>
    </comment>
    <comment ref="F4" authorId="0" shapeId="0" xr:uid="{00000000-0006-0000-1400-000003000000}">
      <text>
        <r>
          <rPr>
            <b/>
            <sz val="9"/>
            <color indexed="81"/>
            <rFont val="Tahoma"/>
            <family val="2"/>
          </rPr>
          <t>Jakob Maag:</t>
        </r>
        <r>
          <rPr>
            <sz val="9"/>
            <color indexed="81"/>
            <rFont val="Tahoma"/>
            <family val="2"/>
          </rPr>
          <t xml:space="preserve">
Note that any data entered in "Insert IL2 result" also affect this mechanism.</t>
        </r>
      </text>
    </comment>
    <comment ref="A7" authorId="0" shapeId="0" xr:uid="{00000000-0006-0000-1400-000004000000}">
      <text>
        <r>
          <rPr>
            <b/>
            <sz val="9"/>
            <color indexed="81"/>
            <rFont val="Tahoma"/>
            <family val="2"/>
          </rPr>
          <t>Jakob Maag:</t>
        </r>
        <r>
          <rPr>
            <sz val="9"/>
            <color indexed="81"/>
            <rFont val="Tahoma"/>
            <family val="2"/>
          </rPr>
          <t xml:space="preserve">
At 27jan2016, when we introduce industrial boilers as individual source sub-category, we have no experience data, and therefore no range test. ADD LATER IF POSSIBLE</t>
        </r>
      </text>
    </comment>
  </commentList>
</comments>
</file>

<file path=xl/sharedStrings.xml><?xml version="1.0" encoding="utf-8"?>
<sst xmlns="http://schemas.openxmlformats.org/spreadsheetml/2006/main" count="3196" uniqueCount="1270">
  <si>
    <t>Guide to the column headers and the entry of data:</t>
  </si>
  <si>
    <t>Other important information:</t>
  </si>
  <si>
    <t>For some source sectors, e.g. coal combustion, the total calculated mercury input must be distributed between the relevant scenarios in accordance with information obtained in your data collection. For example for coal combustion, half of the annual coal supply may be used in facilities with no emission reduction devices, while the other half is used in facilities with fabric filters. In this example, 50% of your mercury input must entered in the "no devises" row in this column, while the other 50% must be entered in the "fabric filters" row. For other sources, e.g. batteries, you can choose the scenario you find most appropriate for the country covered in your inventory - and enter the total calculated mercury input in that row, or you can distribute the total input between the scenarios, for example if different scenarios are relevant in different parts of the country investigated.</t>
  </si>
  <si>
    <r>
      <t>Read the Toolkit report sections carefully before using this spreadsheet!</t>
    </r>
    <r>
      <rPr>
        <sz val="10"/>
        <rFont val="Arial"/>
        <family val="2"/>
      </rPr>
      <t>: This spreadsheet is not self-explaining and there is a clear risk of making serious mistakes, if the proposed principles and data are not read and understood carefully. Make yourself acquainted with the methodology used for mercury inventories in the Toolkit report. Before working with an individual source sub-category in this spreadsheet, read the Toolkit report's section describing the source.</t>
    </r>
  </si>
  <si>
    <r>
      <t>Spreadsheet names</t>
    </r>
    <r>
      <rPr>
        <sz val="10"/>
        <rFont val="Arial"/>
        <family val="2"/>
      </rPr>
      <t>: The numbers in the individual sheets' names refer to the chapter number of the source category dealt with in the individual sheet.</t>
    </r>
  </si>
  <si>
    <r>
      <t>Metric units</t>
    </r>
    <r>
      <rPr>
        <sz val="10"/>
        <rFont val="Arial"/>
        <family val="2"/>
      </rPr>
      <t>: All units used in this spreadsheet are - and must be - metric units, in accordance with the Toolkit report. The notation "t", means metric tons (also called "tonnes" in UK terminology).</t>
    </r>
  </si>
  <si>
    <r>
      <t>"C"</t>
    </r>
    <r>
      <rPr>
        <sz val="10"/>
        <rFont val="Arial"/>
        <family val="2"/>
      </rPr>
      <t>: The column shows the section number in the Toolkit report describing this source category.</t>
    </r>
  </si>
  <si>
    <r>
      <t>"Su-C"</t>
    </r>
    <r>
      <rPr>
        <sz val="10"/>
        <rFont val="Arial"/>
        <family val="2"/>
      </rPr>
      <t>: The column shows the section number in the Toolkit report describing this source sub-category.</t>
    </r>
  </si>
  <si>
    <r>
      <t>"Source category /phase"</t>
    </r>
    <r>
      <rPr>
        <sz val="10"/>
        <rFont val="Arial"/>
        <family val="2"/>
      </rPr>
      <t>: This column displays the name of the source category, source sub-category or life cycle phase dealt with in this line and in any lines below until the line with the next name in the column.</t>
    </r>
  </si>
  <si>
    <r>
      <t>"Exists? (y/n/?)"</t>
    </r>
    <r>
      <rPr>
        <sz val="10"/>
        <rFont val="Arial"/>
        <family val="2"/>
      </rPr>
      <t>: Enter "yes" if it is confirmed that this source is present in the area covered by the inventory. Enter "no" if it is confirmed that this source is NOT present in the area. Enter "?", if it is not known if the source is present or not in the area covered by the inventory.</t>
    </r>
  </si>
  <si>
    <r>
      <t>Non-existing source categories:</t>
    </r>
    <r>
      <rPr>
        <sz val="10"/>
        <rFont val="Arial"/>
        <family val="2"/>
      </rPr>
      <t xml:space="preserve"> If you have positively verified that the source in question does not exist in the country, enter the number "0" as the activity rate and as the Hg input in order to display the correct output numbers, namely "0".</t>
    </r>
  </si>
  <si>
    <r>
      <t>"Default input factor""</t>
    </r>
    <r>
      <rPr>
        <sz val="10"/>
        <rFont val="Arial"/>
        <family val="2"/>
      </rPr>
      <t>: These columns inform you of the default input factors defined in the Toolkit report, and their units. The appropriate unit is noted in the next column to the right.</t>
    </r>
  </si>
  <si>
    <r>
      <t>"Enter input factor"</t>
    </r>
    <r>
      <rPr>
        <sz val="10"/>
        <rFont val="Arial"/>
        <family val="2"/>
      </rPr>
      <t>: Here you enter your choice of input factor for the source in question. For source sub categories where default factors are defined in the Toolkit report, the MAXIMUM default input factor is already entered in the appropriate cell. Remember that well documented national or local input factors should always be preferred, if available. Provide documentation for the used factors in the inventory report. The appropriate unit is noted in the next column to the right.</t>
    </r>
  </si>
  <si>
    <r>
      <t>"Enter activity rate"</t>
    </r>
    <r>
      <rPr>
        <sz val="10"/>
        <rFont val="Arial"/>
        <family val="2"/>
      </rPr>
      <t>: Here you enter the activity rate for the source category in question. See in the corresponding section of the Toolkit report, which type of activity rate you must use. Find appropriate activity rate data according to the principles and advice given in section 4.4 ("Data gathering and quantification of mercury releases") in the Toolkit report.</t>
    </r>
  </si>
  <si>
    <r>
      <t>"Calculat. Hg input"</t>
    </r>
    <r>
      <rPr>
        <sz val="10"/>
        <rFont val="Arial"/>
        <family val="2"/>
      </rPr>
      <t>: This column displays the calculated mercury input to the source in question. For source sub categories where default factors are defined in the Toolkit report, the appropriate calculation formula is already entered in the cell. For sources where this is not the case, you must enter appropriate calculation formulas according to the Toolkit principles; often you can copy - or be inspired by - calculation formulas given for other sources in the same column. BE VERY CAREFUL THAT THE UNIT AND ORDER OF MAGNITUDE ARE CORRECT - this is one of the error types most often made in such calculations. For source sub-categories that have several contributions to the overall releases from the sub-category, e.g. several life cycle phase, the sum of input contributions is displayed in bold red writing.</t>
    </r>
  </si>
  <si>
    <r>
      <t>"Output scenarios, where relevant"</t>
    </r>
    <r>
      <rPr>
        <sz val="10"/>
        <rFont val="Arial"/>
        <family val="2"/>
      </rPr>
      <t>: For some source sub-categories, several output scenarios are defined in the Toolkit report according to the characteristics of the source. For such sources, the description of the scenario is given in this column, and corresponding output distribution factors are entered - or can be entered - in the columns to the right of this column. For sources where there is only one output scenario, this column is empty.</t>
    </r>
  </si>
  <si>
    <r>
      <t>"Enter Hg input"</t>
    </r>
    <r>
      <rPr>
        <sz val="10"/>
        <rFont val="Arial"/>
        <family val="2"/>
      </rPr>
      <t>: In this column, the mercury INPUT to this source category, or phase, or scenario must be entered. In simple cases, the number to be entered here is the number calculated in the column "Calculat. Hg input"; for these a simple reference (e.g. "= k34") can be made or the number can be entered manually. For sources with several output scenarios you must investigate which scenario(s) is/are relevant and enter the mercury input lead to that scenario.</t>
    </r>
  </si>
  <si>
    <r>
      <t>"Enter output distribution factors"</t>
    </r>
    <r>
      <rPr>
        <sz val="10"/>
        <rFont val="Arial"/>
        <family val="2"/>
      </rPr>
      <t>: Here you enter your choice of output distribution factors. Important: In most cases the sum of all output distributions factors for a source must be 1 (exceptions: see notes in this spreadsheet and corresponding sections in the Toolkit report). For source sub categories where default factors are defined in the Toolkit report, the default factors are already entered in the appropriate cells; note that question marks in the report are substituted here by "0" to facilitate the use of the spreadsheet for quick initial screenings. Remember that well documented national or local distribution factors should always be preferred, if available. Provide documentation for the used factors in the inventory report. NB: For a few sources, other methodology is used to estimate releases; this is described in notes in each relevant sheet.</t>
    </r>
  </si>
  <si>
    <r>
      <t>"Calculated Hg output, Kg/y</t>
    </r>
    <r>
      <rPr>
        <sz val="10"/>
        <rFont val="Arial"/>
        <family val="2"/>
      </rPr>
      <t>": These columns display the calculated mercury releases distributed on the output pathways considered. Each cell in these columns contain a formula calculating the release estimate based on the mercury inputs to the source or phase or output scenario in question and the output distribution factor for this pathway. In very few cases, the release estimates are calculated with other principles - see specific notes in the sheets in question.</t>
    </r>
  </si>
  <si>
    <r>
      <t>"Remarks"</t>
    </r>
    <r>
      <rPr>
        <sz val="10"/>
        <rFont val="Arial"/>
        <family val="2"/>
      </rPr>
      <t>: Here you enter a few words on information on the specific fate of mercury released to "Sector specific treatment/disposal", and you enter important key information on a summary level. Give reference to where in the inventory report the information is described in more detail.</t>
    </r>
  </si>
  <si>
    <r>
      <t>"#Value!"</t>
    </r>
    <r>
      <rPr>
        <sz val="10"/>
        <rFont val="Arial"/>
        <family val="2"/>
      </rPr>
      <t>: This term appear in calculation results, if "?", "-" or similar text signs are written in input cells. If data are available, enter these instead of the "?" in the input cells. If data are not available, the sign (?,- or other) may often be the appropriate thing to show in the results cell. To present the same sign (?,- or other), enter the appropriate sign manually in the calculation cell.</t>
    </r>
  </si>
  <si>
    <r>
      <t>User defined alterations of the spreadsheet principles</t>
    </r>
    <r>
      <rPr>
        <sz val="10"/>
        <rFont val="Arial"/>
        <family val="2"/>
      </rPr>
      <t>: This spreadsheet is designed for mercury release quantification according to the general methodology and specific principles for each source sub-category recommended in the Toolkit report. For many source sub-categories other specific approaches may be usable (e.g. other activity rate types). This spreadsheet may be adjusted accordingly by the users as desired, requiring that the applied principles are in line with the overall approach of the Toolkit, and are well documented in the inventory reporting and that full reference is given to this Toolkit spreadsheet.</t>
    </r>
  </si>
  <si>
    <r>
      <t>Enter calculation formulas</t>
    </r>
    <r>
      <rPr>
        <sz val="10"/>
        <rFont val="Arial"/>
        <family val="2"/>
      </rPr>
      <t>: In this spreadsheet, default calculation formulas were only entered for source sub-categories, for which defaults were defined in the Toolkit report. Depending in the data available, inputs and releases may however be possible to estimate for many more sources. In such cases, the user should enter appropriate formulas and data for the calculations. In many cases this can be done by copying appropriate formulas from other cells in this spreadsheet - be careful to be accurate.</t>
    </r>
  </si>
  <si>
    <r>
      <t>Sub-calculations</t>
    </r>
    <r>
      <rPr>
        <sz val="10"/>
        <rFont val="Arial"/>
        <family val="2"/>
      </rPr>
      <t>: In many cases sub-calculations will be needed, e.g. for calculations/conversions of the activity rates, or alternative input factors or alternative output distribution factors. Such calculations must be made in other spreadsheets, for instance in new sheets inserted in this same Tollkit spreadsheet file; remember to report clear and transparent documentation of all data and calculations used - read more about this in the Toolkit report.</t>
    </r>
  </si>
  <si>
    <r>
      <t>Decimal point/comma:</t>
    </r>
    <r>
      <rPr>
        <sz val="10"/>
        <rFont val="Arial"/>
        <family val="2"/>
      </rPr>
      <t xml:space="preserve"> In order to display decimal comma or decimal point according to your preference, make sure your MS Windows systems language is set accordingly. Note however that numbers displayed here as  text (default factor intervals) will display with decimal point, in accordance with the Toolkit report format, regardless of language settings chosen.</t>
    </r>
  </si>
  <si>
    <r>
      <t>Sum of quantified releases</t>
    </r>
    <r>
      <rPr>
        <sz val="10"/>
        <rFont val="Arial"/>
        <family val="2"/>
      </rPr>
      <t>: If you wish to calculate sums of quantified inputs or releases, other than the ones already displayed, remember not to double-count Hg amounts quantified for several source categories (e.g. Hg amounts that are counted under both production, use, and disposal) . This requires a deeper analysis based on relevant Toolkit report sections.</t>
    </r>
  </si>
  <si>
    <t>Disclaimer:</t>
  </si>
  <si>
    <t>This publication is intended to serve as a guide. While the information provided is believed to be accurate, UNEP disclaims any responsibility for possible inaccuracies or omissions and consequences that may flow from them. Neither UNEP nor any individual involved in the preparation of this publication shall be liable for any injury, loss, damage or prejudice of any kind that may be caused by persons who have acted based on their understanding of the information contained in this publication.</t>
  </si>
  <si>
    <t>The designation employed and the presentation of material in this publication do not imply any expression of any opinion whatsoever on the part of the United Nations or UNEP concerning the legal status of any country, territory, city or area or any of its authorities, or concerning any definition of frontiers or boundaries.</t>
  </si>
  <si>
    <t>Summary of estimated mercury inputs and releases</t>
  </si>
  <si>
    <t>Enter year, date and responsible institution/person</t>
  </si>
  <si>
    <t>SUM OF QUANTIFIED RELEASES:</t>
  </si>
  <si>
    <t>(a and (b: See note text in the relevant sheets</t>
  </si>
  <si>
    <t xml:space="preserve">- </t>
  </si>
  <si>
    <t>Draft spreadsheet of UNEP Chemicals' Toolkit for identification and quantification of mercury releases</t>
  </si>
  <si>
    <t>Unit</t>
  </si>
  <si>
    <t>Kg Hg/y</t>
  </si>
  <si>
    <t>Enter input factor</t>
  </si>
  <si>
    <t>Air</t>
  </si>
  <si>
    <t>Water</t>
  </si>
  <si>
    <t>Land</t>
  </si>
  <si>
    <t>Products</t>
  </si>
  <si>
    <t>General waste</t>
  </si>
  <si>
    <t>?</t>
  </si>
  <si>
    <t>Source category: Extraction and use of fuels/energy sources</t>
  </si>
  <si>
    <t>5.1.1</t>
  </si>
  <si>
    <t>5.1</t>
  </si>
  <si>
    <t>Coal combustion in large power plants</t>
  </si>
  <si>
    <t>0.05-0.5</t>
  </si>
  <si>
    <t>Default input factor</t>
  </si>
  <si>
    <t>Su-C</t>
  </si>
  <si>
    <t xml:space="preserve"> Enter activity rate</t>
  </si>
  <si>
    <t>C</t>
  </si>
  <si>
    <t>Secto r specific treatment/disposal</t>
  </si>
  <si>
    <t>Calculated Hg output, Kg/y</t>
  </si>
  <si>
    <t>Enter output distribution factors (unitless)</t>
  </si>
  <si>
    <t>Notes:</t>
  </si>
  <si>
    <t>"Output scenario"</t>
  </si>
  <si>
    <t>0.05-0.5 (a</t>
  </si>
  <si>
    <t>Source category /phase</t>
  </si>
  <si>
    <t>/Coal wash</t>
  </si>
  <si>
    <t>Calculat. Hg input</t>
  </si>
  <si>
    <t>Other coal use</t>
  </si>
  <si>
    <t>Coke production</t>
  </si>
  <si>
    <t>Kg Hg/y (a</t>
  </si>
  <si>
    <t>5.1.3</t>
  </si>
  <si>
    <t>Uses (other than combustion)</t>
  </si>
  <si>
    <t>Residential heating with no controls</t>
  </si>
  <si>
    <t>Oil Combustion Facility with no emissions controls</t>
  </si>
  <si>
    <t>Oil Combustion Facility with PM control using an ESP or scrubber</t>
  </si>
  <si>
    <t>Mineral oils - extraction, refining and use</t>
  </si>
  <si>
    <t>5.1.4</t>
  </si>
  <si>
    <t>Natural gas - extraction, refining and use</t>
  </si>
  <si>
    <t>Nm3 gas/y</t>
  </si>
  <si>
    <t>0.03 - 0.4</t>
  </si>
  <si>
    <t>2 - 200</t>
  </si>
  <si>
    <t>µg Hg/Nm3 gas</t>
  </si>
  <si>
    <t>5.1.5</t>
  </si>
  <si>
    <t>Other fossil fuels - extraction and use</t>
  </si>
  <si>
    <t>Use of oil shale</t>
  </si>
  <si>
    <t>5.1.6</t>
  </si>
  <si>
    <t>Biomass fired power and heat production</t>
  </si>
  <si>
    <t>5.1.7</t>
  </si>
  <si>
    <t>Geothermal power production</t>
  </si>
  <si>
    <t>40 - 193 (b</t>
  </si>
  <si>
    <t>Combustion of peat</t>
  </si>
  <si>
    <t>Combustion of other fossil fuels</t>
  </si>
  <si>
    <t>Remarks</t>
  </si>
  <si>
    <t>5.5</t>
  </si>
  <si>
    <t>5.5.1</t>
  </si>
  <si>
    <t>Thermometers with mercury</t>
  </si>
  <si>
    <t>/Use+disposal</t>
  </si>
  <si>
    <t>Enter Hg input</t>
  </si>
  <si>
    <t>Medical thermometers</t>
  </si>
  <si>
    <t>Ambient air thermom.</t>
  </si>
  <si>
    <t>Industrial and special th.</t>
  </si>
  <si>
    <t>Other glass Hg thermometers</t>
  </si>
  <si>
    <t>(a1) No separate collection. Waste handl. controlled</t>
  </si>
  <si>
    <t>(a3) Separate collection. Waste handl. controlled</t>
  </si>
  <si>
    <t>/Production</t>
  </si>
  <si>
    <t>/Use+disposal:</t>
  </si>
  <si>
    <t>/Extraction</t>
  </si>
  <si>
    <t>/Refining</t>
  </si>
  <si>
    <t>/Extraction/refining</t>
  </si>
  <si>
    <t>/Use of raw or pre-cleaned gas</t>
  </si>
  <si>
    <t>/Use of pipeline gas (consumer quality)</t>
  </si>
  <si>
    <t>0.5-1.5</t>
  </si>
  <si>
    <t>5-200</t>
  </si>
  <si>
    <t>2-5</t>
  </si>
  <si>
    <t>1-40</t>
  </si>
  <si>
    <t>g Hg/item</t>
  </si>
  <si>
    <t>items/y</t>
  </si>
  <si>
    <t>(a2) No separate collection. Informal waste handl. widespread</t>
  </si>
  <si>
    <t>Electrical switches and relays with mercury</t>
  </si>
  <si>
    <t>5.5.2</t>
  </si>
  <si>
    <t>0.02-0.25</t>
  </si>
  <si>
    <t>0.25</t>
  </si>
  <si>
    <t>Inhabitants</t>
  </si>
  <si>
    <t>g Hg/(y*inhabitant)</t>
  </si>
  <si>
    <t>5.5.3</t>
  </si>
  <si>
    <t>Fluorescent tubes (double end)</t>
  </si>
  <si>
    <t>Compact fluorescent lamp (CFL single end)</t>
  </si>
  <si>
    <t xml:space="preserve">High pressure mercury vapour </t>
  </si>
  <si>
    <t>High-pressure sodium lamps</t>
  </si>
  <si>
    <t>UV light for tanning</t>
  </si>
  <si>
    <t>Metal halide lamps</t>
  </si>
  <si>
    <t>10 - 30</t>
  </si>
  <si>
    <t>5 - 25</t>
  </si>
  <si>
    <t>mg Hg/item</t>
  </si>
  <si>
    <t>Biocides and pesticides with mercury</t>
  </si>
  <si>
    <t>5.5.5</t>
  </si>
  <si>
    <t>5.5.4</t>
  </si>
  <si>
    <t>Batteries with mercury</t>
  </si>
  <si>
    <t>Mercury oxide (all sizes); also called mercury-zinc cells</t>
  </si>
  <si>
    <t>Zinc-air button cells</t>
  </si>
  <si>
    <t>Alkaline button cells</t>
  </si>
  <si>
    <t>Silver oxide button cells</t>
  </si>
  <si>
    <t>Alkaline, other than  button cell shapes</t>
  </si>
  <si>
    <t>Paints with mercury</t>
  </si>
  <si>
    <t>5.5.6</t>
  </si>
  <si>
    <t>0.3-5</t>
  </si>
  <si>
    <t>/Use (application + when appl.)</t>
  </si>
  <si>
    <t>Cosmetics and related products with mercury</t>
  </si>
  <si>
    <t>10-50</t>
  </si>
  <si>
    <t>Source category: Intentional use of mercury in industrial processes</t>
  </si>
  <si>
    <t>5.4</t>
  </si>
  <si>
    <t>5.4.1</t>
  </si>
  <si>
    <t>Chlor-alkali production with mercury-technology</t>
  </si>
  <si>
    <t>5.4.2</t>
  </si>
  <si>
    <t>100-140</t>
  </si>
  <si>
    <t>VCM production with mercury catalyst</t>
  </si>
  <si>
    <t>Acetaldehyde production with mercury catalyst</t>
  </si>
  <si>
    <t>Other production of chemicals and polymers with mercury</t>
  </si>
  <si>
    <t>Exists? (y/n/?)</t>
  </si>
  <si>
    <t>Chlor-alkali prod.</t>
  </si>
  <si>
    <t>Other oil combustion facilities</t>
  </si>
  <si>
    <t>5.2</t>
  </si>
  <si>
    <t>5.2.1</t>
  </si>
  <si>
    <t>5.2.2</t>
  </si>
  <si>
    <t>Gold and silver extraction with mercury amalgamation processes</t>
  </si>
  <si>
    <t>Zinc extraction and initial processing</t>
  </si>
  <si>
    <t>Mercury (primary) extraction and initial processing</t>
  </si>
  <si>
    <t>/Mining and concentrating</t>
  </si>
  <si>
    <t>/Production of zinc from concentrates</t>
  </si>
  <si>
    <t>Copper extraction and initial processing</t>
  </si>
  <si>
    <t>/Production of copper from concentrates</t>
  </si>
  <si>
    <t>Lead extraction and initial processing</t>
  </si>
  <si>
    <t>/Production of lead from concentrates</t>
  </si>
  <si>
    <t>5.3.3</t>
  </si>
  <si>
    <t>5.3.4</t>
  </si>
  <si>
    <t>5.3.5</t>
  </si>
  <si>
    <t>5.3.6</t>
  </si>
  <si>
    <t>(a: Due to lack of data, this calculation is proposed with traditional emission factors, instead of input and output factors as recommended in this Toolkit.</t>
  </si>
  <si>
    <t xml:space="preserve">    If you have data to use the inputs and outputs balance method, the calculation approach used for zinc can be copied here for gold.</t>
  </si>
  <si>
    <t>Aliminium extraction and initial processing</t>
  </si>
  <si>
    <t>/Aluminium production from alumina</t>
  </si>
  <si>
    <t>5.3.7</t>
  </si>
  <si>
    <t>5.3.8</t>
  </si>
  <si>
    <t>5.3.9</t>
  </si>
  <si>
    <t>Primary ferrous metal production</t>
  </si>
  <si>
    <t>Other non-ferrous metals - extraction and processing</t>
  </si>
  <si>
    <t>0.05</t>
  </si>
  <si>
    <t>/From whole ore</t>
  </si>
  <si>
    <t>kg Hg/kg gold produced</t>
  </si>
  <si>
    <t>kg gold produced/y</t>
  </si>
  <si>
    <t>/From concentrate</t>
  </si>
  <si>
    <t>5.3</t>
  </si>
  <si>
    <t>Source category: Production of other minerals and materials with mercury impurities</t>
  </si>
  <si>
    <t>5.3.1</t>
  </si>
  <si>
    <t>5.3.2</t>
  </si>
  <si>
    <t>Pulp and paper production</t>
  </si>
  <si>
    <t>Production of lime and light weight aggregates</t>
  </si>
  <si>
    <t>Lime production</t>
  </si>
  <si>
    <t>Light weight aggregate kilns</t>
  </si>
  <si>
    <t>5.8</t>
  </si>
  <si>
    <t>Source category: Waste incineration</t>
  </si>
  <si>
    <t>5.8.1</t>
  </si>
  <si>
    <t>Incineration of municipal/general waste</t>
  </si>
  <si>
    <t>Acid gas control with limestone (or similar acid gas absorbent) and downstream high efficiency FF or ESP PM retention</t>
  </si>
  <si>
    <t>Mercury specific absorbents and downstream FF</t>
  </si>
  <si>
    <t>5.8.2</t>
  </si>
  <si>
    <t>No emission reduction devices</t>
  </si>
  <si>
    <t>PM reduc, simple ESP, or similar</t>
  </si>
  <si>
    <t>Incineration of hazardous waste</t>
  </si>
  <si>
    <t>Incineration of medical waste</t>
  </si>
  <si>
    <t>5.8.3</t>
  </si>
  <si>
    <t>8-40</t>
  </si>
  <si>
    <t>5.8.4</t>
  </si>
  <si>
    <t>Sewage sludge incineration</t>
  </si>
  <si>
    <t>5.8.5</t>
  </si>
  <si>
    <t>"Output scenario (where relevant)</t>
  </si>
  <si>
    <t>5.6</t>
  </si>
  <si>
    <t>5.6.1</t>
  </si>
  <si>
    <t>Source category: Consumer products with intentional use of mercury</t>
  </si>
  <si>
    <t>Source category: Other intentional product/process use</t>
  </si>
  <si>
    <t>0.05-0.2</t>
  </si>
  <si>
    <t>/Preparations of fillings at dentist clinics (share of current mercury supply for amalgam fillings)</t>
  </si>
  <si>
    <t>/Disposal (releases from mercury supply for fillings 10-20 years ago)</t>
  </si>
  <si>
    <t>/Use - from fillings in the mouth (releases from mercury supply for fillings 5-15 years ago)</t>
  </si>
  <si>
    <t>(a: See detailed explanations in the dental fillings section in the Toolkit report.</t>
  </si>
  <si>
    <t xml:space="preserve">     If no change in the amalgam fillings supply have been observed, current supply may be used as a substitute; changes are likely to have occurred in most countries.</t>
  </si>
  <si>
    <t>- In countries where most dental clinics are equipped with high efficiency amalgam filters (95% retention rate)</t>
  </si>
  <si>
    <t>-  In countries where only dental chair filters/strainers are used in most clinics</t>
  </si>
  <si>
    <r>
      <t>Preparations of fillings</t>
    </r>
    <r>
      <rPr>
        <sz val="10"/>
        <rFont val="Times New Roman"/>
        <family val="1"/>
      </rPr>
      <t xml:space="preserve"> at dentist clinics (input is current Hg supply for amalgam fillings)</t>
    </r>
  </si>
  <si>
    <r>
      <t>Use</t>
    </r>
    <r>
      <rPr>
        <sz val="10"/>
        <rFont val="Times New Roman"/>
        <family val="1"/>
      </rPr>
      <t xml:space="preserve"> (input is Hg supply for </t>
    </r>
    <r>
      <rPr>
        <i/>
        <sz val="10"/>
        <rFont val="Times New Roman"/>
        <family val="1"/>
      </rPr>
      <t>fillings</t>
    </r>
    <r>
      <rPr>
        <sz val="10"/>
        <rFont val="Times New Roman"/>
        <family val="1"/>
      </rPr>
      <t xml:space="preserve"> 5-15 years ago (a)</t>
    </r>
  </si>
  <si>
    <r>
      <t xml:space="preserve">Disposal </t>
    </r>
    <r>
      <rPr>
        <sz val="10"/>
        <rFont val="Times New Roman"/>
        <family val="1"/>
      </rPr>
      <t>(input is Hg supply for fillings 10-20 years ago (a)</t>
    </r>
  </si>
  <si>
    <t>5.6.2</t>
  </si>
  <si>
    <t>Manometers and gauges with mercury</t>
  </si>
  <si>
    <t>Sector specific treatment/disposal</t>
  </si>
  <si>
    <t>Laboratory chemicals and equipment with mercury</t>
  </si>
  <si>
    <t>5.6.3</t>
  </si>
  <si>
    <t>Mercury metal use in religious rituals and folklore medicine</t>
  </si>
  <si>
    <t>Miscellaneous product uses, mercury metal uses, and other sources</t>
  </si>
  <si>
    <t>5.6.4</t>
  </si>
  <si>
    <t>5.6.5</t>
  </si>
  <si>
    <t>Infra red detection semiconductors</t>
  </si>
  <si>
    <t>Bougie tubes and Cantor tubes</t>
  </si>
  <si>
    <t>Educational uses</t>
  </si>
  <si>
    <t>Gyroscopes with mercury</t>
  </si>
  <si>
    <t>Vacuum pumps with mercury</t>
  </si>
  <si>
    <t>Use of mercury as a refrigerant in certain cooling systems</t>
  </si>
  <si>
    <t>Light houses (Marine navigation lights)</t>
  </si>
  <si>
    <t>Mercury in large bearings of rotating mechanic parts in for example older waste water treatment plants</t>
  </si>
  <si>
    <t>Tanning</t>
  </si>
  <si>
    <t>Pigments</t>
  </si>
  <si>
    <t>Browning and etching steel</t>
  </si>
  <si>
    <t>Certain colour photograph paper types</t>
  </si>
  <si>
    <t>Recoil softeners in rifles</t>
  </si>
  <si>
    <t>Explosives (mercury-fulminate a.o.)</t>
  </si>
  <si>
    <t>Fireworks</t>
  </si>
  <si>
    <t>Executive toys</t>
  </si>
  <si>
    <t>Others</t>
  </si>
  <si>
    <t>Medical blood pressure gauges</t>
  </si>
  <si>
    <t>Manometers</t>
  </si>
  <si>
    <t>U-shaped manometers</t>
  </si>
  <si>
    <t xml:space="preserve">Manometers for milking systems </t>
  </si>
  <si>
    <t>Manometers and barometers used for measuring air pressure</t>
  </si>
  <si>
    <t xml:space="preserve">Barometers </t>
  </si>
  <si>
    <t>Environmental manometers</t>
  </si>
  <si>
    <t>Pressure valves in district heating plants</t>
  </si>
  <si>
    <t>Pressure gauges</t>
  </si>
  <si>
    <t>Blood gas analyzer</t>
  </si>
  <si>
    <t>Mercury electrodes (calomel)</t>
  </si>
  <si>
    <t>Blood lead analyzer</t>
  </si>
  <si>
    <t>Mercury drop electrode</t>
  </si>
  <si>
    <t>Coulter counter</t>
  </si>
  <si>
    <t>Sample collector for oil offshore</t>
  </si>
  <si>
    <t>Centrifuges</t>
  </si>
  <si>
    <t>Electron microscope</t>
  </si>
  <si>
    <t>Thermostats</t>
  </si>
  <si>
    <t xml:space="preserve">Thermometers, manometers, and other measuring equipment </t>
  </si>
  <si>
    <t>Mercury lamps for atomic absorption spectrophotometers and other equipment</t>
  </si>
  <si>
    <t>Items/y</t>
  </si>
  <si>
    <t>-</t>
  </si>
  <si>
    <t>5.7</t>
  </si>
  <si>
    <t>5.7.1</t>
  </si>
  <si>
    <t>Source category: Production of recycled metals ("secondary" metal production)</t>
  </si>
  <si>
    <t>Production of recycled mercury ("secondary production”)</t>
  </si>
  <si>
    <t>Production of recycled ferrous metals (iron and steel)</t>
  </si>
  <si>
    <t>Production of other recycled metals</t>
  </si>
  <si>
    <t>Output scenario (where relevant)</t>
  </si>
  <si>
    <t>Note:</t>
  </si>
  <si>
    <t>(a: The Hg input to be entered here is metric tons of seconday mercury produced per year.</t>
  </si>
  <si>
    <t>Diffuse disposal under some control</t>
  </si>
  <si>
    <t>Source category: Waste deposition/landfilling and waste water treatment</t>
  </si>
  <si>
    <t>This source category is expected covered under the original sources of the mercury containing material, under det output path "sector specific treatment/disposal accompanied by a descriptive note; e.g. solid residues from waste incineration or metal extraction.</t>
  </si>
  <si>
    <t>Informal local disposal of industrial production waste</t>
  </si>
  <si>
    <t>Waste water system/treatment</t>
  </si>
  <si>
    <t>(b: It should be noted that mercury releases to informal waste incineration and waste dumping under the individual product and materials sub-categories are quantified in these sub-sections as direct releases to land, air and water.</t>
  </si>
  <si>
    <t xml:space="preserve">    Beware of double-counting. Note, however, that mercury inputs to dumping from mercury trace concentrations in high volume materials (plastics, paper, etc.) are not quantified individually elsewhere in this Toolkit</t>
  </si>
  <si>
    <t>5.9</t>
  </si>
  <si>
    <t>5.9.1</t>
  </si>
  <si>
    <t>5.9.2</t>
  </si>
  <si>
    <t>5.9.3</t>
  </si>
  <si>
    <t>5.9.4</t>
  </si>
  <si>
    <t>5.9.5</t>
  </si>
  <si>
    <t>No treatment; direct release from sewage pipe</t>
  </si>
  <si>
    <t>Mechanical treatment only</t>
  </si>
  <si>
    <t>Mechanical and biological (activated sludge) treatment; no land application of sludge</t>
  </si>
  <si>
    <t>Mechanical and biological (activated sludge) treatment; 40% of sludge used for land application</t>
  </si>
  <si>
    <t>0.5-10</t>
  </si>
  <si>
    <t>m3 waste water/y</t>
  </si>
  <si>
    <t>mg Hg/m3 waste water</t>
  </si>
  <si>
    <t>Enter description of estimation scenario presented below (maximum defaults/minimum defaults/other):</t>
  </si>
  <si>
    <t>Source category: Crematoria and cemetaries</t>
  </si>
  <si>
    <t>Crematoria</t>
  </si>
  <si>
    <t>1-4</t>
  </si>
  <si>
    <t>g Hg/corpse</t>
  </si>
  <si>
    <t>corpses cremated/y</t>
  </si>
  <si>
    <t>corpses burried/y</t>
  </si>
  <si>
    <t>5.10</t>
  </si>
  <si>
    <t>5.10.1</t>
  </si>
  <si>
    <t>5.10.2</t>
  </si>
  <si>
    <t>Read "introduction" before starting</t>
  </si>
  <si>
    <t>Source category</t>
  </si>
  <si>
    <t xml:space="preserve"> - If "other": Summarise main principles/characteristics in a few words (elaborate description in inventory report):</t>
  </si>
  <si>
    <t>Source category: Primary (virgin) metal production</t>
  </si>
  <si>
    <t>Gold extraction and initial processing by methods other than mercury amalgamation (a</t>
  </si>
  <si>
    <t xml:space="preserve">   In order for the releases to be presented correctly in the summary sheet, only one of the presentation options can be used (or the summary sheet should be adjusted for this source by the user).</t>
  </si>
  <si>
    <t>Controlled landfills/deposits (a</t>
  </si>
  <si>
    <t>Informal dumping of general waste (b</t>
  </si>
  <si>
    <t>Light sources with mercury</t>
  </si>
  <si>
    <t>Sub-C</t>
  </si>
  <si>
    <t>t coal/y</t>
  </si>
  <si>
    <t>t oil/y</t>
  </si>
  <si>
    <t>t peat/y</t>
  </si>
  <si>
    <t>t oil shale/y</t>
  </si>
  <si>
    <t>t pig iron produced</t>
  </si>
  <si>
    <t>t cement produced/y</t>
  </si>
  <si>
    <t>t Cl2/y</t>
  </si>
  <si>
    <t>t bat/y</t>
  </si>
  <si>
    <t>t paint/y</t>
  </si>
  <si>
    <t>t cream or soap/y</t>
  </si>
  <si>
    <t>g Hg/t waste</t>
  </si>
  <si>
    <t>t waste landfilled/y</t>
  </si>
  <si>
    <t>t waste dumped/y</t>
  </si>
  <si>
    <t>g Hg/t waste incinerated</t>
  </si>
  <si>
    <t>t waste incinerated/y</t>
  </si>
  <si>
    <t>kg Hg/t batteries</t>
  </si>
  <si>
    <t>kg Hg/t</t>
  </si>
  <si>
    <t>g Hg/t Cl2 produced</t>
  </si>
  <si>
    <t>g Hg/t VCM produced</t>
  </si>
  <si>
    <t>g Hg/t</t>
  </si>
  <si>
    <t>g Hg/t pig iron produced</t>
  </si>
  <si>
    <t>mg Hg/t</t>
  </si>
  <si>
    <t>(b: Based on one data set only</t>
  </si>
  <si>
    <t>mg Hg/t (dry weight)</t>
  </si>
  <si>
    <t>(b: Enter sum for total inputs to recycling, if know from other sources</t>
  </si>
  <si>
    <t>t concentrate/y</t>
  </si>
  <si>
    <r>
      <t xml:space="preserve">Dental mercury-amalgam fillings </t>
    </r>
    <r>
      <rPr>
        <b/>
        <sz val="10"/>
        <color indexed="10"/>
        <rFont val="Arial"/>
        <family val="2"/>
      </rPr>
      <t>(b</t>
    </r>
  </si>
  <si>
    <t>(b: Note that output distribution factors should not sum up to 1 for this source or phase.</t>
  </si>
  <si>
    <t>(a: Note that output distribution factors should not sum up to 1 for this source or phase.</t>
  </si>
  <si>
    <t>/Production (a</t>
  </si>
  <si>
    <r>
      <t xml:space="preserve">(b </t>
    </r>
    <r>
      <rPr>
        <sz val="10"/>
        <rFont val="Arial"/>
        <family val="2"/>
      </rPr>
      <t>Kg Hg/y</t>
    </r>
  </si>
  <si>
    <t>(c: Note that output distribution factors should not sum up to 1 for this source or phase.</t>
  </si>
  <si>
    <t>(a, (c</t>
  </si>
  <si>
    <t>(a: Important: If coal wash is aplied, the Hg input to combustion is the calculated output "Products" from coal wash. For more complicated mixes, see the relevant section in the toolkit report.</t>
  </si>
  <si>
    <t>Other minerals and materials</t>
  </si>
  <si>
    <t>Impurity in pro-ducts</t>
  </si>
  <si>
    <t>Cat. no.</t>
  </si>
  <si>
    <t>Extraction and processing of natural gas</t>
  </si>
  <si>
    <t>Y/N/?</t>
  </si>
  <si>
    <t>Production of zinc from concentrates</t>
  </si>
  <si>
    <t>Production of copper from concentrates</t>
  </si>
  <si>
    <t>Production of lead from concentrates</t>
  </si>
  <si>
    <t>5.2.3</t>
  </si>
  <si>
    <t>5.2.4</t>
  </si>
  <si>
    <t>5.2.5</t>
  </si>
  <si>
    <t>5.2.6</t>
  </si>
  <si>
    <t>5.2.7</t>
  </si>
  <si>
    <t>5.2.9</t>
  </si>
  <si>
    <t>Cement production</t>
  </si>
  <si>
    <t>5.4.3</t>
  </si>
  <si>
    <t>5.4.4</t>
  </si>
  <si>
    <t>5.5.7</t>
  </si>
  <si>
    <t>5.6.3, 5.6.5</t>
  </si>
  <si>
    <t>Impurity in products</t>
  </si>
  <si>
    <t>5.7.2</t>
  </si>
  <si>
    <t>Before you start on Inventory Level 2!!</t>
  </si>
  <si>
    <t>Charcoal combustion</t>
  </si>
  <si>
    <t>Cemeteries</t>
  </si>
  <si>
    <t>t biomass/year</t>
  </si>
  <si>
    <t>t charcoal/year</t>
  </si>
  <si>
    <t>g Hg/ t cement produced</t>
  </si>
  <si>
    <t>t Hg produced</t>
  </si>
  <si>
    <t>g Hg/t concentrate</t>
  </si>
  <si>
    <t>g Hg/t acetaledhyde</t>
  </si>
  <si>
    <t>t VCM/y</t>
  </si>
  <si>
    <t>t acetaldehyde/y</t>
  </si>
  <si>
    <t>Production</t>
  </si>
  <si>
    <t>g Hg used for production/y</t>
  </si>
  <si>
    <t>kg Hg used for production/y</t>
  </si>
  <si>
    <r>
      <t>kg recycled mercury</t>
    </r>
    <r>
      <rPr>
        <b/>
        <sz val="10"/>
        <rFont val="Arial"/>
        <family val="2"/>
      </rPr>
      <t>/year</t>
    </r>
  </si>
  <si>
    <t>g Hg/t sludge incinerated</t>
  </si>
  <si>
    <t xml:space="preserve">Total </t>
  </si>
  <si>
    <t>Inpurity in produtcs</t>
  </si>
  <si>
    <t>Inpurity in products</t>
  </si>
  <si>
    <t>70-85</t>
  </si>
  <si>
    <t>Other laboratory equipment (level 1 default)</t>
  </si>
  <si>
    <t>Laboratory chemicals and pharmaceutical (level 1 default)</t>
  </si>
  <si>
    <t>g Hg/y*inhabitant)</t>
  </si>
  <si>
    <t>5.5.8</t>
  </si>
  <si>
    <t>5.5.5.</t>
  </si>
  <si>
    <t>Polyurethane with mercury catalysts</t>
  </si>
  <si>
    <t>PM control with general ESP, or PS</t>
  </si>
  <si>
    <t>g Hg/t biomass (dry weight)</t>
  </si>
  <si>
    <t>0.07-1</t>
  </si>
  <si>
    <t>t bauxite/y</t>
  </si>
  <si>
    <t>g Hg/t bauxite</t>
  </si>
  <si>
    <t>/Alumina production from bauxite</t>
  </si>
  <si>
    <t>Combustion/use of petroleum coke and heavy oil</t>
  </si>
  <si>
    <t>/Use of gasoline, diesel and other light distillates:</t>
  </si>
  <si>
    <t>Transportation and other uses other than combustion</t>
  </si>
  <si>
    <t>/Use of heavy oil and petroleum coke:</t>
  </si>
  <si>
    <t>10 - 100</t>
  </si>
  <si>
    <t>1 - 10</t>
  </si>
  <si>
    <t>Oil combustion facilities</t>
  </si>
  <si>
    <t>g Hg/t(dry weight)</t>
  </si>
  <si>
    <t>0.007-0.07</t>
  </si>
  <si>
    <t>Gas processing with mercury removal</t>
  </si>
  <si>
    <t>Gas processing without mercury removal</t>
  </si>
  <si>
    <t>Informal dumping of general waste *1</t>
  </si>
  <si>
    <t>INVENTORY LEVEL 1 - TOTAL SUMMARY</t>
  </si>
  <si>
    <t>0,007-0,07</t>
  </si>
  <si>
    <t>g Hg/ t biomass used in production</t>
  </si>
  <si>
    <t>kg Hg/t Hg produced</t>
  </si>
  <si>
    <t>g Hg/t ore used (extracted)</t>
  </si>
  <si>
    <t>0.01-0.05</t>
  </si>
  <si>
    <t>0.005</t>
  </si>
  <si>
    <t>Other manometers (level 1 default for whole group)</t>
  </si>
  <si>
    <t>0.2-2</t>
  </si>
  <si>
    <t>g Hg/vehicle</t>
  </si>
  <si>
    <t>vehicles recycled/y</t>
  </si>
  <si>
    <t>4x conc. in biomass</t>
  </si>
  <si>
    <t>No filter</t>
  </si>
  <si>
    <t>t gold ore used/y</t>
  </si>
  <si>
    <t>g Hg/t ore used</t>
  </si>
  <si>
    <t>1020-1040</t>
  </si>
  <si>
    <t>kg Hg/kg Hg released totally</t>
  </si>
  <si>
    <t>Y</t>
  </si>
  <si>
    <t>Waste water system/treatment *3</t>
  </si>
  <si>
    <t>Controlled landfils/deposits *1</t>
  </si>
  <si>
    <t>Waste water system/treatment *2</t>
  </si>
  <si>
    <t>N</t>
  </si>
  <si>
    <t>Present?</t>
  </si>
  <si>
    <t>Y/N</t>
  </si>
  <si>
    <t>Informal dumping of general waste *1*2</t>
  </si>
  <si>
    <t>Incineration of municipal/general waste*1</t>
  </si>
  <si>
    <t>Incineration of hazardous waste*1</t>
  </si>
  <si>
    <t>Incineration of medical waste*1</t>
  </si>
  <si>
    <t>Sewage sludge incineration*1</t>
  </si>
  <si>
    <t>Open fire waste burning (on landfills and informally)*1</t>
  </si>
  <si>
    <t xml:space="preserve">This page includes country specific data for population, access to electricity and number of dental personnel. </t>
  </si>
  <si>
    <t xml:space="preserve">These data are used in background calculations and should not be altered by users. </t>
  </si>
  <si>
    <t>UNEP may update data here regularly, as updates become available and as feasible.</t>
  </si>
  <si>
    <t>Country</t>
  </si>
  <si>
    <t>Afghanistan</t>
  </si>
  <si>
    <t>Algeria</t>
  </si>
  <si>
    <t>Angola</t>
  </si>
  <si>
    <t>Argentina</t>
  </si>
  <si>
    <t>Armenia</t>
  </si>
  <si>
    <t>Austria</t>
  </si>
  <si>
    <t>Bahrain</t>
  </si>
  <si>
    <t>Bangladesh</t>
  </si>
  <si>
    <t>Belgium</t>
  </si>
  <si>
    <t>Benin</t>
  </si>
  <si>
    <t>Bolivia</t>
  </si>
  <si>
    <t>Botswana</t>
  </si>
  <si>
    <t>Brazil</t>
  </si>
  <si>
    <t>Brunei Darussalam</t>
  </si>
  <si>
    <t>Burkina Faso</t>
  </si>
  <si>
    <t>Cambodia</t>
  </si>
  <si>
    <t>Cameroon</t>
  </si>
  <si>
    <t>Chile</t>
  </si>
  <si>
    <t>China</t>
  </si>
  <si>
    <t>Colombia</t>
  </si>
  <si>
    <t>Costa Rica</t>
  </si>
  <si>
    <t>Côte d'Ivoire</t>
  </si>
  <si>
    <t>Cuba</t>
  </si>
  <si>
    <t>Democratic People's Republic of Korea</t>
  </si>
  <si>
    <t>Democratic Republic of the Congo</t>
  </si>
  <si>
    <t>Denmark</t>
  </si>
  <si>
    <t>Dominican Republic</t>
  </si>
  <si>
    <t>Ecuador</t>
  </si>
  <si>
    <t>Egypt</t>
  </si>
  <si>
    <t>El Salvador</t>
  </si>
  <si>
    <t>Eritrea</t>
  </si>
  <si>
    <t>Fiji</t>
  </si>
  <si>
    <t>Finland</t>
  </si>
  <si>
    <t>France</t>
  </si>
  <si>
    <t>Gabon</t>
  </si>
  <si>
    <t>Germany</t>
  </si>
  <si>
    <t>Ghana</t>
  </si>
  <si>
    <t>Greece</t>
  </si>
  <si>
    <t>Guatemala</t>
  </si>
  <si>
    <t>Haiti</t>
  </si>
  <si>
    <t>Honduras</t>
  </si>
  <si>
    <t>Iceland</t>
  </si>
  <si>
    <t>India</t>
  </si>
  <si>
    <t>Indonesia</t>
  </si>
  <si>
    <t>Iran, Islamic Republic of</t>
  </si>
  <si>
    <t>Iraq</t>
  </si>
  <si>
    <t>Ireland</t>
  </si>
  <si>
    <t>Israel</t>
  </si>
  <si>
    <t>Italy</t>
  </si>
  <si>
    <t>Jamaica</t>
  </si>
  <si>
    <t>Jordan</t>
  </si>
  <si>
    <t>Kenya</t>
  </si>
  <si>
    <t>Kuwait</t>
  </si>
  <si>
    <t>Kyrgyzstan</t>
  </si>
  <si>
    <t>Lao People's Democratic Republic</t>
  </si>
  <si>
    <t>Lebanon</t>
  </si>
  <si>
    <t>Lesotho</t>
  </si>
  <si>
    <t>Libyan Arab Jamahiriya</t>
  </si>
  <si>
    <t>Luxembourg</t>
  </si>
  <si>
    <t>Madagascar</t>
  </si>
  <si>
    <t>Malaysia</t>
  </si>
  <si>
    <t>Malta</t>
  </si>
  <si>
    <t>Mauritius</t>
  </si>
  <si>
    <t>Monaco</t>
  </si>
  <si>
    <t>Morocco</t>
  </si>
  <si>
    <t>Mozambique</t>
  </si>
  <si>
    <t>Myanmar</t>
  </si>
  <si>
    <t>Namibia</t>
  </si>
  <si>
    <t>Nepal</t>
  </si>
  <si>
    <t>Netherlands</t>
  </si>
  <si>
    <t>Nicaragua</t>
  </si>
  <si>
    <t>Nigeria</t>
  </si>
  <si>
    <t>Norway</t>
  </si>
  <si>
    <t>Oman</t>
  </si>
  <si>
    <t>Pakistan</t>
  </si>
  <si>
    <t>Panama</t>
  </si>
  <si>
    <t>Paraguay</t>
  </si>
  <si>
    <t>Peru</t>
  </si>
  <si>
    <t>Philippines</t>
  </si>
  <si>
    <t>Portugal</t>
  </si>
  <si>
    <t>Qatar</t>
  </si>
  <si>
    <t>Romania</t>
  </si>
  <si>
    <t>Saint Kitts and Nevis</t>
  </si>
  <si>
    <t>Saint Lucia</t>
  </si>
  <si>
    <t>Samoa</t>
  </si>
  <si>
    <t>Saudi Arabia</t>
  </si>
  <si>
    <t>Senegal</t>
  </si>
  <si>
    <t>Slovakia</t>
  </si>
  <si>
    <t>Slovenia</t>
  </si>
  <si>
    <t>South Africa</t>
  </si>
  <si>
    <t>Spain</t>
  </si>
  <si>
    <t>Sri Lanka</t>
  </si>
  <si>
    <t>Sudan</t>
  </si>
  <si>
    <t>Sweden</t>
  </si>
  <si>
    <t>Switzerland</t>
  </si>
  <si>
    <t>Syrian Arab Republic</t>
  </si>
  <si>
    <t>Thailand</t>
  </si>
  <si>
    <t>Timor-Leste</t>
  </si>
  <si>
    <t>Togo</t>
  </si>
  <si>
    <t>Tonga</t>
  </si>
  <si>
    <t>Trinidad and Tobago</t>
  </si>
  <si>
    <t>Tunisia</t>
  </si>
  <si>
    <t>Uganda</t>
  </si>
  <si>
    <t>Ukraine</t>
  </si>
  <si>
    <t>United Arab Emirates</t>
  </si>
  <si>
    <t>United Kingdom</t>
  </si>
  <si>
    <t>United Republic of Tanzania</t>
  </si>
  <si>
    <t>United States of America</t>
  </si>
  <si>
    <t>Uruguay</t>
  </si>
  <si>
    <t>Uzbekistan</t>
  </si>
  <si>
    <t>Venezuela, Bolivarian Republic of</t>
  </si>
  <si>
    <t>Yemen</t>
  </si>
  <si>
    <t>Zambia</t>
  </si>
  <si>
    <t>Zimbabwe</t>
  </si>
  <si>
    <r>
      <t xml:space="preserve">Figures computed by WHO to ensure comparability; </t>
    </r>
    <r>
      <rPr>
        <sz val="10"/>
        <rFont val="Arial"/>
        <family val="2"/>
      </rPr>
      <t>they are not necessarily the official statistics of Member States, which may use alternative rigorous methods. See explanatory notes for sources and methods.</t>
    </r>
  </si>
  <si>
    <t>Number of inhabitants 2010*3</t>
  </si>
  <si>
    <t>o</t>
  </si>
  <si>
    <t>Other non-OECD country</t>
  </si>
  <si>
    <t>Other OECD country</t>
  </si>
  <si>
    <t>Viet Nam*4</t>
  </si>
  <si>
    <t>OECD average of dental density</t>
  </si>
  <si>
    <t>Non-OECD 20% percentile</t>
  </si>
  <si>
    <t>*4: Dental personnel density assumed as average of Lao and Cambodia</t>
  </si>
  <si>
    <t>Montenegro*5</t>
  </si>
  <si>
    <t>For non-OECD countries with dental personnel density values below the 20% percentile for this group in the original data, the 20% percentile was used in calculations in order to eliminate errors of reporting.</t>
  </si>
  <si>
    <t>Non-OECD average of dental personnel density</t>
  </si>
  <si>
    <t>d</t>
  </si>
  <si>
    <t>o,d</t>
  </si>
  <si>
    <t>Electrification rate *2</t>
  </si>
  <si>
    <t>Albania*8</t>
  </si>
  <si>
    <t>Andorra*7</t>
  </si>
  <si>
    <t>Antigua and Barbuda*8</t>
  </si>
  <si>
    <t>Australia*8</t>
  </si>
  <si>
    <t>Azerbaijan*8</t>
  </si>
  <si>
    <t>Bahamas*8</t>
  </si>
  <si>
    <t>Barbados*8</t>
  </si>
  <si>
    <t>Belarus*9</t>
  </si>
  <si>
    <t>Belize*8</t>
  </si>
  <si>
    <t>Bhutan*6</t>
  </si>
  <si>
    <t>Bosnia and Herzegovina*6</t>
  </si>
  <si>
    <t>Bulgaria*8</t>
  </si>
  <si>
    <t>Burundi*6</t>
  </si>
  <si>
    <t>Canada*9</t>
  </si>
  <si>
    <t>Cape Verde*6</t>
  </si>
  <si>
    <t>Central African Republic*6</t>
  </si>
  <si>
    <t>Chad*6</t>
  </si>
  <si>
    <t>Comoros*6</t>
  </si>
  <si>
    <t>Republic of the Congo</t>
  </si>
  <si>
    <t>Cook Islands*8</t>
  </si>
  <si>
    <t>Croatia*8</t>
  </si>
  <si>
    <t>Cyprus*9</t>
  </si>
  <si>
    <t>Czech Republic*8</t>
  </si>
  <si>
    <t>Djibouti*6</t>
  </si>
  <si>
    <t>Dominica*6</t>
  </si>
  <si>
    <t>Estonia*8</t>
  </si>
  <si>
    <t>Gambia*6</t>
  </si>
  <si>
    <t>Georgia*6</t>
  </si>
  <si>
    <t>Grenada*8</t>
  </si>
  <si>
    <t>Guinea*6</t>
  </si>
  <si>
    <t>Guinea-Bissau*6</t>
  </si>
  <si>
    <t>Guyana*6</t>
  </si>
  <si>
    <t>Hungary*8</t>
  </si>
  <si>
    <t>Japan*8</t>
  </si>
  <si>
    <t>Kazakhstan*9</t>
  </si>
  <si>
    <t>Latvia*8</t>
  </si>
  <si>
    <t>Liberia*6</t>
  </si>
  <si>
    <t>Lithuania*8</t>
  </si>
  <si>
    <t>Maldives*6</t>
  </si>
  <si>
    <t>Mali*6</t>
  </si>
  <si>
    <t>Marshall Islands*8</t>
  </si>
  <si>
    <t>Mauritania*8</t>
  </si>
  <si>
    <t>Mexico*8</t>
  </si>
  <si>
    <t>Micronesia, Federated States of*8</t>
  </si>
  <si>
    <t>Mongolia*8</t>
  </si>
  <si>
    <t>New Zealand*8</t>
  </si>
  <si>
    <t>Niger*8</t>
  </si>
  <si>
    <t>Niue*8</t>
  </si>
  <si>
    <t>Palau*8</t>
  </si>
  <si>
    <t>Papua New Guinea*6</t>
  </si>
  <si>
    <t>Poland*8</t>
  </si>
  <si>
    <t>Republic of Korea*8</t>
  </si>
  <si>
    <t>Republic of Moldova*6</t>
  </si>
  <si>
    <t>Russian Federation*8</t>
  </si>
  <si>
    <t>Rwanda*6</t>
  </si>
  <si>
    <t>Saint Vincent and the Grenadines*6</t>
  </si>
  <si>
    <t>San Marino*9</t>
  </si>
  <si>
    <t>Sao Tome and Principe*8</t>
  </si>
  <si>
    <t>Serbia*5*8</t>
  </si>
  <si>
    <t>Seychelles*8</t>
  </si>
  <si>
    <t>Sierra Leone*6</t>
  </si>
  <si>
    <t>Singapore*8</t>
  </si>
  <si>
    <t>Solomon Islands*6</t>
  </si>
  <si>
    <t>Somalia*8</t>
  </si>
  <si>
    <t>Suriname*8</t>
  </si>
  <si>
    <t>Tajikistan*8</t>
  </si>
  <si>
    <t>The former Yugoslav Republic of Macedonia*8</t>
  </si>
  <si>
    <t>Turkey*8</t>
  </si>
  <si>
    <t>Turkmenistan*8</t>
  </si>
  <si>
    <t>Tuvalu*8</t>
  </si>
  <si>
    <t>*1: Source: WHO: World health report 2006, Annex, Table 4: Global distribution of health workers in WHO Member States. Accessed June 2012</t>
  </si>
  <si>
    <t>http://www.who.int/whr/2006/annex/en/index.html</t>
  </si>
  <si>
    <t>*2: Percent of population with access to electricity. Data source: IEA, Electricity access Today – WEO-2011 new Electricity access Database (2009 data country-by-country), accessed June 2012. Except for a few countries; see notes *6, *8 and *9.</t>
  </si>
  <si>
    <t>http://www.worldenergyoutlook.org/resources/energydevelopment/accesstoelectricity/</t>
  </si>
  <si>
    <t>*5: Assumed as Serbia and Montenegro in 2002 (or 2007, see report)</t>
  </si>
  <si>
    <t>http://www.reeep.org/file_upload/296_tmpphpW16ncV.pdf</t>
  </si>
  <si>
    <t xml:space="preserve">*6 Data source for electrification rate: Datamarket.com, accessed Aug. 2012. Data compiled by World Bank staff from households surveys. </t>
  </si>
  <si>
    <t>http://datamarket.com/data/set/1459/household-electrification-rate-of-households#!display=line&amp;ds=1459!g6f=6.12.15.n.g</t>
  </si>
  <si>
    <t>*7 Electrification rate assumed as Spain, Italy and France.</t>
  </si>
  <si>
    <t>*8  Data source for electrification rate: reegle www.regel.info -&gt; Resources &amp; Services (mostly 2000 data)</t>
  </si>
  <si>
    <t>http://www.reegle.info/countries</t>
  </si>
  <si>
    <t>*9  Data source for electrification rate: The U.S. National geophysical data center: If no other data/estimations were available, this source was used. The data are based on areas with electrification, and not by population.</t>
  </si>
  <si>
    <t>http://www.ngdc.noaa.gov/dmsp/pubs/Elvidge_WINTD_20091022.pdf</t>
  </si>
  <si>
    <t>Dental personnel per 1000 inhabitants (adjusted)*1</t>
  </si>
  <si>
    <t>Dental personnel per 1000 inhabitants (original WHO data)</t>
  </si>
  <si>
    <t>Year for dental personnel data*1</t>
  </si>
  <si>
    <t>o=OECD countries/d= countries in EIA electrification list</t>
  </si>
  <si>
    <t>*10: Assumed = average of (mainland) China and Japan.</t>
  </si>
  <si>
    <t>Chinese Taipei/Taiwan*10</t>
  </si>
  <si>
    <t>*11: Electrification rate assumed as Gabon.</t>
  </si>
  <si>
    <t>Equatorial Guinea*11</t>
  </si>
  <si>
    <t>Kiribati*12</t>
  </si>
  <si>
    <t>*12: Electrification rate assumed as Micronesia, Federated States of.</t>
  </si>
  <si>
    <t>Ethiopia*8*13</t>
  </si>
  <si>
    <t>Non-OECD average, electrification rates</t>
  </si>
  <si>
    <t>Tanzania*6*13</t>
  </si>
  <si>
    <t>*13: Dental personnel density assumed as Kenya.</t>
  </si>
  <si>
    <t>Nauru*8*12</t>
  </si>
  <si>
    <t>Malawi*14</t>
  </si>
  <si>
    <t>*14: Dental personnel density assumed as Mozambique.</t>
  </si>
  <si>
    <t>Vanuatu*8*12</t>
  </si>
  <si>
    <t>IMPORTANT NOTE:</t>
  </si>
  <si>
    <t>Hg input</t>
  </si>
  <si>
    <t>Incineration and open burning of medical waste</t>
  </si>
  <si>
    <t>Aggregates</t>
  </si>
  <si>
    <t>More than 2/3 (two thirds; 67%) of the general waste is collected and deposited on lined landfills or incinerated with pollution abatement</t>
  </si>
  <si>
    <t>Less than 2/3 (two thirds; 67%) of the general waste is collected and deposited on lined landfills or incinerated with pollution abatement</t>
  </si>
  <si>
    <t>1 - 66</t>
  </si>
  <si>
    <t>5 - 130</t>
  </si>
  <si>
    <t>Smelters with wet gas cleaning and acid plant</t>
  </si>
  <si>
    <t>1-100</t>
  </si>
  <si>
    <t>2-60</t>
  </si>
  <si>
    <t>1 - 30</t>
  </si>
  <si>
    <t>/without  co-incineration of waste</t>
  </si>
  <si>
    <t>/with co-incineration of waste</t>
  </si>
  <si>
    <t>0.004 – 0.5</t>
  </si>
  <si>
    <t>0.06 – 1</t>
  </si>
  <si>
    <t>10 - 200</t>
  </si>
  <si>
    <t>1.3</t>
  </si>
  <si>
    <t>Extraction from whole ore (no retort use)</t>
  </si>
  <si>
    <t>Extraction from concentrate  (no retort use)</t>
  </si>
  <si>
    <t>Extraction from concentrate and with use of retorts and mercury recycling</t>
  </si>
  <si>
    <t>Universal maximum</t>
  </si>
  <si>
    <t>Country-specific threshold</t>
  </si>
  <si>
    <t>(threshold times population)</t>
  </si>
  <si>
    <t>Hg input, kg/y</t>
  </si>
  <si>
    <t>Safety factor</t>
  </si>
  <si>
    <t>(general:)</t>
  </si>
  <si>
    <t xml:space="preserve">SKIP - -NO DATA </t>
  </si>
  <si>
    <t>SKIP -no need</t>
  </si>
  <si>
    <t>(custom factors in red based on expert judgement)</t>
  </si>
  <si>
    <t>Resulting generic threshold/per capita</t>
  </si>
  <si>
    <t>Hg input, kg/(capita*y)</t>
  </si>
  <si>
    <t>User input</t>
  </si>
  <si>
    <t>User input within bounds?</t>
  </si>
  <si>
    <t>**</t>
  </si>
  <si>
    <t>instead of the results shown above for the same source sub-categories. See the sheet "Insert IL2 results" for details.</t>
  </si>
  <si>
    <t>Note: Data for some of these source sub-categories were entered in the sheet "Insert IL2 results". The calculations shown above for the same source sub-categories are overruled by the IL2 results, and the IL2 results are shown in all summary and chart sheets.</t>
  </si>
  <si>
    <t>Combustion/use of diesel, gasoil, petroleum, kerosene, LPG and other light to medium distillates</t>
  </si>
  <si>
    <t>/Combustion of coal mix scenario (special for IL1): 1/3 bituminous, 1/3 sub-bituminous and 1/3 lignite</t>
  </si>
  <si>
    <t>Level 0: None</t>
  </si>
  <si>
    <t>Level 1: Particulate matter simple APC: ESP/PS/CYC</t>
  </si>
  <si>
    <t>Level 2: Particulate matter (FF)</t>
  </si>
  <si>
    <t>Level 3: Efficient APC: PM+SDA/wFGD</t>
  </si>
  <si>
    <t>Level 4: Very efficient APC: PM+FGD+SCR</t>
  </si>
  <si>
    <t>Level 5: Mercury specific filters</t>
  </si>
  <si>
    <t>Coal combustion in coal fired industrial boilers</t>
  </si>
  <si>
    <t>5.1.2.1</t>
  </si>
  <si>
    <t>5.1.2.2</t>
  </si>
  <si>
    <t>/Combustion in industrial boilers of coal mix scenario (special for IL1): 1/3 bituminous, 1/3 sub-bituminous and 1/3 lignite</t>
  </si>
  <si>
    <t>Power plants with cESP and FGD</t>
  </si>
  <si>
    <t>Smelter with no filters or only coarse, dry PM retention</t>
  </si>
  <si>
    <t>Smelters with wet gas cleaning</t>
  </si>
  <si>
    <t>Smelters with wet gas cleaning, acid plant and Hg specific filter</t>
  </si>
  <si>
    <t>IL2 Spreadsheet of UNEP Chemicals' Toolkit for identification and quantification of mercury releases</t>
  </si>
  <si>
    <t>IL2 spreadsheet of UNEP Chemicals' Toolkit for identification and quantification of mercury releases</t>
  </si>
  <si>
    <t>With no filters</t>
  </si>
  <si>
    <t>With filters an no filter dust recycling:</t>
  </si>
  <si>
    <t>Simple particle control (ESP / PS / FF)</t>
  </si>
  <si>
    <t>Optimized particle control (FF+SNCR / FF+WS / ESP+FGD / optimized FF)</t>
  </si>
  <si>
    <t>Efficient Hg pollution control (FF+DS / ESP+DS / ESP+WS / ESP+SNCR)</t>
  </si>
  <si>
    <t>Very efficient Hg pollution control (wetFGD+ACI / FF+scrubber+SNCR)</t>
  </si>
  <si>
    <t>With filters and filter dust recycling *2:</t>
  </si>
  <si>
    <t>Very efficient Hg pollution control (wetFGD+ACI/FF+scrubber+SNCR)</t>
  </si>
  <si>
    <t>Petroleum coke (pet coke)</t>
  </si>
  <si>
    <t>0.001-0.008</t>
  </si>
  <si>
    <t>g Hg/ t cement produced with this fuel</t>
  </si>
  <si>
    <t>Cement produced with this fuel as primary fuel, t/y</t>
  </si>
  <si>
    <t>Hard coal (anthrasite, bituminous or coking coal)</t>
  </si>
  <si>
    <t>0.006-0.05</t>
  </si>
  <si>
    <t>Lignite (brown coal)</t>
  </si>
  <si>
    <t>Fuel oil</t>
  </si>
  <si>
    <t>0.001-0.007</t>
  </si>
  <si>
    <t>Natural gas</t>
  </si>
  <si>
    <t>0.000000002-0.00000003</t>
  </si>
  <si>
    <t>Automatically calculated total of cement produced. Must equal cell I19.</t>
  </si>
  <si>
    <t>Kg Hg/y (incl. fossil fuel contributions)</t>
  </si>
  <si>
    <t>0.005-0.04</t>
  </si>
  <si>
    <t>0.008-0.08</t>
  </si>
  <si>
    <t>0.001-0.006</t>
  </si>
  <si>
    <t>Mercury specific absorbents (and downstream FF)</t>
  </si>
  <si>
    <t>t sludge incinerated/y (dry matter basis)</t>
  </si>
  <si>
    <t>Informal waste burning (open fire waste burning on landfills and informally)</t>
  </si>
  <si>
    <t>(Output scenario (a3) is not relevant as PUR is not considered a waste type to be collected separately)</t>
  </si>
  <si>
    <t>Other coal combustion (in IL1 considered 33/33/33% coal mix as for industrial boilers above)</t>
  </si>
  <si>
    <t>0.009-0.04</t>
  </si>
  <si>
    <t>0.0007-0.007</t>
  </si>
  <si>
    <t>- Fossil fuels used in production (in IL1, and equal mix of energy inputs from fossil fuels pet coal, hard coal, lignite, fuel oil and natural gas is assumed)</t>
  </si>
  <si>
    <t>0: No filters used</t>
  </si>
  <si>
    <t>1: Simple particle filters</t>
  </si>
  <si>
    <t>2: Fabric filters</t>
  </si>
  <si>
    <t>3: Efficient APC</t>
  </si>
  <si>
    <t>4: Very efficient APC</t>
  </si>
  <si>
    <t>5: Mercury specific</t>
  </si>
  <si>
    <t>Enter per cent of total activity rate per type:</t>
  </si>
  <si>
    <t>Relevant pollution abatement options (guide: click white cells)</t>
  </si>
  <si>
    <t>ESP or scrubber</t>
  </si>
  <si>
    <t>cESP and FGD</t>
  </si>
  <si>
    <t>No filters used</t>
  </si>
  <si>
    <t>Without mercury removal</t>
  </si>
  <si>
    <t>With mercury removal</t>
  </si>
  <si>
    <t>No filters used or coarse, dry PM retention</t>
  </si>
  <si>
    <t>Wet gas cleaning</t>
  </si>
  <si>
    <t>Wet gas cleaning and acid plant</t>
  </si>
  <si>
    <t>Wet gas cleaning, acid plant and Hg specific filter</t>
  </si>
  <si>
    <t>Gold extraction with mercury amalgamation - from whole ore</t>
  </si>
  <si>
    <t>Use of retorts</t>
  </si>
  <si>
    <t>Gold extraction with mercury amalgamation - from concentrate</t>
  </si>
  <si>
    <t>Extraction from whole ore with retort use and mercury recycling</t>
  </si>
  <si>
    <t>No treatment</t>
  </si>
  <si>
    <t>Mechanical and biological treatment; no land application of sludge</t>
  </si>
  <si>
    <t>2) NO/LOW WASTE use as fuel; relevant pollution abatement options</t>
  </si>
  <si>
    <t xml:space="preserve">No retorts used </t>
  </si>
  <si>
    <t>Hg unaccounted for under "Sector specific treatment/disposal" (a</t>
  </si>
  <si>
    <t>Hg unaccounted for as releases (a</t>
  </si>
  <si>
    <t>(a: These two possible presentation forms pertain to the way "unaccounted losses" is chosen to be presented - see the Toolkit report section. It is up to the users to decide which one of the release presentations they choose.</t>
  </si>
  <si>
    <t>Acid gas control +  high efficiency FF or ESP PM retention</t>
  </si>
  <si>
    <t>Mercury specific absorbents + FF</t>
  </si>
  <si>
    <t>1) WITH WASTE USED as fuel (&gt;3% of energy); relevant pollution abatement options</t>
  </si>
  <si>
    <t>Efficient air pollution control (FF+DS / ESP+DS / ESP+WS / ESP+SNCR)</t>
  </si>
  <si>
    <t>PM reduction, simple ESP, or similar</t>
  </si>
  <si>
    <t xml:space="preserve">No filters used </t>
  </si>
  <si>
    <t>No emissions controls</t>
  </si>
  <si>
    <t>- Fossil fuels used in production (in IL1, and equal mix of energy inputs from fossil fuels pet coke, hard coal, lignite, fuel oil and natural gas is assumed)</t>
  </si>
  <si>
    <t>Mechanical and biological treatment; with &gt;40% of sludge used for land application</t>
  </si>
  <si>
    <t>More than 1/3 (one third = 33%) of the mercury-added products waste is safely collected and treated separately</t>
  </si>
  <si>
    <t>Less than 1/3 (one third = 33%) of the mercury-added products waste is safely collected and treated separately</t>
  </si>
  <si>
    <t>Answer Y or N in cells B4 and E4 in the sheet 'Step5 - Waste treatment + recycling'</t>
  </si>
  <si>
    <t>See Step5 B4, E4</t>
  </si>
  <si>
    <t>Mid-range fossil fuel amounts per t cement produced</t>
  </si>
  <si>
    <t>Calculated fuel inputs</t>
  </si>
  <si>
    <t>t fuel/t cement</t>
  </si>
  <si>
    <t>t fuel/y</t>
  </si>
  <si>
    <t>m³ gas/t cement</t>
  </si>
  <si>
    <t>m³ gas/y</t>
  </si>
  <si>
    <t>Cement production, fossil fuel amounts calculations (a</t>
  </si>
  <si>
    <t>Cement production, fossil fuel Hg inputs and releases with default factors</t>
  </si>
  <si>
    <t>Calculated Hg output from fossil fuels, Kg/y</t>
  </si>
  <si>
    <t>Calculat. Hg input from fossils, kg/y</t>
  </si>
  <si>
    <t>*5 To avoid double counting, fossil fuel mercury contributions to cement production was subtracted automatically in the TOTALS.</t>
  </si>
  <si>
    <t>Cement production*3</t>
  </si>
  <si>
    <t>*4 To avoid double counting, fossil fuel mercury contributions to cement production was subtracted automatically in the TOTALS.</t>
  </si>
  <si>
    <t>TOTAL of quantified inputs*1*2*3*4</t>
  </si>
  <si>
    <t>Cement production*4</t>
  </si>
  <si>
    <t>Default output scenarios in case controls are NOT included in the calculations</t>
  </si>
  <si>
    <t>JAM, 25Oct2016</t>
  </si>
  <si>
    <t>You have erased a link here. To re-establish it enter: =B23</t>
  </si>
  <si>
    <t>/From whole ore /with retort use and mercury recycling</t>
  </si>
  <si>
    <t>/From concentrate /with retort use and mercury recycling</t>
  </si>
  <si>
    <t>4.25</t>
  </si>
  <si>
    <t>0.55</t>
  </si>
  <si>
    <t>Clinics where high efficiency amalgam separators are used</t>
  </si>
  <si>
    <t>Clinics where only simple chair strainers/filters are used</t>
  </si>
  <si>
    <t>Dental amalgam fillings</t>
  </si>
  <si>
    <t>The Estimated Hg input (or equivalent inserted IL2 results) marked in red colour is very high compared to previous observations. Data may be correct, but please confirm your activity rate data (or inserted IL2 data)</t>
  </si>
  <si>
    <t>ИНВЕНТАРИЗАЦИЯ ВЫБРОСОВ РТУТИ ДЛЯ (ВСТАВЬТЕ НАЗВАНИЕ СТРАНЫ):</t>
  </si>
  <si>
    <t>Общие данные о населении</t>
  </si>
  <si>
    <t xml:space="preserve">Население (выберите страну из списка ниже, укажите соответствующие данные) </t>
  </si>
  <si>
    <t>Год и ссылка на данные о населении</t>
  </si>
  <si>
    <t>ВВП (Внутренний валовой продукт)</t>
  </si>
  <si>
    <t>Год и ссылка на данные ВВП</t>
  </si>
  <si>
    <t>Основные экономические секторы страны (перечислите)</t>
  </si>
  <si>
    <t>Контактный пункт, ответственный за данную инвентаризацию</t>
  </si>
  <si>
    <t>Полное название организации</t>
  </si>
  <si>
    <t>Контактное лицо</t>
  </si>
  <si>
    <t>Адрес электронной почты</t>
  </si>
  <si>
    <t>Телефонный номер</t>
  </si>
  <si>
    <t>Номер факса</t>
  </si>
  <si>
    <t>Веб-сайт организации</t>
  </si>
  <si>
    <t>ИСХОДНЫЕ ДАННЫЕ, НЕОБХОДИМЫЕ ДЛЯ РАСЧЕТА ПО УМОЛЧАНИЮ И ПРОВЕРКИ ИНТЕРВАЛА ЗНАЧЕНИЙ</t>
  </si>
  <si>
    <r>
      <t>Обязательно</t>
    </r>
    <r>
      <rPr>
        <sz val="10"/>
        <color indexed="8"/>
        <rFont val="Arial"/>
        <family val="2"/>
        <charset val="204"/>
      </rPr>
      <t>: Щелкните мышкой на ячейку ниже и выберите страну из списка</t>
    </r>
  </si>
  <si>
    <t>Количество стоматологического персонала на 1000 жителей</t>
  </si>
  <si>
    <t>Интенсивность электрификации, % населения с доступом к электричеству</t>
  </si>
  <si>
    <t xml:space="preserve">Примечания: См. Приложение 1 к Руководству по уровню 1 инвентаризации на основании номеров.  </t>
  </si>
  <si>
    <t>Для информации см. соответствующие разделы в справочном отчете пакета инструментальных средств.</t>
  </si>
  <si>
    <r>
      <t>Инвентаризация стран, не являющихся членом</t>
    </r>
    <r>
      <rPr>
        <sz val="10"/>
        <color indexed="8"/>
        <rFont val="Arial"/>
        <family val="2"/>
        <charset val="204"/>
      </rPr>
      <t xml:space="preserve">: В том случае, если вы выполняете данную инвентаризацию для территории страны, не являющейся 
членом (город, область и т. п.), вам следует выбрать страну, которая соответствует условиям, преобладающим на данной территории, </t>
    </r>
  </si>
  <si>
    <t>таким образом корректируя расчетные значения в соответствии с данными условиями. Тем не менее, вам ТАКЖЕ требуется ВРУЧНУЮ ввести данные о 
населении территории в ячейку В6, расположенную выше (напечатайте вместо автоматически установленного числа).</t>
  </si>
  <si>
    <t>Кроме того, обратите внимание: Рабочие таблицы и рабочая книга защищены паролем во избежание случайного повреждения расчетов.</t>
  </si>
  <si>
    <t>Отказ от ответственности:</t>
  </si>
  <si>
    <t>Применяемые обозначения и представление материала в настоящем издании не подразумевает выражение любого мнения по какой-либо части Программы ООН по защите окружающей среды в отношении юридического статуса страны, территории, города или области, или ее официальных органов, либо в отношении определения ее рубежей или границ. Более того, высказанные мнения не обязательно представляют решение или установленную политику Программы ООН по защите окружающей среды, или ссылаются на торговые названия или коммерческие процессы, которые формируют подтверждение.</t>
  </si>
  <si>
    <t>Данное издание является руководящим указанием. Хотя предоставленная информация считается точной, ЮНЕП не несет ответственности за возможные неточности или упущения и последствия, возникающие вследствие этого. Ни ЮНЕП, ни какое-либо физическое лицо, участвующее в подготовке настоящего издания не несет ответственности за повреждение, потерю, ущерб или вред любого рода, причиненного лицами, действующими, исходя из их понимания информации, содержащейся в настоящем издании.</t>
  </si>
  <si>
    <t>Версия:</t>
  </si>
  <si>
    <t xml:space="preserve">ПОТРЕБЛЕНИЕ ЭНЕРГИИ И ПРОИЗВОДСТВО ТОПЛИВА </t>
  </si>
  <si>
    <t>Категория источника</t>
  </si>
  <si>
    <t>Присутствие источника?</t>
  </si>
  <si>
    <t>Показатели экономической активности</t>
  </si>
  <si>
    <t>Расчетный вход Hg, кг Hg/год</t>
  </si>
  <si>
    <t>Расчетные выбросы ртути, стандартные оценки, кг Hg/год</t>
  </si>
  <si>
    <t>Потребление энергии</t>
  </si>
  <si>
    <t>Годовой объем потребления/производства</t>
  </si>
  <si>
    <t>Единицы</t>
  </si>
  <si>
    <t>Стандартная оценка</t>
  </si>
  <si>
    <t>Воздух</t>
  </si>
  <si>
    <t>Вода</t>
  </si>
  <si>
    <t>Земля</t>
  </si>
  <si>
    <t>Побочные продукты и примеси</t>
  </si>
  <si>
    <t>Обычные отходы</t>
  </si>
  <si>
    <t>Сектор специальной обработки / утилизации отходов</t>
  </si>
  <si>
    <t>Кат. №</t>
  </si>
  <si>
    <t>Примечания:</t>
  </si>
  <si>
    <t>Да</t>
  </si>
  <si>
    <t>Присутствует?</t>
  </si>
  <si>
    <t>Нет</t>
  </si>
  <si>
    <t>Более чем 2/3 (две трети; 67%) обычных расходов, собранных и утилизированных на изолированных полигонах или сожженных с учетом мер по предотвращению загрязнений?</t>
  </si>
  <si>
    <t>Менее 2/3 (две трети; 67%) обычных отходов собранных и утилизированных на изолированных полигонах или сожженных с учетом мер по предотвращению загрязнений</t>
  </si>
  <si>
    <t>Дайте ответ: Да(Y) или Нет(N) в ячейке В4 на листе "Этап 5 - Обработка + переработка отходов"</t>
  </si>
  <si>
    <t>См. Этап 5, ячейка F4</t>
  </si>
  <si>
    <t>Можно заменить в соответствии с языком перевода</t>
  </si>
  <si>
    <t>Не изменять</t>
  </si>
  <si>
    <t>Важная информация для переводчиков, на данном листе:</t>
  </si>
  <si>
    <t>Знак "-" ставится, когда категория источника отстуствует в стране, не изменять</t>
  </si>
  <si>
    <r>
      <t xml:space="preserve">КРАЙНЕ ВАЖНО: ФОРМУЛЫ </t>
    </r>
    <r>
      <rPr>
        <b/>
        <sz val="10"/>
        <color indexed="8"/>
        <rFont val="Arial"/>
        <family val="2"/>
        <charset val="204"/>
      </rPr>
      <t>НЕ</t>
    </r>
    <r>
      <rPr>
        <sz val="10"/>
        <color indexed="8"/>
        <rFont val="Arial"/>
        <family val="2"/>
        <charset val="204"/>
      </rPr>
      <t xml:space="preserve"> МЕНЯТЬ. ПРЕЖДЕ, ЧЕМ ПРИСТУПИТЬ К ПЕРЕВОДУ, ВНИМАТЕЛЬНО ПРОВЕРЬТЕ, В КАКИХ ЯЧЕЙКАХ СОДЕРЖАТСЯ ФОРМУЛЫ!</t>
    </r>
  </si>
  <si>
    <t>Сжигание угля на крупных электростанциях</t>
  </si>
  <si>
    <t>Прочие способы применения угля</t>
  </si>
  <si>
    <t>Сжигание/использование нефтяного кокса и тяжелого топлива</t>
  </si>
  <si>
    <t>Сжигание/использование дизельного топлива, бензина, нефти, керосина</t>
  </si>
  <si>
    <t xml:space="preserve">Использование неочищенного или предварительно очищенного природного газа </t>
  </si>
  <si>
    <t>Использование газа, подаваемого по трубопроводу (качество потребителя)</t>
  </si>
  <si>
    <t>Электростанции, работающие на биомассе и производство тепла</t>
  </si>
  <si>
    <t>Сжигание древесного угля</t>
  </si>
  <si>
    <t>Производство топлива</t>
  </si>
  <si>
    <t>Добыча нефти</t>
  </si>
  <si>
    <t>Нефтепереработка</t>
  </si>
  <si>
    <t>Добыча и обработка природного газа.</t>
  </si>
  <si>
    <r>
      <t>Сожженный уголь, т/год</t>
    </r>
    <r>
      <rPr>
        <sz val="8"/>
        <color indexed="8"/>
        <rFont val="Times New Roman"/>
        <family val="1"/>
        <charset val="204"/>
      </rPr>
      <t> </t>
    </r>
  </si>
  <si>
    <t>Использованный уголь, т/год</t>
  </si>
  <si>
    <t>Сожженные нефтепродукты, т/год</t>
  </si>
  <si>
    <t>Использованный газ, Нм³/год</t>
  </si>
  <si>
    <t>Сожженная биомасса, т/год</t>
  </si>
  <si>
    <t>Сожженный древесный уголь, т/год</t>
  </si>
  <si>
    <t>Произведенная сырая нефть, т/год</t>
  </si>
  <si>
    <t>Переработанная сырая нефть, т/год</t>
  </si>
  <si>
    <t>Произведенный газ, Нм³/год</t>
  </si>
  <si>
    <t>ОТЕЧЕСТВЕННОЕ ПРОИЗВОДСТВО МЕТАЛЛОВ И СЫРЬЯ</t>
  </si>
  <si>
    <t>Производство первичного металла</t>
  </si>
  <si>
    <t>(Первичная) экстракция ртути и начальная обработка</t>
  </si>
  <si>
    <t>Производство цинка из продуктов обогащения</t>
  </si>
  <si>
    <t>Производство меди из продуктов обогащения</t>
  </si>
  <si>
    <t>Производство свинца из продуктов обогащения</t>
  </si>
  <si>
    <t>Добыча золота способами, кроме процесса амальгамирования ртути</t>
  </si>
  <si>
    <t>Производство глинозема из бокситов (производство алюминия)</t>
  </si>
  <si>
    <t>Производство первичного черного металла (производство чугуна в болванках)</t>
  </si>
  <si>
    <t>Производство других материалов</t>
  </si>
  <si>
    <t>Производство цемента</t>
  </si>
  <si>
    <t>Производство целлюлозы и бумаги</t>
  </si>
  <si>
    <t>Произведенная ртуть, т/год</t>
  </si>
  <si>
    <t>Использованный продукт обогащения, т/год</t>
  </si>
  <si>
    <t>Использованная золотосодержащая руда, т/год</t>
  </si>
  <si>
    <t>Обработанные бокситы, т/год</t>
  </si>
  <si>
    <t>Произведенный чугун в болванках, т/год</t>
  </si>
  <si>
    <t>Произведенное золото, кг/год</t>
  </si>
  <si>
    <t>Произведенный цемент, т/год</t>
  </si>
  <si>
    <t>Биомасса, использованная для производства, т/год</t>
  </si>
  <si>
    <t>ОТЕЧЕСТВЕННОЕ ПРОИЗВОДСТВО И ОБРАБОТКА С ЗАПЛАНИРОВАННЫМ ПРИМЕНЕНИЕМ РТУТИ</t>
  </si>
  <si>
    <t>Производство химических веществ</t>
  </si>
  <si>
    <t>Производство хлорщелочи с использованием ртутных электролизеров</t>
  </si>
  <si>
    <t>Производство винилхлорида с помощью ртутного катализатора</t>
  </si>
  <si>
    <t>Производство ацетальдегида с помощью ртутного катализатора</t>
  </si>
  <si>
    <t>Производство продукции с содержанием ртути</t>
  </si>
  <si>
    <t xml:space="preserve">Ртутные термометры (медицинские, воздушные, лабораторные, промышленные и т. п.) </t>
  </si>
  <si>
    <t xml:space="preserve">Электрические переключатели и реле с ртутью </t>
  </si>
  <si>
    <t>Источники света с ртутью (флуоресцентные, компактные, прочие: см. руководство)</t>
  </si>
  <si>
    <t xml:space="preserve">Ртутные батареи </t>
  </si>
  <si>
    <t xml:space="preserve">Ртутные манометры и датчики </t>
  </si>
  <si>
    <t xml:space="preserve">Ртутьсодержащие биоциды и пестициды </t>
  </si>
  <si>
    <t xml:space="preserve">Ртутьсодержащие краски </t>
  </si>
  <si>
    <t xml:space="preserve">Кремы для отбеливания кожи и мыло с содержанием элементов ртути </t>
  </si>
  <si>
    <r>
      <t>Произведенный Cl</t>
    </r>
    <r>
      <rPr>
        <vertAlign val="subscript"/>
        <sz val="10"/>
        <color indexed="8"/>
        <rFont val="Arial"/>
        <family val="2"/>
        <charset val="204"/>
      </rPr>
      <t>2</t>
    </r>
    <r>
      <rPr>
        <sz val="10"/>
        <color indexed="8"/>
        <rFont val="Arial"/>
        <family val="2"/>
        <charset val="204"/>
      </rPr>
      <t>, т/год</t>
    </r>
  </si>
  <si>
    <t xml:space="preserve">Произведенный VCM, т/год </t>
  </si>
  <si>
    <t>Произведенный ацетальдегид, т/год</t>
  </si>
  <si>
    <t>Ртуть, использованная для производства, кг/год</t>
  </si>
  <si>
    <t>ПОРЯДОК УПРАВЛЕНИЯ ОБЫЧНЫМИ ОТХОДАМИ В СТРАНЕ</t>
  </si>
  <si>
    <t>Сколько отходов собрано и обработано при контролируемых условиях?</t>
  </si>
  <si>
    <t>Дайте ответ в соответствии с Вашей наилучшей оценкой (Можете пересмотреть, если имеются более конкретные данные)</t>
  </si>
  <si>
    <t>ОБРАЩЕНИЕ С ОТХОДАМИ И ИХ ПЕРЕРАБОТКА</t>
  </si>
  <si>
    <t>Производство восстановленных металлов</t>
  </si>
  <si>
    <t>Годовой объем производства/ утилизации отходов</t>
  </si>
  <si>
    <t>Производство повторно используемой ртути («вторичное производство»)</t>
  </si>
  <si>
    <t>Производство повторно используемых черных металлов (чугун и сталь)</t>
  </si>
  <si>
    <t>Сжигание отходов</t>
  </si>
  <si>
    <t>Сжигание городских/обычных отходов</t>
  </si>
  <si>
    <t xml:space="preserve">Произведенная ртуть, кг/год </t>
  </si>
  <si>
    <t>Количество повторно используемого транспорта/год</t>
  </si>
  <si>
    <t xml:space="preserve">Сгоревшие отходы, т/год </t>
  </si>
  <si>
    <t>Сжигание опасных отходов</t>
  </si>
  <si>
    <t>Сгоревшие отходы, т/год</t>
  </si>
  <si>
    <t>Инсинерация и открытое сжигание медицинских отходов</t>
  </si>
  <si>
    <t>Сжигание осадка сточных вод</t>
  </si>
  <si>
    <t>Сжигание отходов на открытом огне (на полигонах и произвольно)</t>
  </si>
  <si>
    <t xml:space="preserve">Сожженные отходы, т/год </t>
  </si>
  <si>
    <t>Размещение отходов/ссыпание отходов в отвал и обработка сточных вод</t>
  </si>
  <si>
    <t>Контролируемые свалки отходов/отложений</t>
  </si>
  <si>
    <t>Несанкционированный сброс обычных отходов *1</t>
  </si>
  <si>
    <t>Система сбора и отведения/обработка сточных вод</t>
  </si>
  <si>
    <t>Сброшенные отходы в отвалы, т/год</t>
  </si>
  <si>
    <t>Сброшенные отходы, т/год</t>
  </si>
  <si>
    <r>
      <t>Сточная вода, м</t>
    </r>
    <r>
      <rPr>
        <vertAlign val="superscript"/>
        <sz val="10"/>
        <color indexed="8"/>
        <rFont val="Arial"/>
        <family val="2"/>
        <charset val="204"/>
      </rPr>
      <t>3</t>
    </r>
    <r>
      <rPr>
        <sz val="10"/>
        <color indexed="8"/>
        <rFont val="Arial"/>
        <family val="2"/>
        <charset val="204"/>
      </rPr>
      <t xml:space="preserve">/год </t>
    </r>
  </si>
  <si>
    <t>ОБЩИЙ РАСХОД РТУТИ В ПРОДУКЦИИ, ТАКОЙ КАК МЕТАЛЛИЧЕСКАЯ РТУТЬ И РТУТЬСОДЕРЖАЩИЕ ВЕЩЕСТВА</t>
  </si>
  <si>
    <t>Годовой объем потребления/скопления</t>
  </si>
  <si>
    <t>Использование и утилизация ртутьсодержащей продукции</t>
  </si>
  <si>
    <t>Амальгама для зубных пломб («серебряные» пломбы)</t>
  </si>
  <si>
    <t>Приготовление зубных пломб в стоматологических клиниках</t>
  </si>
  <si>
    <t>Применение - от зубных пломб, уже находящихся во рту</t>
  </si>
  <si>
    <t>Утилизация (выпавшие и удаленные зубы)</t>
  </si>
  <si>
    <t>Количество жителей</t>
  </si>
  <si>
    <t>Термометры</t>
  </si>
  <si>
    <t>Медицинские ртутные термометры</t>
  </si>
  <si>
    <t>Прочие стеклянные ртутные термометры (воздушные, лабораторные, для молочной промышленности и т. п.)</t>
  </si>
  <si>
    <t>Ртутные термометры органа управления двигателем и прочие большие промышленные/специального назначения ртутные термометры</t>
  </si>
  <si>
    <t>Кол-во проданных позиций/год</t>
  </si>
  <si>
    <t>Электрические переключатели и реле с ртутью</t>
  </si>
  <si>
    <t>Интенсивность электрификации, %</t>
  </si>
  <si>
    <t>Ртутьсодержащие источники света</t>
  </si>
  <si>
    <t>Флуоресцентные лампы (двухсторонние)</t>
  </si>
  <si>
    <t>Компактные флуоресцентные лампы (односторонние компактные флуоресцентные лампы (CFL))</t>
  </si>
  <si>
    <t>Прочие ртутьсодержащие источники света (см. руководство)</t>
  </si>
  <si>
    <t>Ртутные батареи</t>
  </si>
  <si>
    <t xml:space="preserve">Оксид ртути (аккумуляторы таблеточного типа и прочие размеры); также именуются ртутно-цинковые элементы </t>
  </si>
  <si>
    <t xml:space="preserve">Прочие аккумуляторы таблеточного типа (батарея воздушно-цинковых аккумуляторов, щелочные аккумуляторы таблеточного типа, окись серебра) </t>
  </si>
  <si>
    <t>Прочие ртутные батареи (простые щелочные цилиндрического типа, перманганатные и т. п., см. руководство)</t>
  </si>
  <si>
    <t>Кол-во проданных батарей, т/год</t>
  </si>
  <si>
    <t>Полиуретан (PU, PUR), полученный с помощью ртутного катализатора</t>
  </si>
  <si>
    <t>Краски с ртутьсодержащими стабилизаторами</t>
  </si>
  <si>
    <t>Кремы для отбеливания кожи и мыло с содержанием элементов ртути</t>
  </si>
  <si>
    <t>Медицинские тонометры (ртутные сфигмоманометры)</t>
  </si>
  <si>
    <t>Прочие ртутные манометры и датчики</t>
  </si>
  <si>
    <t>Химические вещества для лабораторий</t>
  </si>
  <si>
    <t xml:space="preserve">Прочее ртутьсодержащее лабораторное и медицинское оборудование </t>
  </si>
  <si>
    <t>Проданная краска, т/год</t>
  </si>
  <si>
    <t>Проданные крем или мыло, т/год</t>
  </si>
  <si>
    <t>КРЕМАТОРИИ И КЛАДБИЩА</t>
  </si>
  <si>
    <t>Крематории и кладбища</t>
  </si>
  <si>
    <t>Количество умерших в год</t>
  </si>
  <si>
    <t>Сектор специальной обработки /утилизации отходов</t>
  </si>
  <si>
    <t>Крематории</t>
  </si>
  <si>
    <t>Кладбища</t>
  </si>
  <si>
    <t>Прочие источники выбросов ртути, не определяемые количественно на основании уровня 1 инвентаризации</t>
  </si>
  <si>
    <t>Сжигание нефтяного сланца</t>
  </si>
  <si>
    <t>Сжигание торфа</t>
  </si>
  <si>
    <t>Производство геотермальной энергии</t>
  </si>
  <si>
    <t>Производство прочих повторно используемых металлов</t>
  </si>
  <si>
    <t>Производство извести</t>
  </si>
  <si>
    <t>Производство легковесных заполнителей (обожженная глина, мелкий уголь для строительных процессов)</t>
  </si>
  <si>
    <t xml:space="preserve">Производство остальных химических веществ (кроме хлор гидроксид натрия) на хлорщелочных объектах по технологии применения ртутного электролизера </t>
  </si>
  <si>
    <t>Производство полиуретана с помощью ртутного катализатора</t>
  </si>
  <si>
    <t>Протравливание семян с помощью ртутьсодержащих элементов</t>
  </si>
  <si>
    <t>Полупроводниковые устройства обнаружения ИК-излучения</t>
  </si>
  <si>
    <t>Буж-трубки и трубки Кантора (медицинское оборудование)</t>
  </si>
  <si>
    <t>Использование в образовательных целях</t>
  </si>
  <si>
    <t>Ртутные гироскопы</t>
  </si>
  <si>
    <t>Ртутный вакуумный насос</t>
  </si>
  <si>
    <t>Ртуть, используемая при религиозных ритуалах (амулеты и прочие способы использования)</t>
  </si>
  <si>
    <t>Ртуть, используемая в традиционной (аюрведа и прочие виды) и гомеопатической медицине</t>
  </si>
  <si>
    <t>Использование ртути в качестве охладителя в некоторых системах охлаждения</t>
  </si>
  <si>
    <t>Маяки (выравнивающие подшипники в морских навигационных маяках)</t>
  </si>
  <si>
    <t>Ртуть в больших подшипниках вращающихся механических деталях, например, на более старых установках по очистке сточных вод</t>
  </si>
  <si>
    <t>Таннирование</t>
  </si>
  <si>
    <t>Пигменты</t>
  </si>
  <si>
    <t>Продукция для бронзирования и травления стали</t>
  </si>
  <si>
    <t>Особые виды цветной фотобумаги</t>
  </si>
  <si>
    <t>Амортизаторы отката орудий</t>
  </si>
  <si>
    <t>Взрывчатые вещества (гремучая ртуть и др.)</t>
  </si>
  <si>
    <t>Пиротехнические изделия</t>
  </si>
  <si>
    <t>Сувениры для офиса</t>
  </si>
  <si>
    <t>ПРЕОБРАЗОВАНИЕ ЕДИНИЦ</t>
  </si>
  <si>
    <t>ПРИМЕНЯЕТСЯ ТОЛЬКО В СЛУЧАЕ, ЕСЛИ ПОКАЗАТЕЛИ ЭКОНОМИЧЕСКОЙ АКТИВНОСТИ НЕВОЗМОЖНО ПОЛУЧИТЬ В ЗАДАННЫХ ЕДИНИЦАХ (И ПРИ ОТСУТСТВИИ ЗАРЕГИСТРИРОВАННЫХ СПЕЦИФИЧЕСКИХ ФАКТОРОВ ПРЕОБРАЗОВАНИЯ ПО СТРАНЕ)</t>
  </si>
  <si>
    <t>В качестве помощи пользователю в пакете инструментальных средств представлены некоторые примеры параметров преобразования ниже с возможностью расчета изменений.</t>
  </si>
  <si>
    <t>Данный перечень не является полным и параметры преобразования для других видов источников требуется искать в других источниках, например, в Интернете.</t>
  </si>
  <si>
    <t>Такие параметры преобразования весьма приблизительны, так как используемые параметры могут существенно отличаться.</t>
  </si>
  <si>
    <t>Тип источника</t>
  </si>
  <si>
    <t>Введите альтернативные показатели экономической активности</t>
  </si>
  <si>
    <t>Единицы для альтернативных показателей экономической деятельности (должны точно соответствовать)</t>
  </si>
  <si>
    <t>Рассчитанные показатели экономической деятельности из пакета инструментальных средств (скопируйте в соответствующую ячейку)</t>
  </si>
  <si>
    <t>Единицы показателей экономической деятельности из пакета инструментальных средств</t>
  </si>
  <si>
    <t>Используемый фактор преобразования</t>
  </si>
  <si>
    <t>Единицы для фактора преобразования</t>
  </si>
  <si>
    <t>Ссылки и замечания</t>
  </si>
  <si>
    <t xml:space="preserve">Использования неочищенного или предварительно очищенного природного газа </t>
  </si>
  <si>
    <t>Используемый газ, ТДж (Тераджоуль)/год</t>
  </si>
  <si>
    <t>Добытый газ, ТДж (Тераджоуль)/год</t>
  </si>
  <si>
    <t>Используемый газ, Нм3/год</t>
  </si>
  <si>
    <t>Добытый газ, Нм3/год</t>
  </si>
  <si>
    <t>http://www.iea.org/stats/docs/statistics_manual.pdf, стр. 182</t>
  </si>
  <si>
    <t>Произведенный цинк, т/год</t>
  </si>
  <si>
    <t>Произведенная медь, т/год</t>
  </si>
  <si>
    <t>Произведенный свинец, т/год</t>
  </si>
  <si>
    <t>Добытое золото, т/год</t>
  </si>
  <si>
    <t>Произведенный обработанный термически металлический алюминий, т/год</t>
  </si>
  <si>
    <t>ЮНЕП/AMAP (2012)</t>
  </si>
  <si>
    <t>кг</t>
  </si>
  <si>
    <t>Нм3/ТДж</t>
  </si>
  <si>
    <t>Использованный продукт обогащения, т/произведенный цинк, т</t>
  </si>
  <si>
    <t>Использованный продукт обогащения, т/произведенная медь, т</t>
  </si>
  <si>
    <t>Использованный продукт обогащения, т/произведенный свинец, т</t>
  </si>
  <si>
    <t>Использованная руда, т/добытое золото, т</t>
  </si>
  <si>
    <t>Обработанные бокситы, т/произведенный металлический алюминий, т</t>
  </si>
  <si>
    <t>кг/кол-во позиций</t>
  </si>
  <si>
    <t>Примерное допущение по среднему значению, исходя из торговой статистики</t>
  </si>
  <si>
    <t xml:space="preserve">Предполагаемое среднее значение, исходя из различных данных по продукции, взятых из Интернета </t>
  </si>
  <si>
    <t>Предполагаемое среднее значение, исходя из данных по продукции, взятых с сайта Osram.com</t>
  </si>
  <si>
    <t>European Commission, 2001b, стр.7</t>
  </si>
  <si>
    <t>Произведенный NaOH, т/год</t>
  </si>
  <si>
    <t>т NaOH/ т Cl2</t>
  </si>
  <si>
    <t>УРОВЕНЬ 1 ИНВЕНТАРИЗАЦИИ - КРАТКОЕ СОДЕРЖАНИЕ</t>
  </si>
  <si>
    <t>Процент от общего объема выбросов *3*4</t>
  </si>
  <si>
    <t>Общий объем выбросов *3*4*5</t>
  </si>
  <si>
    <t>Сжигание угля и прочие способы его использования</t>
  </si>
  <si>
    <t>Сжигание прочего природного топлива и биомассы</t>
  </si>
  <si>
    <t>Добыча нефти и газа</t>
  </si>
  <si>
    <t>Производство первичного металла (за исключением производства золота с помощью процесса амальгамирования)</t>
  </si>
  <si>
    <t>Добыча золота с помощью процесса амальгамирования ртути</t>
  </si>
  <si>
    <t>Прочее производство химических элементов и полимеров</t>
  </si>
  <si>
    <t>Производство продукции с содержанием ртути*1</t>
  </si>
  <si>
    <t>Применение, использование и утилизация амальгамы для зубных пломб</t>
  </si>
  <si>
    <t>Использование и утилизация другой продукции</t>
  </si>
  <si>
    <t>Сжигание отходов и открытое сжигание отходов*2</t>
  </si>
  <si>
    <t>Отложение отходов*2</t>
  </si>
  <si>
    <t>Несанкционированный сброс обычных отходов *2*3</t>
  </si>
  <si>
    <t>Система сбора и отведения/обработка сточных вод*4</t>
  </si>
  <si>
    <r>
      <t>*1 Чтобы исключить двойной учет ртути в продуктах, произведенных внутри страны и проданных на внутреннем рынке (включая нефть и газ), только часть факторов входа ртути</t>
    </r>
    <r>
      <rPr>
        <i/>
        <sz val="10"/>
        <color indexed="8"/>
        <rFont val="Arial"/>
        <family val="2"/>
        <charset val="204"/>
      </rPr>
      <t xml:space="preserve">, </t>
    </r>
  </si>
  <si>
    <t xml:space="preserve"> выброс которой произошел в результате производства, включена в ИТОГОВОЕ значение факторов входа.</t>
  </si>
  <si>
    <t xml:space="preserve">*2: Чтобы исключить двойной учет факторов входа ртути из отходов и продуктов в ИТОГОВОМ значении факторов входа, только 10% факторов входа ртути от сжигания, утилизации и </t>
  </si>
  <si>
    <r>
      <t xml:space="preserve">несанкционированного сброса отходов включены в итоговое значение  </t>
    </r>
    <r>
      <rPr>
        <u/>
        <sz val="10"/>
        <color indexed="8"/>
        <rFont val="Arial"/>
        <family val="2"/>
        <charset val="204"/>
      </rPr>
      <t>по факторам входа ртути.</t>
    </r>
    <r>
      <rPr>
        <sz val="10"/>
        <color indexed="8"/>
        <rFont val="Arial"/>
        <family val="2"/>
        <charset val="204"/>
      </rPr>
      <t xml:space="preserve"> Эти 10% представляют приблизительный фактор входа ртути относительно отходов </t>
    </r>
  </si>
  <si>
    <t xml:space="preserve">материалов, количество которых не было определено отдельно на уровне 1 инвентаризации пакета инструментальных средств. Более подробное объяснение см. в приложении 1 </t>
  </si>
  <si>
    <t>к Руководству по уровню 1 инвентаризации.</t>
  </si>
  <si>
    <t xml:space="preserve">*3: Расчетное количество включает ртуть в продуктах, которые также были учтены по каждой категории продукта. </t>
  </si>
  <si>
    <r>
      <t xml:space="preserve"> Чтобы исключить двойной учет, сбросы </t>
    </r>
    <r>
      <rPr>
        <u/>
        <sz val="10"/>
        <color indexed="8"/>
        <rFont val="Arial"/>
        <family val="2"/>
        <charset val="204"/>
      </rPr>
      <t>в землю</t>
    </r>
    <r>
      <rPr>
        <sz val="10"/>
        <color indexed="8"/>
        <rFont val="Arial"/>
        <family val="2"/>
        <charset val="204"/>
      </rPr>
      <t xml:space="preserve"> в результате несанкционированного сброса общих отходов были автоматически вычтены из ИТОГОВОГО значения.</t>
    </r>
  </si>
  <si>
    <t xml:space="preserve">*4: Расчетный фактор входа и сброса в воду включает количество ртути, которое также было учтено для каждой категории источников. </t>
  </si>
  <si>
    <r>
      <t xml:space="preserve">Чтобы исключить двойной учет, </t>
    </r>
    <r>
      <rPr>
        <u/>
        <sz val="10"/>
        <color indexed="8"/>
        <rFont val="Arial"/>
        <family val="2"/>
        <charset val="204"/>
      </rPr>
      <t>факторы входа и сбросы в воду из системы сбора и отведения/обработки сточных вод</t>
    </r>
    <r>
      <rPr>
        <sz val="10"/>
        <color indexed="8"/>
        <rFont val="Arial"/>
        <family val="2"/>
        <charset val="204"/>
      </rPr>
      <t xml:space="preserve"> были автоматически вычтены из ИТОГОВОГО значения.</t>
    </r>
  </si>
  <si>
    <t xml:space="preserve">*5: Общие факторы входа не обязательно равны общим факторам выхода, вследствие корректировки данных двойного учета (см. примечания *1-*3), а также вследствие попадания </t>
  </si>
  <si>
    <t>некоторого количества ртути в продукты/металлы, которые не были проданы в той же стране или в том же году.</t>
  </si>
  <si>
    <t>СТАНДАРТНЫЕ СХЕМЫ, ИСПОЛЬЗУЕМЫЕ В ИНВЕНТАРИЗАЦИОННЫХ ОТЧЕТАХ, СМ НИЖЕ</t>
  </si>
  <si>
    <t>ОБРАТИТЕ ВНИМАНИЕ, ЧТО ДАННЫЙ УРОВЕНЬ 1 ИНВЕНТАРИЗАЦИИ - СВОДНАЯ ТАБЛИЦА ДЛЯ СХЕМ ДОЛЖЕН ИСПОЛЬЗОВАТЬСЯ ДЛЯ СХЕМ (СПЕЦИАЛЬНО РАЗРАБОТАННЫХ ДЛЯ ИСКЛЮЧЕНИЯ ДВОЙНОГО УЧЕТА ПОСТУПЛЕНИЯ ОТХОДОВ; СМ. ПРИЛОЖЕНИЯ)</t>
  </si>
  <si>
    <t>Данные присутствия источника ("Да/Нет/?") необходимо ввести для всех исходных данных графиков для надлежащей работы</t>
  </si>
  <si>
    <t>Расчетные поступления ртути в окружающую среду, стандартные оценки, кг Hg/год</t>
  </si>
  <si>
    <t>ДАННАЯ ТАБЛИЦА НЕ ОТРАЖАЕТСЯ В ОТЧЕТЕ</t>
  </si>
  <si>
    <t>Сжигание прочего природного топлива и биомассы*4</t>
  </si>
  <si>
    <t>Производство прочих материалов*5</t>
  </si>
  <si>
    <t>Прочее производство химических элементов и полимеров*6</t>
  </si>
  <si>
    <t>Применение и утилизация амальгамы для зубных пломб</t>
  </si>
  <si>
    <t>Использование и утилизация другой продукции*7</t>
  </si>
  <si>
    <t>Инсинерация отходов и открытое сжигание отходов*1</t>
  </si>
  <si>
    <t>Отложение отходов*1</t>
  </si>
  <si>
    <t>Несанкционированный сброс обычных отходов *1*2</t>
  </si>
  <si>
    <t>Система сбора и отведения/обработка сточных вод*3</t>
  </si>
  <si>
    <t>ИТОГО (прибл.) *1*2*3</t>
  </si>
  <si>
    <t>ИТОГО (прибл.) *1*2*3*4*5*6</t>
  </si>
  <si>
    <t>Скопируйте эти примечания и укажите на схемах в отчетах</t>
  </si>
  <si>
    <t xml:space="preserve">*1: Отходы не являются оригинальным источником для факторов входа ртути в общество. Чтобы исключить двойной учет факторов входа ртути из отходов и продуктов в схемах, только 10% факторов входа ртути  </t>
  </si>
  <si>
    <r>
      <t xml:space="preserve">от сжигания, утилизации и несанкционированного сброса отходов включены в схему </t>
    </r>
    <r>
      <rPr>
        <u/>
        <sz val="10"/>
        <color indexed="8"/>
        <rFont val="Arial"/>
        <family val="2"/>
        <charset val="204"/>
      </rPr>
      <t>по факторам входа ртути.</t>
    </r>
    <r>
      <rPr>
        <sz val="10"/>
        <color indexed="8"/>
        <rFont val="Arial"/>
        <family val="2"/>
        <charset val="204"/>
      </rPr>
      <t xml:space="preserve"> Эти 10% представляют приблизительный фактор входа ртути относительно отходов </t>
    </r>
  </si>
  <si>
    <t>материалов, количество которых не было определено отдельно на уровне 1 инвентаризации методологии. Более подробное объяснение см. в приложении 1 к Руководству по уровню 1 инвентаризации.</t>
  </si>
  <si>
    <t xml:space="preserve">*2: Отходы не являются оригинальным источником для входа ртути в общество. Расчетное количество включает ртуть в продуктах, которые также были учтены по каждой категории продукта. </t>
  </si>
  <si>
    <r>
      <t xml:space="preserve"> Чтобы обратить внимание на важность пути распространения выбросов, выбросы </t>
    </r>
    <r>
      <rPr>
        <u/>
        <sz val="10"/>
        <color indexed="8"/>
        <rFont val="Arial"/>
        <family val="2"/>
        <charset val="204"/>
      </rPr>
      <t>в землю</t>
    </r>
    <r>
      <rPr>
        <sz val="10"/>
        <color indexed="8"/>
        <rFont val="Arial"/>
        <family val="2"/>
        <charset val="204"/>
      </rPr>
      <t xml:space="preserve"> в результате несанкционированного сброса общих отходов НЕ были исключены из схем.</t>
    </r>
  </si>
  <si>
    <t xml:space="preserve">*3: Отходы не являются оригинальным источником для факторов входа ртути в общество. Расчетный фактор входа и выброса в воду включает количество ртути, которое также было учтено  </t>
  </si>
  <si>
    <t xml:space="preserve">для каждой категории источников. Чтобы исключить двойной учет, факторы входа в систему сбора и отведения/обработки сточных вод были исключены автоматически из схем. </t>
  </si>
  <si>
    <t>Чтобы обратить внимание на важность пути распространения выбросов, выбросы в воду через систему сбора и отведения/обработки сточных вод НЕ были исправлены в схемах, несмотря на двойной учет данных.</t>
  </si>
  <si>
    <t>*4: Включает нефтяной кокс, тяжелую нефть, дизельное топливо, газойль, нефть, керосин, природный газ, древесный уголь и прочие виды биологического топлива.</t>
  </si>
  <si>
    <t xml:space="preserve">*5: Включает производство цемента, пульпы и бумаги. </t>
  </si>
  <si>
    <t>*6: Включает производство VCM и ацетальдегида</t>
  </si>
  <si>
    <t>*7: Включает термометры, электрические переключатели и реле, источники света, батареи, полиуретан с ртутным катализатором, краски и кремы для кожи с содержанием ртути, тонометры и</t>
  </si>
  <si>
    <t xml:space="preserve">прочие манометры, лабораторные химические вещества, а также остальные варианты применения в лабораториях и медицине. </t>
  </si>
  <si>
    <t>ПРОКРУТИТЕ ВНИЗ ДАННЫЙ СПИСОК И НАЙДИТЕ СХЕМЫ ПО ДРУГИМ СВОДНЫМ РЕЗУЛЬТАТАМ - СКОПИРУЙТЕ СХЕМЫ В ОТЧЕТ ВМЕСТЕ С ПРИМЕЧАНИЯМИ, УКАЗАННЫМИ ВЫШЕ</t>
  </si>
  <si>
    <t>ОБРАТИТЕ ВНИМАНИЕ, ЧТО РАСПОЛОЖЕНИЕ СХЕМ МОЖЕТ ПОТРЕБОВАТЬ НЕЗНАЧИТЕЛЬНОЙ РЕДАКЦИИ ДЛЯ ПОЛУЧЕНИЯ ОПТИМАЛЬНОГО ИЗОБРАЖЕНИЯ В ВАШЕМ ОТЧЕТЕ</t>
  </si>
  <si>
    <t>(изображение зависит от ваших результатов)</t>
  </si>
  <si>
    <t>УРОВЕНЬ 1 ИНВЕНТАРИЗАЦИИ - ОПРЕДЕЛЕНИЕ ИСТОЧНИКОВ РТУТИ</t>
  </si>
  <si>
    <t>УРОВЕНЬ 1 ИНВЕНТАРИЗАЦИИ - СВОДНАЯ ИНФОРМАЦИЯ ПО ВЫБРОСАМ</t>
  </si>
  <si>
    <t>ИТОГО количественных выбросов*1*2*3</t>
  </si>
  <si>
    <t>УРОВЕНЬ 1 ИНВЕНТАРИЗАЦИИ (IL1) - ВСТАВКА РЕЗУЛЬТАТОВ УРОВНЯ 2 ИНВЕНТАРИЗАЦИИ (IL2) ПРИ НАЛИЧИИ</t>
  </si>
  <si>
    <t>Если вы рассчитали результаты инвентаризации для выбранных категорий источников ртути на уровне 2 инвентаризации, результаты можно вставить в таблицы сводных результатов, представленную в данном документе (для справки см. Руководство по уровню 1 инвентаризации).</t>
  </si>
  <si>
    <t>Данные присутствия источника (да/нет/?) и показатели экономической деятельности следует всегда вводить на соответствующей странице этапа данных в электронных таблицах, а также при вводе результатов уровня 2 инвентаризации.</t>
  </si>
  <si>
    <t>Обратите внимание, что все данные и расчеты, вставляемые на этапах 1-7 по некоторым категориям источников, замещаются результатами IL2, вставленными на текущем листе, на всех листах сводных данных и схем.</t>
  </si>
  <si>
    <r>
      <t>Важное примечание: Данный лист должен использоваться только для включения результатов инвентаризации, расчитанных на уровне 2 инвентаризации, также требуется соответствующая документация</t>
    </r>
    <r>
      <rPr>
        <sz val="10"/>
        <color indexed="8"/>
        <rFont val="Arial"/>
        <family val="2"/>
        <charset val="204"/>
      </rPr>
      <t xml:space="preserve"> </t>
    </r>
  </si>
  <si>
    <t>(все вставки на этом листе будут нарушать представление сводных данных результатов IL1 по некоторым категориям источников).</t>
  </si>
  <si>
    <t>Фактор входа ртути</t>
  </si>
  <si>
    <t>Введите рассчитанное значение факторов поступлений ртути в окружающую среду, кг Hg/год</t>
  </si>
  <si>
    <t>Категория источника №</t>
  </si>
  <si>
    <t>Введите рассчитанное значение фактора входа ртути, кг Hg/год</t>
  </si>
  <si>
    <t>Вставьте примечания (также в отчете инвентаризации укажите подробную информацию по документам):</t>
  </si>
  <si>
    <t>УРОВЕНЬ 1 ИНВЕНТАРИЗАЦИИ - СВОДНЫЙ ИТОГ</t>
  </si>
  <si>
    <t>ИТОГО количественных выбросов *1*2*3*4*5</t>
  </si>
  <si>
    <t>*1: Чтобы исключить двойной учет факторов входа ртути из отходов и продуктов в ИТОГОВОМ значении факторов входа, только 10% факторов входа ртути от источников сжигания, утилизации и несанкционированного сброса отходов включены</t>
  </si>
  <si>
    <t>в общее значение факторов входа ртути. Эти 10% представляют приблизительный фактор входа ртути относительно отходов материалов, количество которых не было определено отдельно на уровне 1 инвентаризации пакета инструментальных средств.</t>
  </si>
  <si>
    <t>Более подробное объяснение см. в приложении 1 к Руководству по уровню 1 инвентаризации.</t>
  </si>
  <si>
    <t xml:space="preserve">*2: Расчетное количество включает ртуть в продуктах, которые также были учтены по каждой категории продукта. </t>
  </si>
  <si>
    <t>Чтобы исключить двойной учет, сбросы в землю в результате несанкционированного сброса обычных отходов были автоматически вычтены из ИТОГОВОГО значения.</t>
  </si>
  <si>
    <t xml:space="preserve">*3: Расчетный фактор входа и сброса в воду включает количество ртути, которое также было учтено для каждой категории источников. </t>
  </si>
  <si>
    <t>Чтобы исключить двойной учет, факторы входа и сбросы в воду из системы сбора и отведения/обработки отходов были автоматически вычтены из ИТОГОВОГО значения.</t>
  </si>
  <si>
    <r>
      <t xml:space="preserve">*4 Чтобы исключить двойной учет ртути в продуктах, произведенных внутри страны и проданных на внутреннем рынке (включая нефть и газ), только часть факторов входа ртути, </t>
    </r>
    <r>
      <rPr>
        <i/>
        <sz val="10"/>
        <color indexed="8"/>
        <rFont val="Arial"/>
        <family val="2"/>
        <charset val="204"/>
      </rPr>
      <t xml:space="preserve">выброс </t>
    </r>
    <r>
      <rPr>
        <sz val="10"/>
        <color indexed="8"/>
        <rFont val="Arial"/>
        <family val="2"/>
        <charset val="204"/>
      </rPr>
      <t>которой произошел в результате производства, включена в ИТОГОВОЕ значение факторов входа.</t>
    </r>
  </si>
  <si>
    <t>Оригинальная версия на английском языке</t>
  </si>
  <si>
    <t>Введите перевод (только в ячейки, выделенные белым цветом)</t>
  </si>
  <si>
    <t>Ячейки, выделенные белым цветом:</t>
  </si>
  <si>
    <t>Ячейки, выделенные желтым цветом:</t>
  </si>
  <si>
    <t>УРОВЕНЬ 1 ИНВЕНТАРИЗАЦИИ - СВОДНАЯ ИНФОРМАЦИЯ ПО ФАКТОРАМ ВХОДА РТУТИ</t>
  </si>
  <si>
    <t>Чтобы исключить двойной учет, факторы входа и выбросы в воду из системы сбора и отведения/обработки отходов были автоматически вычтены из ИТОГОВОГО значения.</t>
  </si>
  <si>
    <t>Eswatini (Swaziland)</t>
  </si>
  <si>
    <t>Кликните здесь, чтобы выбрать страну</t>
  </si>
  <si>
    <t>Население в 2015 году (или по самым последним данным; ДЭСВ ООН, 2017 год)</t>
  </si>
  <si>
    <t xml:space="preserve">*3: Data source: United Nations, Department of Economic and Social Affairs, Population Division (2017). World Population Prospects: The 2017 Revision, DVD Edition. (Population estimates from year 2015). </t>
  </si>
  <si>
    <t>https://population.un.org/wpp/DataQuery/</t>
  </si>
  <si>
    <t>Пакет инструментальных средств по определению и количественному подсчету выбросов ртути, подготовленный ООН Окружающая среда - Уровень 1 инвентаризации - Таблица расчета</t>
  </si>
  <si>
    <t>Январь 2017 года</t>
  </si>
  <si>
    <t>Русская версия расчетного листа была обновлена Иветтой Зениной и Юхой Ронкайнен на основе предыдущего перевода с 2013 года.</t>
  </si>
  <si>
    <t>Включая контроль ртути в оценку (да/нет)?</t>
  </si>
  <si>
    <t>Сжигание угля в угольных промышленных котлоагрегатах</t>
  </si>
  <si>
    <t>Оценочный вход ртути (или эквивалентные введенные результаты IL2), отмеченные красным цветом, очень высокие по сравнению с предыдущими наблюдениями. Данные могут быть правильными, но, пожалуйста, подтвердите данные о факторе входа.</t>
  </si>
  <si>
    <t>Соответствующие варианты снижения загрязнения (руководство: щелкните белые ячейки)</t>
  </si>
  <si>
    <t>Введите процент общего фактора входа по типу:</t>
  </si>
  <si>
    <t>0: Фильтры не использовались</t>
  </si>
  <si>
    <t>1: Простые фракционные фильтры</t>
  </si>
  <si>
    <t>2 : тканевый фильтр (FF)</t>
  </si>
  <si>
    <t>3: Эффективный контроль загрязнения воздуха</t>
  </si>
  <si>
    <t>4. Очень эффективный контроль загрязнения воздуха</t>
  </si>
  <si>
    <t>5: Специальные фильтры для ртути</t>
  </si>
  <si>
    <t>Ошибка: сумма введенных % не должна превышать 100</t>
  </si>
  <si>
    <t>Фильтры не использовались</t>
  </si>
  <si>
    <t>Электростатический пылеуловитель (ESP) или скруббер</t>
  </si>
  <si>
    <t>Низкотемпературные электростатические пылеуловитепи (cESP) и системы десульфуризации дымовых газов (FGD)</t>
  </si>
  <si>
    <t>без удаления ртути</t>
  </si>
  <si>
    <t>с удаления ртути</t>
  </si>
  <si>
    <t>Entrez le pourcentage du taux d'activité total par type:</t>
  </si>
  <si>
    <t xml:space="preserve"> 1: Без фильтров или крупнодисперсных сухих твердых частиц </t>
  </si>
  <si>
    <t xml:space="preserve">2: С мокрой газоочисткой </t>
  </si>
  <si>
    <t>3: С мокрой газоочисткой и установка по производству кислоты</t>
  </si>
  <si>
    <t>4: С мокрой газоочисткой, установками для производства кислоты и ртутным фильтром</t>
  </si>
  <si>
    <t xml:space="preserve">Использование ретортных печей </t>
  </si>
  <si>
    <t>без использования ретортных печей</t>
  </si>
  <si>
    <t>1) С ОТХОДОМ, ИСПОЛЬЗУЕМЫМ в качестве топлива (&gt; 3% энергии); соответствующие варианты уменьшения загрязнений</t>
  </si>
  <si>
    <t>2) БЕЗ/ НИЗКОЕ КОЛИЧЕСТВО ОТХОДОВ, ИСПОЛЬЗУЕМЫХ в качестве топлива; соответствующие варианты уменьшения загрязнений</t>
  </si>
  <si>
    <t xml:space="preserve"> Без фильтра</t>
  </si>
  <si>
    <t>Эффективный контроль загрязнения воздуха (FF+DS / ESP+DS / ESP+WS / ESP+SNCR)</t>
  </si>
  <si>
    <t>Очень эффективный контроль загрязнения ртутью (wetFGD+ACI/FF+скруббер+SNCR)</t>
  </si>
  <si>
    <t>без использования фильтров</t>
  </si>
  <si>
    <t>Контроль твердых частиц с помощью общего электростатического пылеуловителя (ESP) или  сажевый скруббер (PS)</t>
  </si>
  <si>
    <r>
      <rPr>
        <b/>
        <sz val="10"/>
        <rFont val="Arial"/>
        <family val="2"/>
      </rPr>
      <t>б)</t>
    </r>
    <r>
      <rPr>
        <sz val="10"/>
        <rFont val="Arial"/>
        <family val="2"/>
      </rPr>
      <t xml:space="preserve"> Собирались ли более 1/3 (одна треть = 33%) отходов продуктов, содержащих ртуть, безопасно и обрабатыватлись отдельно?</t>
    </r>
  </si>
  <si>
    <r>
      <rPr>
        <b/>
        <sz val="10"/>
        <rFont val="Arial"/>
        <family val="2"/>
      </rPr>
      <t>а)</t>
    </r>
    <r>
      <rPr>
        <sz val="10"/>
        <rFont val="Arial"/>
        <family val="2"/>
      </rPr>
      <t xml:space="preserve"> Более 2/3 (две трети; 67%) обычных расходов, собранных и утилизированных на изолированных полигонах или сожженных с учетом мер по предотвращению загрязнений?</t>
    </r>
  </si>
  <si>
    <t>ОШИБКА: На эти два вопроса нужно ответить. Комбинация: «нет» в ячейке B4 и «да» в ячейке E4 недействительны.</t>
  </si>
  <si>
    <t>На эти два вопроса должен быть дан ответ, чтобы рассчитать  связанных с продуктами выбросов ртути</t>
  </si>
  <si>
    <t>Нет устройств сокращения выбросов</t>
  </si>
  <si>
    <t>Сокращение твердых частиц с простыми ЭСП или на аналогичных устройствах</t>
  </si>
  <si>
    <t>Абсорбенты ртути и  тканевый фильтр (FF)</t>
  </si>
  <si>
    <t>Без обработки</t>
  </si>
  <si>
    <t>Только механическая обработка</t>
  </si>
  <si>
    <t>Механическая и биологическая (активный осадок) обработка; не захоронение отходов в почве</t>
  </si>
  <si>
    <t>Механическая и биологическая (активный осадок) обработка; 40% осадка, используемого для захоронения в землю</t>
  </si>
  <si>
    <t>Рассчитанные общие поступления ртути в общие отходы:</t>
  </si>
  <si>
    <t>Рассчитанные общие поступления ртути в общие отходы от преднамеренного использования ртути:</t>
  </si>
  <si>
    <t>Результат теста для общих отходов (цитата в вашем отчете):</t>
  </si>
  <si>
    <t>Меньше чем 1/3 (одна треть = 33%) отходов продуктов, содержащих ртуть, безопасно собирается и обрабатывается отдельно</t>
  </si>
  <si>
    <t>Более 1/3 (одна треть = 33%) отходов продуктов, содержащих ртуть, безопасно собирается и обрабатывается отдельно</t>
  </si>
  <si>
    <t>Клиники, в которых используются только простые крепежные сито / фильтры</t>
  </si>
  <si>
    <t>Клиники, в которых используются высокоэффективные сепараторы амальгамы</t>
  </si>
  <si>
    <t>Соответствующие варианты снижения загрязнения</t>
  </si>
  <si>
    <t>Добыча золота с помощью процесса амальгамирования ртути - Из недробленой руды</t>
  </si>
  <si>
    <t>Добыча золота с помощью процесса амальгамирования ртути - Из обогащенной руды</t>
  </si>
  <si>
    <t>Простой контроль запыленности (ESP / PS /FF)</t>
  </si>
  <si>
    <t>Контроль содержания углекислого газа с помощью
 щелочи и нижнего высокоэффективногоFF или уменьшения ESP</t>
  </si>
  <si>
    <t>Оптимизированный контроль запыленности (FF+SNCR /FF+WS / ESP+FGD / оптимизированныйFF)</t>
  </si>
  <si>
    <t>Оптимизированный контроль запыленности (FF+SNCR /FF+WS / ESP+FGD / оптимизированный FF)</t>
  </si>
  <si>
    <t>Индикатор IL2</t>
  </si>
  <si>
    <t>*6 Чтобы избежать двойного подсчета, вклад ртути из ископаемого топлива в производство цемента автоматически вычлось в ИТОГО.</t>
  </si>
  <si>
    <t>*1: Расчетное количество включает ртуть в продуктах, которые также были учтены по каждой категории продукта.</t>
  </si>
  <si>
    <t>*3 Чтобы исключить двойной учет, вклад ртути в ископаемое топливо в производство цемента автоматически вычитался из ИТОГОВОГО значения.</t>
  </si>
  <si>
    <t xml:space="preserve">Данные, обозначенные зеленым шрифтом, если таковые имеются, были введены в лист «Вставьте рез. Яч. IL2». Такие данные перекрывают рассчитанные результаты IL1 для одних и тех же исходных подкатегорий, а данные IL2 показаны во всех сводных и графических листах. </t>
  </si>
  <si>
    <t>См. Введенные результаты IL2 в листе «Вставьте рез. Яч. IL2»</t>
  </si>
  <si>
    <t>Производство цемента*5</t>
  </si>
  <si>
    <t>Производство продукции с содержанием ртути*4</t>
  </si>
  <si>
    <t>Сжигание городских/обычных отходов*1</t>
  </si>
  <si>
    <t>Сжигание опасных отходов*1</t>
  </si>
  <si>
    <t>Инсинерация и открытое сжигание медицинских отходов*1</t>
  </si>
  <si>
    <t>Сжигание осадка сточных вод*1</t>
  </si>
  <si>
    <t>Сжигание отходов на открытом огне (на полигонах и произвольно)*1</t>
  </si>
  <si>
    <t>Контролируемые свалки отходов/отложений*1</t>
  </si>
  <si>
    <t>Стандартные настройки контроля не используются</t>
  </si>
  <si>
    <t>ПРИМЕЧАНИЕ. Выбор в отношении утилизации отходов:</t>
  </si>
  <si>
    <t>Стандартные  настройки контроля</t>
  </si>
  <si>
    <t>Тест стандартного вводного коэффициента для отходов (см. Инструкцию IL1 4, Приложение 4. В целях проведения данного теста необходимо, чтобы были рассчитаны все соответствующие результаты):</t>
  </si>
  <si>
    <t>Тест стандартного вводного коэффициента для сточных вод (см. Инструкцию IL1 4, Приложение 4. В целях проведения данного теста необходимо, чтобы были рассчитаны все соответствующие результаты):</t>
  </si>
  <si>
    <t>Количество кремированных трупов/год</t>
  </si>
  <si>
    <t>Количество захороненных трупов/год</t>
  </si>
  <si>
    <t>2-15</t>
  </si>
  <si>
    <t>1.4-4</t>
  </si>
  <si>
    <t>15-70</t>
  </si>
  <si>
    <t>5-150</t>
  </si>
  <si>
    <t>0.2-4</t>
  </si>
  <si>
    <t>http://2oqz471sa19h3vbwa53m33yj.wpengine.netdna-cdn.com/wp-content/uploads/2013/11/global-gold-mine-and-deposit-rankings-2013.pdf)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</si>
</sst>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00"/>
    <numFmt numFmtId="165" formatCode="0.0"/>
    <numFmt numFmtId="166" formatCode="#,##0.000"/>
    <numFmt numFmtId="167" formatCode="#,##0.00000"/>
    <numFmt numFmtId="168" formatCode="#,##0.0"/>
    <numFmt numFmtId="169" formatCode="_(* #,##0_);_(* \(#,##0\);_(* &quot;-&quot;??_);_(@_)"/>
    <numFmt numFmtId="170" formatCode="0.0000"/>
    <numFmt numFmtId="171" formatCode="0.0000000000"/>
    <numFmt numFmtId="172" formatCode="0.000000"/>
    <numFmt numFmtId="173" formatCode="_(* #,##0.0000_);_(* \(#,##0.0000\);_(* &quot;-&quot;??_);_(@_)"/>
  </numFmts>
  <fonts count="75">
    <font>
      <sz val="10"/>
      <name val="Arial"/>
    </font>
    <font>
      <sz val="10"/>
      <name val="Arial"/>
      <family val="2"/>
    </font>
    <font>
      <sz val="8"/>
      <name val="Arial"/>
      <family val="2"/>
    </font>
    <font>
      <b/>
      <sz val="10"/>
      <name val="Arial"/>
      <family val="2"/>
    </font>
    <font>
      <b/>
      <sz val="14"/>
      <name val="Arial"/>
      <family val="2"/>
    </font>
    <font>
      <b/>
      <u/>
      <sz val="10"/>
      <name val="Arial"/>
      <family val="2"/>
    </font>
    <font>
      <sz val="10"/>
      <name val="Arial"/>
      <family val="2"/>
    </font>
    <font>
      <sz val="10"/>
      <name val="Times New Roman"/>
      <family val="1"/>
    </font>
    <font>
      <b/>
      <sz val="10"/>
      <color indexed="10"/>
      <name val="Arial"/>
      <family val="2"/>
    </font>
    <font>
      <sz val="10"/>
      <color indexed="11"/>
      <name val="Arial"/>
      <family val="2"/>
    </font>
    <font>
      <b/>
      <sz val="10"/>
      <name val="Times New Roman"/>
      <family val="1"/>
    </font>
    <font>
      <i/>
      <sz val="10"/>
      <name val="Times New Roman"/>
      <family val="1"/>
    </font>
    <font>
      <b/>
      <sz val="11.5"/>
      <name val="Times New Roman"/>
      <family val="1"/>
    </font>
    <font>
      <b/>
      <sz val="11"/>
      <name val="Times New Roman"/>
      <family val="1"/>
    </font>
    <font>
      <b/>
      <sz val="11"/>
      <color indexed="10"/>
      <name val="Arial"/>
      <family val="2"/>
    </font>
    <font>
      <sz val="10"/>
      <color indexed="10"/>
      <name val="Arial"/>
      <family val="2"/>
    </font>
    <font>
      <u/>
      <sz val="8.5"/>
      <color indexed="12"/>
      <name val="Arial"/>
      <family val="2"/>
    </font>
    <font>
      <b/>
      <sz val="12"/>
      <name val="Arial"/>
      <family val="2"/>
    </font>
    <font>
      <b/>
      <sz val="11"/>
      <name val="Arial"/>
      <family val="2"/>
    </font>
    <font>
      <b/>
      <sz val="14"/>
      <color indexed="10"/>
      <name val="Arial"/>
      <family val="2"/>
    </font>
    <font>
      <b/>
      <sz val="10"/>
      <name val="Arial"/>
      <family val="2"/>
    </font>
    <font>
      <sz val="10"/>
      <name val="Arial"/>
      <family val="2"/>
    </font>
    <font>
      <b/>
      <sz val="10"/>
      <color indexed="10"/>
      <name val="Arial"/>
      <family val="2"/>
    </font>
    <font>
      <i/>
      <sz val="10"/>
      <name val="Arial"/>
      <family val="2"/>
    </font>
    <font>
      <sz val="10"/>
      <name val="Arial"/>
      <family val="2"/>
    </font>
    <font>
      <b/>
      <i/>
      <sz val="10"/>
      <name val="Arial"/>
      <family val="2"/>
    </font>
    <font>
      <sz val="8"/>
      <color indexed="81"/>
      <name val="Tahoma"/>
      <family val="2"/>
    </font>
    <font>
      <b/>
      <sz val="8"/>
      <color indexed="81"/>
      <name val="Tahoma"/>
      <family val="2"/>
    </font>
    <font>
      <sz val="10"/>
      <name val="Arial"/>
      <family val="2"/>
    </font>
    <font>
      <sz val="11"/>
      <name val="Calibri"/>
      <family val="2"/>
    </font>
    <font>
      <sz val="10"/>
      <name val="Arial"/>
      <family val="2"/>
    </font>
    <font>
      <sz val="10"/>
      <name val="Arial"/>
      <family val="2"/>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1"/>
      <color rgb="FFFF0000"/>
      <name val="Calibri"/>
      <family val="2"/>
      <scheme val="minor"/>
    </font>
    <font>
      <b/>
      <sz val="10"/>
      <color rgb="FFFF0000"/>
      <name val="Arial"/>
      <family val="2"/>
    </font>
    <font>
      <sz val="10"/>
      <color rgb="FFFF0000"/>
      <name val="Arial"/>
      <family val="2"/>
    </font>
    <font>
      <b/>
      <sz val="10"/>
      <color rgb="FFC00000"/>
      <name val="Times New Roman"/>
      <family val="1"/>
    </font>
    <font>
      <b/>
      <sz val="10"/>
      <color rgb="FFC00000"/>
      <name val="Arial"/>
      <family val="2"/>
    </font>
    <font>
      <sz val="10"/>
      <color rgb="FFC00000"/>
      <name val="Arial"/>
      <family val="2"/>
    </font>
    <font>
      <b/>
      <sz val="10"/>
      <color rgb="FFFF0000"/>
      <name val="Times New Roman"/>
      <family val="1"/>
    </font>
    <font>
      <sz val="10"/>
      <color rgb="FF222222"/>
      <name val="Inherit"/>
    </font>
    <font>
      <sz val="10"/>
      <color rgb="FF00B050"/>
      <name val="Arial"/>
      <family val="2"/>
    </font>
    <font>
      <sz val="8"/>
      <color rgb="FF000000"/>
      <name val="Verdana"/>
      <family val="2"/>
    </font>
    <font>
      <i/>
      <sz val="8"/>
      <color rgb="FF000000"/>
      <name val="Verdana"/>
      <family val="2"/>
    </font>
    <font>
      <u/>
      <sz val="8"/>
      <color rgb="FF000000"/>
      <name val="Verdana"/>
      <family val="2"/>
    </font>
    <font>
      <sz val="11"/>
      <name val="Calibri"/>
      <family val="2"/>
      <scheme val="minor"/>
    </font>
    <font>
      <sz val="8"/>
      <color theme="0"/>
      <name val="Arial"/>
      <family val="2"/>
    </font>
    <font>
      <b/>
      <sz val="10"/>
      <color rgb="FF00B050"/>
      <name val="Arial"/>
      <family val="2"/>
    </font>
    <font>
      <sz val="10"/>
      <color rgb="FFFFFFCC"/>
      <name val="Arial"/>
      <family val="2"/>
    </font>
    <font>
      <sz val="10"/>
      <color theme="6" tint="-0.499984740745262"/>
      <name val="Arial"/>
      <family val="2"/>
    </font>
    <font>
      <b/>
      <sz val="10"/>
      <color theme="6" tint="-0.499984740745262"/>
      <name val="Arial"/>
      <family val="2"/>
    </font>
    <font>
      <sz val="10"/>
      <color theme="0"/>
      <name val="Arial"/>
      <family val="2"/>
    </font>
    <font>
      <b/>
      <sz val="10"/>
      <color indexed="8"/>
      <name val="Arial"/>
      <family val="2"/>
      <charset val="204"/>
    </font>
    <font>
      <sz val="10"/>
      <color indexed="8"/>
      <name val="Arial"/>
      <family val="2"/>
      <charset val="204"/>
    </font>
    <font>
      <b/>
      <sz val="14"/>
      <color indexed="8"/>
      <name val="Arial"/>
      <family val="2"/>
      <charset val="204"/>
    </font>
    <font>
      <sz val="8"/>
      <color indexed="8"/>
      <name val="Times New Roman"/>
      <family val="1"/>
      <charset val="204"/>
    </font>
    <font>
      <b/>
      <sz val="10"/>
      <color indexed="8"/>
      <name val="Arial"/>
      <family val="2"/>
    </font>
    <font>
      <sz val="10"/>
      <color indexed="8"/>
      <name val="Arial"/>
      <family val="2"/>
    </font>
    <font>
      <vertAlign val="subscript"/>
      <sz val="10"/>
      <color indexed="8"/>
      <name val="Arial"/>
      <family val="2"/>
      <charset val="204"/>
    </font>
    <font>
      <vertAlign val="superscript"/>
      <sz val="10"/>
      <color indexed="8"/>
      <name val="Arial"/>
      <family val="2"/>
      <charset val="204"/>
    </font>
    <font>
      <i/>
      <sz val="10"/>
      <color indexed="8"/>
      <name val="Arial"/>
      <family val="2"/>
      <charset val="204"/>
    </font>
    <font>
      <b/>
      <i/>
      <sz val="10"/>
      <color indexed="8"/>
      <name val="Arial"/>
      <family val="2"/>
      <charset val="204"/>
    </font>
    <font>
      <sz val="9"/>
      <color indexed="10"/>
      <name val="Arial"/>
      <family val="2"/>
      <charset val="204"/>
    </font>
    <font>
      <b/>
      <sz val="10"/>
      <color indexed="10"/>
      <name val="Arial"/>
      <family val="2"/>
      <charset val="204"/>
    </font>
    <font>
      <u/>
      <sz val="10"/>
      <color indexed="8"/>
      <name val="Arial"/>
      <family val="2"/>
      <charset val="204"/>
    </font>
    <font>
      <b/>
      <sz val="11"/>
      <name val="Calibri"/>
      <family val="2"/>
    </font>
    <font>
      <sz val="11"/>
      <color rgb="FFFFFFCC"/>
      <name val="Calibri"/>
      <family val="2"/>
      <scheme val="minor"/>
    </font>
    <font>
      <sz val="10"/>
      <color theme="1"/>
      <name val="Arial"/>
      <family val="2"/>
    </font>
    <font>
      <b/>
      <sz val="9"/>
      <color rgb="FF000000"/>
      <name val="Tahoma"/>
      <family val="2"/>
    </font>
    <font>
      <sz val="9"/>
      <color rgb="FF000000"/>
      <name val="Tahoma"/>
      <family val="2"/>
    </font>
    <font>
      <b/>
      <sz val="8"/>
      <color rgb="FF000000"/>
      <name val="Tahoma"/>
      <family val="2"/>
    </font>
    <font>
      <sz val="8"/>
      <color rgb="FF000000"/>
      <name val="Tahoma"/>
      <family val="2"/>
    </font>
  </fonts>
  <fills count="19">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rgb="FF92D050"/>
        <bgColor indexed="64"/>
      </patternFill>
    </fill>
    <fill>
      <patternFill patternType="solid">
        <fgColor rgb="FFFFFF66"/>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FFF99"/>
        <bgColor indexed="64"/>
      </patternFill>
    </fill>
    <fill>
      <patternFill patternType="solid">
        <fgColor theme="4" tint="0.79998168889431442"/>
        <bgColor indexed="64"/>
      </patternFill>
    </fill>
    <fill>
      <patternFill patternType="solid">
        <fgColor indexed="26"/>
        <bgColor indexed="64"/>
      </patternFill>
    </fill>
    <fill>
      <patternFill patternType="solid">
        <fgColor indexed="51"/>
        <bgColor indexed="64"/>
      </patternFill>
    </fill>
    <fill>
      <patternFill patternType="solid">
        <fgColor indexed="11"/>
        <bgColor indexed="64"/>
      </patternFill>
    </fill>
    <fill>
      <patternFill patternType="solid">
        <fgColor rgb="FFFFFFCC"/>
        <bgColor theme="0" tint="-0.14999847407452621"/>
      </patternFill>
    </fill>
  </fills>
  <borders count="45">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919">
    <xf numFmtId="0" fontId="0" fillId="0" borderId="0" xfId="0"/>
    <xf numFmtId="0" fontId="4" fillId="0" borderId="0" xfId="0" applyFont="1"/>
    <xf numFmtId="0" fontId="0" fillId="2" borderId="0" xfId="0" applyFill="1"/>
    <xf numFmtId="0" fontId="0" fillId="0" borderId="0" xfId="0" applyFill="1"/>
    <xf numFmtId="0" fontId="0" fillId="3" borderId="0" xfId="0" applyFill="1"/>
    <xf numFmtId="0" fontId="3" fillId="0" borderId="0" xfId="0" applyFont="1"/>
    <xf numFmtId="0" fontId="0" fillId="0" borderId="0" xfId="0" quotePrefix="1"/>
    <xf numFmtId="0" fontId="3" fillId="0" borderId="0" xfId="0" applyFont="1" applyFill="1"/>
    <xf numFmtId="0" fontId="6" fillId="0" borderId="0" xfId="0" applyFont="1"/>
    <xf numFmtId="0" fontId="0" fillId="0" borderId="0" xfId="0" applyAlignment="1">
      <alignment wrapText="1"/>
    </xf>
    <xf numFmtId="0" fontId="8" fillId="3" borderId="0" xfId="0" applyFont="1" applyFill="1"/>
    <xf numFmtId="0" fontId="0" fillId="0" borderId="0" xfId="0" quotePrefix="1" applyFill="1"/>
    <xf numFmtId="0" fontId="3" fillId="0" borderId="0" xfId="0" applyFont="1" applyAlignment="1">
      <alignment wrapText="1"/>
    </xf>
    <xf numFmtId="0" fontId="0" fillId="0" borderId="1" xfId="0" applyBorder="1"/>
    <xf numFmtId="0" fontId="3" fillId="0" borderId="1" xfId="0" applyFont="1" applyBorder="1"/>
    <xf numFmtId="0" fontId="7" fillId="0" borderId="1" xfId="0" applyFont="1" applyBorder="1" applyAlignment="1">
      <alignment wrapText="1"/>
    </xf>
    <xf numFmtId="0" fontId="3" fillId="0" borderId="1" xfId="0" quotePrefix="1" applyFont="1" applyBorder="1"/>
    <xf numFmtId="0" fontId="7" fillId="0" borderId="0" xfId="0" applyFont="1" applyFill="1" applyBorder="1" applyAlignment="1">
      <alignment vertical="top" wrapText="1"/>
    </xf>
    <xf numFmtId="17" fontId="0" fillId="0" borderId="0" xfId="0" quotePrefix="1" applyNumberFormat="1"/>
    <xf numFmtId="0" fontId="9" fillId="0" borderId="0" xfId="0" applyFont="1" applyFill="1"/>
    <xf numFmtId="3" fontId="9" fillId="0" borderId="0" xfId="0" applyNumberFormat="1" applyFont="1" applyFill="1"/>
    <xf numFmtId="3" fontId="0" fillId="0" borderId="0" xfId="0" applyNumberFormat="1" applyFill="1"/>
    <xf numFmtId="4" fontId="0" fillId="0" borderId="0" xfId="0" applyNumberFormat="1" applyFill="1"/>
    <xf numFmtId="0" fontId="7" fillId="0" borderId="0" xfId="0" applyFont="1" applyFill="1" applyBorder="1" applyAlignment="1">
      <alignment horizontal="right" vertical="top" wrapText="1"/>
    </xf>
    <xf numFmtId="0" fontId="7" fillId="0" borderId="0" xfId="0" applyFont="1" applyFill="1" applyBorder="1" applyAlignment="1">
      <alignment horizontal="left" vertical="top" wrapText="1"/>
    </xf>
    <xf numFmtId="4" fontId="8" fillId="0" borderId="0" xfId="0" applyNumberFormat="1" applyFont="1" applyFill="1"/>
    <xf numFmtId="0" fontId="3" fillId="0" borderId="0" xfId="0" applyFont="1" applyFill="1" applyAlignment="1">
      <alignment wrapText="1"/>
    </xf>
    <xf numFmtId="0" fontId="0" fillId="0" borderId="0" xfId="0" quotePrefix="1" applyNumberFormat="1"/>
    <xf numFmtId="0" fontId="0" fillId="0" borderId="0" xfId="0" applyFill="1" applyBorder="1"/>
    <xf numFmtId="0" fontId="7" fillId="0" borderId="0" xfId="0" applyFont="1" applyFill="1" applyBorder="1" applyAlignment="1">
      <alignment wrapText="1"/>
    </xf>
    <xf numFmtId="0" fontId="3" fillId="0" borderId="0" xfId="0" applyFont="1" applyFill="1" applyBorder="1"/>
    <xf numFmtId="0" fontId="3" fillId="0" borderId="0" xfId="0" quotePrefix="1" applyFont="1" applyFill="1" applyBorder="1"/>
    <xf numFmtId="0" fontId="3" fillId="0" borderId="1" xfId="0" applyFont="1" applyBorder="1" applyAlignment="1">
      <alignment wrapText="1"/>
    </xf>
    <xf numFmtId="0" fontId="0" fillId="0" borderId="1" xfId="0" applyBorder="1" applyAlignment="1">
      <alignment wrapText="1"/>
    </xf>
    <xf numFmtId="0" fontId="3" fillId="0" borderId="1" xfId="0" quotePrefix="1" applyFont="1" applyBorder="1" applyAlignment="1">
      <alignment wrapText="1"/>
    </xf>
    <xf numFmtId="0" fontId="7" fillId="0" borderId="0" xfId="0" applyFont="1" applyBorder="1" applyAlignment="1">
      <alignment wrapText="1"/>
    </xf>
    <xf numFmtId="0" fontId="6" fillId="0" borderId="0" xfId="0" applyFont="1" applyFill="1"/>
    <xf numFmtId="0" fontId="7" fillId="0" borderId="0" xfId="0" applyFont="1" applyBorder="1" applyAlignment="1">
      <alignment horizontal="center" wrapText="1"/>
    </xf>
    <xf numFmtId="0" fontId="7" fillId="0" borderId="1" xfId="0" quotePrefix="1" applyFont="1" applyBorder="1" applyAlignment="1">
      <alignment wrapText="1"/>
    </xf>
    <xf numFmtId="0" fontId="10" fillId="0" borderId="1" xfId="0" applyFont="1" applyBorder="1" applyAlignment="1">
      <alignment wrapText="1"/>
    </xf>
    <xf numFmtId="0" fontId="3" fillId="0" borderId="0" xfId="0" quotePrefix="1" applyFont="1" applyFill="1"/>
    <xf numFmtId="17" fontId="0" fillId="0" borderId="0" xfId="0" quotePrefix="1" applyNumberFormat="1" applyFill="1"/>
    <xf numFmtId="0" fontId="7" fillId="0" borderId="0" xfId="0" applyFont="1" applyBorder="1" applyAlignment="1"/>
    <xf numFmtId="0" fontId="0" fillId="0" borderId="0" xfId="0" quotePrefix="1" applyAlignment="1">
      <alignment horizontal="center"/>
    </xf>
    <xf numFmtId="0" fontId="0" fillId="0" borderId="0" xfId="0" applyAlignment="1">
      <alignment horizontal="center"/>
    </xf>
    <xf numFmtId="0" fontId="0" fillId="0" borderId="0" xfId="0" quotePrefix="1" applyAlignment="1">
      <alignment horizontal="left"/>
    </xf>
    <xf numFmtId="0" fontId="0" fillId="0" borderId="0" xfId="0" quotePrefix="1" applyAlignment="1">
      <alignment horizontal="left" wrapText="1"/>
    </xf>
    <xf numFmtId="0" fontId="0" fillId="0" borderId="0" xfId="0" quotePrefix="1" applyFill="1" applyAlignment="1">
      <alignment horizontal="center"/>
    </xf>
    <xf numFmtId="0" fontId="0" fillId="0" borderId="0" xfId="0" applyBorder="1"/>
    <xf numFmtId="0" fontId="0" fillId="2" borderId="0" xfId="0" applyFill="1" applyBorder="1"/>
    <xf numFmtId="0" fontId="3" fillId="0" borderId="0" xfId="0" applyFont="1" applyBorder="1"/>
    <xf numFmtId="0" fontId="6" fillId="0" borderId="0" xfId="0" applyFont="1" applyBorder="1"/>
    <xf numFmtId="0" fontId="6" fillId="0" borderId="0" xfId="0" applyFont="1" applyBorder="1" applyAlignment="1">
      <alignment horizontal="left"/>
    </xf>
    <xf numFmtId="0" fontId="6" fillId="0" borderId="0" xfId="0" applyFont="1" applyAlignment="1">
      <alignment wrapText="1"/>
    </xf>
    <xf numFmtId="0" fontId="14" fillId="0" borderId="0" xfId="0" applyFont="1"/>
    <xf numFmtId="0" fontId="0" fillId="0" borderId="2" xfId="0" applyBorder="1"/>
    <xf numFmtId="0" fontId="3" fillId="3" borderId="3" xfId="0" applyFont="1" applyFill="1" applyBorder="1"/>
    <xf numFmtId="0" fontId="3" fillId="3" borderId="3" xfId="0" applyFont="1" applyFill="1" applyBorder="1" applyAlignment="1">
      <alignment wrapText="1"/>
    </xf>
    <xf numFmtId="0" fontId="0" fillId="3" borderId="3" xfId="0" applyFill="1" applyBorder="1"/>
    <xf numFmtId="0" fontId="3" fillId="0" borderId="1" xfId="0" quotePrefix="1" applyFont="1" applyFill="1" applyBorder="1"/>
    <xf numFmtId="0" fontId="7" fillId="0" borderId="0" xfId="0" applyFont="1" applyFill="1" applyBorder="1" applyAlignment="1">
      <alignment horizontal="center" wrapText="1"/>
    </xf>
    <xf numFmtId="0" fontId="7" fillId="0" borderId="0" xfId="0" applyFont="1" applyFill="1" applyBorder="1" applyAlignment="1"/>
    <xf numFmtId="0" fontId="7" fillId="0" borderId="1" xfId="0" applyFont="1" applyFill="1" applyBorder="1" applyAlignment="1">
      <alignment wrapText="1"/>
    </xf>
    <xf numFmtId="0" fontId="0" fillId="0" borderId="1" xfId="0" applyFill="1" applyBorder="1"/>
    <xf numFmtId="0" fontId="3" fillId="0" borderId="1" xfId="0" applyFont="1" applyFill="1" applyBorder="1"/>
    <xf numFmtId="0" fontId="3" fillId="2" borderId="0" xfId="0" applyFont="1" applyFill="1"/>
    <xf numFmtId="0" fontId="6" fillId="0" borderId="0" xfId="0" applyFont="1" applyFill="1" applyAlignment="1">
      <alignment wrapText="1"/>
    </xf>
    <xf numFmtId="0" fontId="3" fillId="0" borderId="0" xfId="0" quotePrefix="1" applyFont="1" applyAlignment="1">
      <alignment wrapText="1"/>
    </xf>
    <xf numFmtId="0" fontId="10" fillId="0" borderId="0" xfId="0" applyFont="1" applyBorder="1" applyAlignment="1">
      <alignment wrapText="1"/>
    </xf>
    <xf numFmtId="0" fontId="10" fillId="0" borderId="0" xfId="0" applyFont="1" applyBorder="1" applyAlignment="1">
      <alignment vertical="top" wrapText="1"/>
    </xf>
    <xf numFmtId="0" fontId="3" fillId="0" borderId="0" xfId="0" quotePrefix="1" applyFont="1" applyFill="1" applyAlignment="1">
      <alignment wrapText="1"/>
    </xf>
    <xf numFmtId="0" fontId="12" fillId="0" borderId="0" xfId="0" applyFont="1" applyAlignment="1">
      <alignment wrapText="1"/>
    </xf>
    <xf numFmtId="0" fontId="13" fillId="0" borderId="0" xfId="0" applyFont="1" applyAlignment="1">
      <alignment wrapText="1"/>
    </xf>
    <xf numFmtId="0" fontId="13" fillId="0" borderId="0" xfId="0" applyFont="1" applyBorder="1" applyAlignment="1">
      <alignment vertical="top" wrapText="1"/>
    </xf>
    <xf numFmtId="0" fontId="6" fillId="0" borderId="0" xfId="0" applyFont="1" applyAlignment="1"/>
    <xf numFmtId="0" fontId="3" fillId="0" borderId="0" xfId="0" quotePrefix="1" applyFont="1" applyAlignment="1">
      <alignment horizontal="center"/>
    </xf>
    <xf numFmtId="0" fontId="0" fillId="2" borderId="3" xfId="0" applyFill="1" applyBorder="1"/>
    <xf numFmtId="0" fontId="0" fillId="3" borderId="3" xfId="0" applyFill="1" applyBorder="1" applyAlignment="1">
      <alignment horizontal="center"/>
    </xf>
    <xf numFmtId="0" fontId="3" fillId="3" borderId="4" xfId="0" applyFont="1" applyFill="1" applyBorder="1" applyAlignment="1">
      <alignment horizontal="center"/>
    </xf>
    <xf numFmtId="0" fontId="3" fillId="3" borderId="4" xfId="0" applyFont="1" applyFill="1" applyBorder="1" applyAlignment="1">
      <alignment horizontal="center" wrapText="1"/>
    </xf>
    <xf numFmtId="0" fontId="3" fillId="3" borderId="5" xfId="0" applyFont="1" applyFill="1" applyBorder="1"/>
    <xf numFmtId="0" fontId="0" fillId="3" borderId="5" xfId="0" applyFill="1" applyBorder="1"/>
    <xf numFmtId="0" fontId="3" fillId="3" borderId="6" xfId="0" applyFont="1" applyFill="1" applyBorder="1"/>
    <xf numFmtId="0" fontId="0" fillId="3" borderId="7" xfId="0" applyFill="1" applyBorder="1"/>
    <xf numFmtId="0" fontId="8" fillId="3" borderId="3" xfId="0" applyFont="1" applyFill="1" applyBorder="1" applyAlignment="1">
      <alignment wrapText="1"/>
    </xf>
    <xf numFmtId="1" fontId="0" fillId="3" borderId="3" xfId="0" applyNumberFormat="1" applyFill="1" applyBorder="1" applyAlignment="1">
      <alignment horizontal="center"/>
    </xf>
    <xf numFmtId="1" fontId="0" fillId="3" borderId="3" xfId="0" quotePrefix="1" applyNumberFormat="1" applyFill="1" applyBorder="1" applyAlignment="1">
      <alignment horizontal="center"/>
    </xf>
    <xf numFmtId="165" fontId="0" fillId="3" borderId="3" xfId="0" applyNumberFormat="1" applyFill="1" applyBorder="1" applyAlignment="1">
      <alignment horizontal="center"/>
    </xf>
    <xf numFmtId="0" fontId="0" fillId="0" borderId="8" xfId="0" applyFill="1" applyBorder="1"/>
    <xf numFmtId="0" fontId="3" fillId="0" borderId="8" xfId="0" applyFont="1" applyFill="1" applyBorder="1" applyAlignment="1">
      <alignment wrapText="1"/>
    </xf>
    <xf numFmtId="0" fontId="0" fillId="0" borderId="9" xfId="0" applyBorder="1" applyAlignment="1">
      <alignment wrapText="1"/>
    </xf>
    <xf numFmtId="0" fontId="0" fillId="0" borderId="8" xfId="0" applyBorder="1"/>
    <xf numFmtId="0" fontId="5" fillId="0" borderId="0" xfId="0" applyFont="1" applyFill="1" applyBorder="1"/>
    <xf numFmtId="0" fontId="3" fillId="0" borderId="0" xfId="0" applyFont="1" applyFill="1" applyBorder="1" applyAlignment="1">
      <alignment wrapText="1"/>
    </xf>
    <xf numFmtId="0" fontId="3" fillId="2" borderId="0" xfId="0" applyFont="1" applyFill="1" applyBorder="1"/>
    <xf numFmtId="0" fontId="0" fillId="0" borderId="0" xfId="0" quotePrefix="1" applyBorder="1"/>
    <xf numFmtId="0" fontId="0" fillId="0" borderId="0" xfId="0" applyBorder="1" applyAlignment="1">
      <alignment wrapText="1"/>
    </xf>
    <xf numFmtId="0" fontId="3" fillId="0" borderId="8" xfId="0" applyFont="1" applyBorder="1" applyAlignment="1">
      <alignment wrapText="1"/>
    </xf>
    <xf numFmtId="0" fontId="0" fillId="0" borderId="8" xfId="0" quotePrefix="1" applyBorder="1"/>
    <xf numFmtId="0" fontId="3" fillId="0" borderId="9" xfId="0" quotePrefix="1" applyFont="1" applyBorder="1" applyAlignment="1">
      <alignment wrapText="1"/>
    </xf>
    <xf numFmtId="0" fontId="3" fillId="0" borderId="0" xfId="0" applyFont="1" applyBorder="1" applyAlignment="1">
      <alignment wrapText="1"/>
    </xf>
    <xf numFmtId="0" fontId="0" fillId="0" borderId="10" xfId="0" applyFill="1" applyBorder="1"/>
    <xf numFmtId="43" fontId="0" fillId="0" borderId="0" xfId="1" applyFont="1"/>
    <xf numFmtId="0" fontId="3" fillId="3" borderId="0" xfId="0" applyFont="1" applyFill="1"/>
    <xf numFmtId="0" fontId="0" fillId="0" borderId="2" xfId="0" applyFill="1" applyBorder="1"/>
    <xf numFmtId="0" fontId="0" fillId="0" borderId="2" xfId="0" applyBorder="1" applyAlignment="1">
      <alignment wrapText="1"/>
    </xf>
    <xf numFmtId="0" fontId="0" fillId="0" borderId="2" xfId="0" quotePrefix="1" applyBorder="1"/>
    <xf numFmtId="0" fontId="7" fillId="0" borderId="11" xfId="0" applyFont="1" applyBorder="1" applyAlignment="1">
      <alignment wrapText="1"/>
    </xf>
    <xf numFmtId="0" fontId="3" fillId="0" borderId="11" xfId="0" quotePrefix="1" applyFont="1" applyBorder="1" applyAlignment="1">
      <alignment wrapText="1"/>
    </xf>
    <xf numFmtId="0" fontId="7" fillId="0" borderId="2" xfId="0" applyFont="1" applyFill="1" applyBorder="1" applyAlignment="1">
      <alignment vertical="top" wrapText="1"/>
    </xf>
    <xf numFmtId="0" fontId="3" fillId="0" borderId="11" xfId="0" applyFont="1" applyBorder="1" applyAlignment="1">
      <alignment wrapText="1"/>
    </xf>
    <xf numFmtId="0" fontId="3" fillId="2" borderId="3" xfId="0" applyFont="1" applyFill="1" applyBorder="1"/>
    <xf numFmtId="0" fontId="3" fillId="2" borderId="3" xfId="0" applyFont="1" applyFill="1" applyBorder="1" applyAlignment="1">
      <alignment wrapText="1"/>
    </xf>
    <xf numFmtId="0" fontId="6" fillId="3" borderId="3" xfId="0" applyFont="1" applyFill="1" applyBorder="1"/>
    <xf numFmtId="4" fontId="8" fillId="3" borderId="3" xfId="0" applyNumberFormat="1" applyFont="1" applyFill="1" applyBorder="1"/>
    <xf numFmtId="3" fontId="0" fillId="3" borderId="3" xfId="0" applyNumberFormat="1" applyFill="1" applyBorder="1"/>
    <xf numFmtId="4" fontId="0" fillId="3" borderId="3" xfId="0" applyNumberFormat="1" applyFill="1" applyBorder="1"/>
    <xf numFmtId="0" fontId="7" fillId="2" borderId="3" xfId="0" applyFont="1" applyFill="1" applyBorder="1" applyAlignment="1">
      <alignment horizontal="right" vertical="top" wrapText="1"/>
    </xf>
    <xf numFmtId="0" fontId="7" fillId="2" borderId="3" xfId="0" applyFont="1" applyFill="1" applyBorder="1" applyAlignment="1">
      <alignment horizontal="left" vertical="top" wrapText="1"/>
    </xf>
    <xf numFmtId="0" fontId="0" fillId="2" borderId="4" xfId="0" applyFill="1" applyBorder="1"/>
    <xf numFmtId="0" fontId="3" fillId="2" borderId="4" xfId="0" applyFont="1" applyFill="1" applyBorder="1"/>
    <xf numFmtId="0" fontId="6" fillId="3" borderId="4" xfId="0" applyFont="1" applyFill="1" applyBorder="1"/>
    <xf numFmtId="0" fontId="0" fillId="3" borderId="4" xfId="0" applyFill="1" applyBorder="1"/>
    <xf numFmtId="0" fontId="3" fillId="0" borderId="3" xfId="0" applyFont="1" applyBorder="1"/>
    <xf numFmtId="0" fontId="3" fillId="0" borderId="3" xfId="0" applyFont="1" applyBorder="1" applyAlignment="1">
      <alignment wrapText="1"/>
    </xf>
    <xf numFmtId="0" fontId="3" fillId="0" borderId="3" xfId="0" applyFont="1" applyFill="1" applyBorder="1"/>
    <xf numFmtId="0" fontId="3" fillId="0" borderId="3" xfId="0" applyFont="1" applyFill="1" applyBorder="1" applyAlignment="1">
      <alignment wrapText="1"/>
    </xf>
    <xf numFmtId="0" fontId="0" fillId="2" borderId="3" xfId="0" applyFill="1" applyBorder="1" applyAlignment="1">
      <alignment horizontal="center"/>
    </xf>
    <xf numFmtId="0" fontId="0" fillId="0" borderId="5" xfId="0" applyFill="1" applyBorder="1"/>
    <xf numFmtId="0" fontId="0" fillId="0" borderId="5" xfId="0" applyBorder="1"/>
    <xf numFmtId="0" fontId="7" fillId="2" borderId="3" xfId="0" applyFont="1" applyFill="1" applyBorder="1" applyAlignment="1">
      <alignment horizontal="center" vertical="top" wrapText="1"/>
    </xf>
    <xf numFmtId="0" fontId="7" fillId="2" borderId="3" xfId="0" applyFont="1" applyFill="1" applyBorder="1" applyAlignment="1">
      <alignment horizontal="center" wrapText="1"/>
    </xf>
    <xf numFmtId="0" fontId="0" fillId="2" borderId="4" xfId="0" applyFill="1" applyBorder="1" applyAlignment="1">
      <alignment horizontal="center"/>
    </xf>
    <xf numFmtId="4" fontId="8" fillId="3" borderId="4" xfId="0" applyNumberFormat="1" applyFont="1" applyFill="1" applyBorder="1"/>
    <xf numFmtId="0" fontId="3" fillId="0" borderId="5" xfId="0" applyFont="1" applyBorder="1" applyAlignment="1">
      <alignment wrapText="1"/>
    </xf>
    <xf numFmtId="0" fontId="3" fillId="0" borderId="6" xfId="0" applyFont="1" applyBorder="1"/>
    <xf numFmtId="0" fontId="3" fillId="0" borderId="2" xfId="0" applyFont="1" applyBorder="1" applyAlignment="1">
      <alignment wrapText="1"/>
    </xf>
    <xf numFmtId="0" fontId="3" fillId="0" borderId="2" xfId="0" applyFont="1" applyFill="1" applyBorder="1" applyAlignment="1">
      <alignment wrapText="1"/>
    </xf>
    <xf numFmtId="0" fontId="0" fillId="0" borderId="11" xfId="0" applyBorder="1" applyAlignment="1">
      <alignment wrapText="1"/>
    </xf>
    <xf numFmtId="0" fontId="3" fillId="0" borderId="2" xfId="0" applyFont="1" applyFill="1" applyBorder="1"/>
    <xf numFmtId="0" fontId="3" fillId="0" borderId="6" xfId="0" applyFont="1" applyBorder="1" applyAlignment="1">
      <alignment wrapText="1"/>
    </xf>
    <xf numFmtId="0" fontId="3" fillId="0" borderId="7" xfId="0" applyFont="1" applyBorder="1" applyAlignment="1">
      <alignment wrapText="1"/>
    </xf>
    <xf numFmtId="0" fontId="3" fillId="0" borderId="6" xfId="0" applyFont="1" applyFill="1" applyBorder="1"/>
    <xf numFmtId="0" fontId="3" fillId="0" borderId="5" xfId="0" applyFont="1" applyFill="1" applyBorder="1"/>
    <xf numFmtId="0" fontId="3" fillId="0" borderId="5" xfId="0" applyFont="1" applyBorder="1"/>
    <xf numFmtId="0" fontId="3" fillId="0" borderId="7" xfId="0" applyFont="1" applyFill="1" applyBorder="1"/>
    <xf numFmtId="0" fontId="3" fillId="0" borderId="6" xfId="0" applyFont="1" applyFill="1" applyBorder="1" applyAlignment="1">
      <alignment wrapText="1"/>
    </xf>
    <xf numFmtId="0" fontId="3" fillId="2" borderId="3" xfId="0" applyFont="1" applyFill="1" applyBorder="1" applyAlignment="1">
      <alignment horizontal="center"/>
    </xf>
    <xf numFmtId="0" fontId="3" fillId="2" borderId="3" xfId="0" applyFont="1" applyFill="1" applyBorder="1" applyAlignment="1">
      <alignment horizontal="center" wrapText="1"/>
    </xf>
    <xf numFmtId="0" fontId="0" fillId="0" borderId="2" xfId="0" quotePrefix="1" applyFill="1" applyBorder="1"/>
    <xf numFmtId="0" fontId="0" fillId="0" borderId="2" xfId="0" applyFill="1" applyBorder="1" applyAlignment="1">
      <alignment wrapText="1"/>
    </xf>
    <xf numFmtId="0" fontId="3" fillId="0" borderId="5" xfId="0" applyFont="1" applyFill="1" applyBorder="1" applyAlignment="1">
      <alignment wrapText="1"/>
    </xf>
    <xf numFmtId="0" fontId="5" fillId="0" borderId="2" xfId="0" applyFont="1" applyFill="1" applyBorder="1"/>
    <xf numFmtId="0" fontId="3" fillId="0" borderId="4" xfId="0" applyFont="1" applyFill="1" applyBorder="1"/>
    <xf numFmtId="0" fontId="3" fillId="0" borderId="4" xfId="0" applyFont="1" applyFill="1" applyBorder="1" applyAlignment="1">
      <alignment wrapText="1"/>
    </xf>
    <xf numFmtId="0" fontId="3" fillId="0" borderId="12" xfId="0" applyFont="1" applyFill="1" applyBorder="1"/>
    <xf numFmtId="0" fontId="3" fillId="0" borderId="11" xfId="0" applyFont="1" applyFill="1" applyBorder="1" applyAlignment="1">
      <alignment wrapText="1"/>
    </xf>
    <xf numFmtId="0" fontId="3" fillId="0" borderId="13" xfId="0" applyFont="1" applyBorder="1"/>
    <xf numFmtId="0" fontId="7" fillId="0" borderId="13" xfId="0" applyFont="1" applyBorder="1" applyAlignment="1">
      <alignment wrapText="1"/>
    </xf>
    <xf numFmtId="0" fontId="7" fillId="0" borderId="4" xfId="0" applyFont="1" applyBorder="1" applyAlignment="1">
      <alignment wrapText="1"/>
    </xf>
    <xf numFmtId="0" fontId="0" fillId="0" borderId="4" xfId="0" applyBorder="1"/>
    <xf numFmtId="0" fontId="6" fillId="0" borderId="2" xfId="0" applyFont="1" applyBorder="1" applyAlignment="1">
      <alignment wrapText="1"/>
    </xf>
    <xf numFmtId="0" fontId="0" fillId="0" borderId="11" xfId="0" applyBorder="1"/>
    <xf numFmtId="0" fontId="3" fillId="0" borderId="2" xfId="0" quotePrefix="1" applyFont="1" applyBorder="1" applyAlignment="1">
      <alignment wrapText="1"/>
    </xf>
    <xf numFmtId="0" fontId="3" fillId="0" borderId="11" xfId="0" quotePrefix="1" applyFont="1" applyBorder="1"/>
    <xf numFmtId="0" fontId="3" fillId="0" borderId="2" xfId="0" quotePrefix="1" applyFont="1" applyBorder="1"/>
    <xf numFmtId="17" fontId="7" fillId="2" borderId="3" xfId="0" applyNumberFormat="1" applyFont="1" applyFill="1" applyBorder="1" applyAlignment="1">
      <alignment horizontal="center" vertical="top" wrapText="1"/>
    </xf>
    <xf numFmtId="0" fontId="7" fillId="2" borderId="3" xfId="0" applyFont="1" applyFill="1" applyBorder="1" applyAlignment="1">
      <alignment horizontal="right" wrapText="1"/>
    </xf>
    <xf numFmtId="3" fontId="8" fillId="3" borderId="3" xfId="0" applyNumberFormat="1" applyFont="1" applyFill="1" applyBorder="1"/>
    <xf numFmtId="3" fontId="6" fillId="3" borderId="3" xfId="0" applyNumberFormat="1" applyFont="1" applyFill="1" applyBorder="1"/>
    <xf numFmtId="0" fontId="0" fillId="2" borderId="3" xfId="0" applyFill="1" applyBorder="1" applyAlignment="1">
      <alignment horizontal="right"/>
    </xf>
    <xf numFmtId="4" fontId="6" fillId="3" borderId="3" xfId="0" applyNumberFormat="1" applyFont="1" applyFill="1" applyBorder="1"/>
    <xf numFmtId="3" fontId="1" fillId="3" borderId="3" xfId="0" applyNumberFormat="1" applyFont="1" applyFill="1" applyBorder="1"/>
    <xf numFmtId="0" fontId="1" fillId="3" borderId="3" xfId="0" applyFont="1" applyFill="1" applyBorder="1"/>
    <xf numFmtId="0" fontId="3" fillId="0" borderId="11" xfId="0" applyFont="1" applyBorder="1"/>
    <xf numFmtId="0" fontId="3" fillId="0" borderId="2" xfId="0" quotePrefix="1" applyFont="1" applyFill="1" applyBorder="1" applyAlignment="1">
      <alignment wrapText="1"/>
    </xf>
    <xf numFmtId="0" fontId="12" fillId="0" borderId="2" xfId="0" applyFont="1" applyBorder="1" applyAlignment="1">
      <alignment wrapText="1"/>
    </xf>
    <xf numFmtId="4" fontId="8" fillId="0" borderId="2" xfId="0" applyNumberFormat="1" applyFont="1" applyFill="1" applyBorder="1"/>
    <xf numFmtId="0" fontId="3" fillId="0" borderId="2" xfId="0" quotePrefix="1" applyFont="1" applyFill="1" applyBorder="1"/>
    <xf numFmtId="0" fontId="0" fillId="2" borderId="3" xfId="0" quotePrefix="1" applyFill="1" applyBorder="1"/>
    <xf numFmtId="0" fontId="3" fillId="0" borderId="8" xfId="0" applyFont="1" applyBorder="1"/>
    <xf numFmtId="0" fontId="3" fillId="0" borderId="8" xfId="0" applyFont="1" applyFill="1" applyBorder="1"/>
    <xf numFmtId="0" fontId="3" fillId="0" borderId="9" xfId="0" applyFont="1" applyFill="1" applyBorder="1"/>
    <xf numFmtId="0" fontId="3" fillId="2" borderId="8" xfId="0" applyFont="1" applyFill="1" applyBorder="1"/>
    <xf numFmtId="0" fontId="8" fillId="3" borderId="8" xfId="0" applyFont="1" applyFill="1" applyBorder="1"/>
    <xf numFmtId="0" fontId="3" fillId="3" borderId="8" xfId="0" applyFont="1" applyFill="1" applyBorder="1"/>
    <xf numFmtId="0" fontId="3" fillId="0" borderId="2" xfId="0" applyFont="1" applyBorder="1"/>
    <xf numFmtId="0" fontId="0" fillId="0" borderId="5" xfId="0" applyBorder="1" applyAlignment="1">
      <alignment horizontal="center"/>
    </xf>
    <xf numFmtId="0" fontId="0" fillId="2" borderId="3" xfId="0" quotePrefix="1" applyFill="1" applyBorder="1" applyAlignment="1">
      <alignment horizontal="center"/>
    </xf>
    <xf numFmtId="0" fontId="15" fillId="3" borderId="3" xfId="0" applyFont="1" applyFill="1" applyBorder="1"/>
    <xf numFmtId="3" fontId="15" fillId="3" borderId="3" xfId="0" applyNumberFormat="1" applyFont="1" applyFill="1" applyBorder="1"/>
    <xf numFmtId="0" fontId="8" fillId="3" borderId="3" xfId="0" applyFont="1" applyFill="1" applyBorder="1"/>
    <xf numFmtId="0" fontId="7" fillId="2" borderId="3" xfId="0" quotePrefix="1" applyFont="1" applyFill="1" applyBorder="1" applyAlignment="1">
      <alignment horizontal="center" wrapText="1"/>
    </xf>
    <xf numFmtId="0" fontId="3" fillId="2" borderId="3" xfId="0" quotePrefix="1" applyFont="1" applyFill="1" applyBorder="1" applyAlignment="1">
      <alignment horizontal="center"/>
    </xf>
    <xf numFmtId="3" fontId="0" fillId="3" borderId="3" xfId="0" applyNumberFormat="1" applyFill="1" applyBorder="1" applyAlignment="1">
      <alignment horizontal="right"/>
    </xf>
    <xf numFmtId="0" fontId="0" fillId="0" borderId="0" xfId="0" applyFill="1" applyAlignment="1">
      <alignment horizontal="center"/>
    </xf>
    <xf numFmtId="0" fontId="8" fillId="0" borderId="0" xfId="0" applyFont="1" applyFill="1"/>
    <xf numFmtId="0" fontId="8" fillId="0" borderId="0" xfId="0" applyFont="1" applyFill="1" applyBorder="1"/>
    <xf numFmtId="4" fontId="8" fillId="0" borderId="0" xfId="0" applyNumberFormat="1" applyFont="1" applyFill="1" applyBorder="1"/>
    <xf numFmtId="4" fontId="8" fillId="3" borderId="3" xfId="0" applyNumberFormat="1" applyFont="1" applyFill="1" applyBorder="1" applyAlignment="1">
      <alignment horizontal="center"/>
    </xf>
    <xf numFmtId="4" fontId="8" fillId="3" borderId="3" xfId="0" quotePrefix="1" applyNumberFormat="1" applyFont="1" applyFill="1" applyBorder="1" applyAlignment="1">
      <alignment horizontal="center"/>
    </xf>
    <xf numFmtId="4" fontId="0" fillId="3" borderId="3" xfId="0" applyNumberFormat="1" applyFill="1" applyBorder="1" applyAlignment="1">
      <alignment horizontal="center"/>
    </xf>
    <xf numFmtId="0" fontId="7" fillId="2" borderId="3" xfId="0" applyFont="1" applyFill="1" applyBorder="1" applyAlignment="1">
      <alignment wrapText="1"/>
    </xf>
    <xf numFmtId="0" fontId="0" fillId="4" borderId="0" xfId="0" applyFill="1"/>
    <xf numFmtId="0" fontId="3" fillId="4" borderId="0" xfId="0" applyFont="1" applyFill="1" applyAlignment="1">
      <alignment horizontal="left" vertical="top" wrapText="1"/>
    </xf>
    <xf numFmtId="0" fontId="3" fillId="4" borderId="0" xfId="0" applyFont="1" applyFill="1" applyBorder="1" applyAlignment="1">
      <alignment horizontal="left" vertical="top" wrapText="1"/>
    </xf>
    <xf numFmtId="0" fontId="6" fillId="4" borderId="0" xfId="0" applyFont="1" applyFill="1" applyAlignment="1">
      <alignment horizontal="left" vertical="top" wrapText="1"/>
    </xf>
    <xf numFmtId="0" fontId="6" fillId="4" borderId="0" xfId="0" applyFont="1" applyFill="1" applyBorder="1"/>
    <xf numFmtId="0" fontId="0" fillId="4" borderId="0" xfId="0" applyFill="1" applyAlignment="1">
      <alignment horizontal="left" vertical="top" wrapText="1"/>
    </xf>
    <xf numFmtId="0" fontId="0" fillId="4" borderId="0" xfId="0" applyNumberFormat="1" applyFill="1" applyAlignment="1">
      <alignment horizontal="left" vertical="top" wrapText="1"/>
    </xf>
    <xf numFmtId="0" fontId="19" fillId="4" borderId="2" xfId="0" applyFont="1" applyFill="1" applyBorder="1" applyAlignment="1">
      <alignment horizontal="left" vertical="top" wrapText="1"/>
    </xf>
    <xf numFmtId="0" fontId="17" fillId="4" borderId="2" xfId="0" applyFont="1" applyFill="1" applyBorder="1" applyAlignment="1">
      <alignment horizontal="left" vertical="top" wrapText="1"/>
    </xf>
    <xf numFmtId="0" fontId="18" fillId="4" borderId="2" xfId="0" applyFont="1" applyFill="1" applyBorder="1" applyAlignment="1">
      <alignment horizontal="left" vertical="top" wrapText="1"/>
    </xf>
    <xf numFmtId="0" fontId="3" fillId="4" borderId="0" xfId="0" applyFont="1" applyFill="1" applyAlignment="1">
      <alignment wrapText="1"/>
    </xf>
    <xf numFmtId="0" fontId="6" fillId="4" borderId="0" xfId="0" applyFont="1" applyFill="1" applyAlignment="1">
      <alignment wrapText="1"/>
    </xf>
    <xf numFmtId="0" fontId="3" fillId="3" borderId="3" xfId="0" applyFont="1" applyFill="1" applyBorder="1" applyAlignment="1">
      <alignment horizontal="left" wrapText="1"/>
    </xf>
    <xf numFmtId="0" fontId="3" fillId="2" borderId="7" xfId="0" applyFont="1" applyFill="1" applyBorder="1" applyAlignment="1">
      <alignment wrapText="1"/>
    </xf>
    <xf numFmtId="0" fontId="6" fillId="2" borderId="3" xfId="0" applyFont="1" applyFill="1" applyBorder="1" applyAlignment="1">
      <alignment wrapText="1"/>
    </xf>
    <xf numFmtId="0" fontId="0" fillId="2" borderId="3" xfId="0" applyFill="1" applyBorder="1" applyAlignment="1">
      <alignment wrapText="1"/>
    </xf>
    <xf numFmtId="4" fontId="0" fillId="2" borderId="3" xfId="0" applyNumberFormat="1" applyFill="1" applyBorder="1" applyAlignment="1">
      <alignment wrapText="1"/>
    </xf>
    <xf numFmtId="0" fontId="3" fillId="3" borderId="14" xfId="0" applyFont="1" applyFill="1" applyBorder="1"/>
    <xf numFmtId="0" fontId="3" fillId="0" borderId="15" xfId="0" applyFont="1" applyBorder="1"/>
    <xf numFmtId="0" fontId="3" fillId="3" borderId="16" xfId="0" applyFont="1" applyFill="1" applyBorder="1"/>
    <xf numFmtId="0" fontId="3" fillId="3" borderId="15" xfId="0" applyFont="1" applyFill="1" applyBorder="1"/>
    <xf numFmtId="0" fontId="3" fillId="3" borderId="17" xfId="0" applyFont="1" applyFill="1" applyBorder="1"/>
    <xf numFmtId="0" fontId="3" fillId="2" borderId="17" xfId="0" applyFont="1" applyFill="1" applyBorder="1" applyAlignment="1">
      <alignment wrapText="1"/>
    </xf>
    <xf numFmtId="0" fontId="0" fillId="3" borderId="14" xfId="0" applyFill="1" applyBorder="1" applyAlignment="1">
      <alignment horizontal="center"/>
    </xf>
    <xf numFmtId="0" fontId="0" fillId="2" borderId="14" xfId="0" applyFill="1" applyBorder="1" applyAlignment="1">
      <alignment wrapText="1"/>
    </xf>
    <xf numFmtId="0" fontId="0" fillId="0" borderId="15" xfId="0" applyBorder="1"/>
    <xf numFmtId="0" fontId="3" fillId="3" borderId="17" xfId="0" quotePrefix="1" applyFont="1" applyFill="1" applyBorder="1" applyAlignment="1">
      <alignment horizontal="center"/>
    </xf>
    <xf numFmtId="0" fontId="0" fillId="0" borderId="0" xfId="0" applyAlignment="1"/>
    <xf numFmtId="0" fontId="1" fillId="0" borderId="0" xfId="0" applyFont="1"/>
    <xf numFmtId="0" fontId="1" fillId="0" borderId="0" xfId="0" applyFont="1" applyFill="1"/>
    <xf numFmtId="0" fontId="21" fillId="3" borderId="4" xfId="0" applyFont="1" applyFill="1" applyBorder="1"/>
    <xf numFmtId="3" fontId="21" fillId="3" borderId="3" xfId="0" applyNumberFormat="1" applyFont="1" applyFill="1" applyBorder="1"/>
    <xf numFmtId="0" fontId="21" fillId="3" borderId="3" xfId="0" applyFont="1" applyFill="1" applyBorder="1"/>
    <xf numFmtId="168" fontId="20" fillId="3" borderId="3" xfId="0" applyNumberFormat="1" applyFont="1" applyFill="1" applyBorder="1"/>
    <xf numFmtId="4" fontId="21" fillId="3" borderId="3" xfId="0" applyNumberFormat="1" applyFont="1" applyFill="1" applyBorder="1"/>
    <xf numFmtId="168" fontId="21" fillId="3" borderId="3" xfId="0" applyNumberFormat="1" applyFont="1" applyFill="1" applyBorder="1"/>
    <xf numFmtId="0" fontId="21" fillId="0" borderId="0" xfId="0" applyFont="1" applyFill="1"/>
    <xf numFmtId="0" fontId="21" fillId="0" borderId="0" xfId="0" applyFont="1"/>
    <xf numFmtId="0" fontId="22" fillId="3" borderId="3" xfId="0" applyFont="1" applyFill="1" applyBorder="1" applyAlignment="1">
      <alignment wrapText="1"/>
    </xf>
    <xf numFmtId="4" fontId="20" fillId="3" borderId="4" xfId="0" applyNumberFormat="1" applyFont="1" applyFill="1" applyBorder="1"/>
    <xf numFmtId="3" fontId="21" fillId="3" borderId="4" xfId="0" applyNumberFormat="1" applyFont="1" applyFill="1" applyBorder="1"/>
    <xf numFmtId="4" fontId="8" fillId="3" borderId="3" xfId="0" quotePrefix="1" applyNumberFormat="1" applyFont="1" applyFill="1" applyBorder="1"/>
    <xf numFmtId="0" fontId="20" fillId="2" borderId="3" xfId="0" applyFont="1" applyFill="1" applyBorder="1" applyAlignment="1">
      <alignment wrapText="1"/>
    </xf>
    <xf numFmtId="0" fontId="21" fillId="2" borderId="4" xfId="0" applyFont="1" applyFill="1" applyBorder="1"/>
    <xf numFmtId="0" fontId="21" fillId="2" borderId="3" xfId="0" applyFont="1" applyFill="1" applyBorder="1"/>
    <xf numFmtId="3" fontId="21" fillId="2" borderId="3" xfId="0" applyNumberFormat="1" applyFont="1" applyFill="1" applyBorder="1"/>
    <xf numFmtId="3" fontId="21" fillId="0" borderId="0" xfId="0" applyNumberFormat="1" applyFont="1" applyFill="1"/>
    <xf numFmtId="3" fontId="21" fillId="2" borderId="4" xfId="0" applyNumberFormat="1" applyFont="1" applyFill="1" applyBorder="1"/>
    <xf numFmtId="3" fontId="21" fillId="2" borderId="4" xfId="0" quotePrefix="1" applyNumberFormat="1" applyFont="1" applyFill="1" applyBorder="1" applyAlignment="1">
      <alignment horizontal="center"/>
    </xf>
    <xf numFmtId="3" fontId="21" fillId="2" borderId="3" xfId="0" quotePrefix="1" applyNumberFormat="1" applyFont="1" applyFill="1" applyBorder="1" applyAlignment="1">
      <alignment horizontal="center"/>
    </xf>
    <xf numFmtId="0" fontId="1" fillId="2" borderId="3" xfId="0" applyFont="1" applyFill="1" applyBorder="1"/>
    <xf numFmtId="3" fontId="1" fillId="2" borderId="3" xfId="0" applyNumberFormat="1" applyFont="1" applyFill="1" applyBorder="1"/>
    <xf numFmtId="0" fontId="20" fillId="0" borderId="0" xfId="0" applyFont="1" applyFill="1"/>
    <xf numFmtId="3" fontId="21" fillId="0" borderId="0" xfId="0" applyNumberFormat="1" applyFont="1" applyFill="1" applyBorder="1"/>
    <xf numFmtId="0" fontId="21" fillId="0" borderId="0" xfId="0" applyFont="1" applyFill="1" applyBorder="1"/>
    <xf numFmtId="0" fontId="20" fillId="0" borderId="8" xfId="0" applyFont="1" applyFill="1" applyBorder="1"/>
    <xf numFmtId="0" fontId="21" fillId="2" borderId="3" xfId="0" quotePrefix="1" applyFont="1" applyFill="1" applyBorder="1" applyAlignment="1">
      <alignment horizontal="center"/>
    </xf>
    <xf numFmtId="3" fontId="21" fillId="2" borderId="3" xfId="0" quotePrefix="1" applyNumberFormat="1" applyFont="1" applyFill="1" applyBorder="1"/>
    <xf numFmtId="3" fontId="21" fillId="2" borderId="3" xfId="0" applyNumberFormat="1" applyFont="1" applyFill="1" applyBorder="1" applyAlignment="1">
      <alignment horizontal="center"/>
    </xf>
    <xf numFmtId="0" fontId="0" fillId="6" borderId="0" xfId="0" applyFill="1"/>
    <xf numFmtId="0" fontId="0" fillId="6" borderId="3" xfId="0" applyFill="1" applyBorder="1" applyAlignment="1">
      <alignment wrapText="1"/>
    </xf>
    <xf numFmtId="0" fontId="6" fillId="6" borderId="3" xfId="0" applyFont="1" applyFill="1" applyBorder="1" applyAlignment="1">
      <alignment horizontal="center" wrapText="1"/>
    </xf>
    <xf numFmtId="0" fontId="3" fillId="6" borderId="3" xfId="0" applyFont="1" applyFill="1" applyBorder="1" applyAlignment="1">
      <alignment wrapText="1"/>
    </xf>
    <xf numFmtId="0" fontId="6" fillId="6" borderId="18" xfId="0" applyFont="1" applyFill="1" applyBorder="1" applyAlignment="1">
      <alignment horizontal="center" wrapText="1"/>
    </xf>
    <xf numFmtId="0" fontId="0" fillId="6" borderId="3" xfId="0" applyFill="1" applyBorder="1" applyAlignment="1">
      <alignment horizontal="center" wrapText="1"/>
    </xf>
    <xf numFmtId="0" fontId="0" fillId="6" borderId="6" xfId="0" applyFill="1" applyBorder="1" applyAlignment="1">
      <alignment wrapText="1"/>
    </xf>
    <xf numFmtId="0" fontId="0" fillId="6" borderId="7" xfId="0" applyFill="1" applyBorder="1" applyAlignment="1"/>
    <xf numFmtId="0" fontId="0" fillId="6" borderId="3" xfId="0" applyFill="1" applyBorder="1"/>
    <xf numFmtId="0" fontId="6" fillId="6" borderId="3" xfId="0" applyFont="1" applyFill="1" applyBorder="1"/>
    <xf numFmtId="0" fontId="6" fillId="6" borderId="0" xfId="0" applyFont="1" applyFill="1"/>
    <xf numFmtId="0" fontId="6" fillId="6" borderId="6" xfId="0" applyFont="1" applyFill="1" applyBorder="1" applyAlignment="1">
      <alignment wrapText="1"/>
    </xf>
    <xf numFmtId="3" fontId="6" fillId="7" borderId="3" xfId="0" applyNumberFormat="1" applyFont="1" applyFill="1" applyBorder="1" applyProtection="1">
      <protection locked="0"/>
    </xf>
    <xf numFmtId="0" fontId="6" fillId="2" borderId="3" xfId="0" applyFont="1" applyFill="1" applyBorder="1"/>
    <xf numFmtId="0" fontId="6" fillId="0" borderId="0" xfId="0" applyFont="1" applyFill="1" applyBorder="1"/>
    <xf numFmtId="3" fontId="0" fillId="6" borderId="3" xfId="0" applyNumberFormat="1" applyFill="1" applyBorder="1"/>
    <xf numFmtId="168" fontId="0" fillId="6" borderId="3" xfId="0" applyNumberFormat="1" applyFill="1" applyBorder="1"/>
    <xf numFmtId="0" fontId="6" fillId="3" borderId="3" xfId="0" applyFont="1" applyFill="1" applyBorder="1" applyAlignment="1">
      <alignment wrapText="1"/>
    </xf>
    <xf numFmtId="0" fontId="6" fillId="3" borderId="14" xfId="0" applyFont="1" applyFill="1" applyBorder="1"/>
    <xf numFmtId="0" fontId="0" fillId="8" borderId="3" xfId="0" applyFill="1" applyBorder="1"/>
    <xf numFmtId="0" fontId="7" fillId="8" borderId="3" xfId="0" applyFont="1" applyFill="1" applyBorder="1" applyAlignment="1">
      <alignment horizontal="center" wrapText="1"/>
    </xf>
    <xf numFmtId="3" fontId="1" fillId="2" borderId="4" xfId="0" applyNumberFormat="1" applyFont="1" applyFill="1" applyBorder="1"/>
    <xf numFmtId="0" fontId="0" fillId="0" borderId="6" xfId="0" quotePrefix="1" applyBorder="1"/>
    <xf numFmtId="0" fontId="6" fillId="7" borderId="7" xfId="0" applyFont="1" applyFill="1" applyBorder="1"/>
    <xf numFmtId="0" fontId="0" fillId="2" borderId="18" xfId="0" applyFill="1" applyBorder="1"/>
    <xf numFmtId="0" fontId="1" fillId="2" borderId="18" xfId="0" applyFont="1" applyFill="1" applyBorder="1"/>
    <xf numFmtId="3" fontId="6" fillId="3" borderId="18" xfId="0" applyNumberFormat="1" applyFont="1" applyFill="1" applyBorder="1"/>
    <xf numFmtId="3" fontId="6" fillId="3" borderId="4" xfId="0" applyNumberFormat="1" applyFont="1" applyFill="1" applyBorder="1"/>
    <xf numFmtId="0" fontId="1" fillId="2" borderId="4" xfId="0" applyFont="1" applyFill="1" applyBorder="1"/>
    <xf numFmtId="0" fontId="0" fillId="0" borderId="6" xfId="0" applyFill="1" applyBorder="1"/>
    <xf numFmtId="0" fontId="6" fillId="0" borderId="5" xfId="0" applyFont="1" applyFill="1" applyBorder="1"/>
    <xf numFmtId="0" fontId="0" fillId="0" borderId="7" xfId="0" applyBorder="1"/>
    <xf numFmtId="0" fontId="7" fillId="8" borderId="3" xfId="0" applyFont="1" applyFill="1" applyBorder="1" applyAlignment="1">
      <alignment horizontal="right" wrapText="1"/>
    </xf>
    <xf numFmtId="0" fontId="0" fillId="8" borderId="3" xfId="0" applyFill="1" applyBorder="1" applyAlignment="1">
      <alignment horizontal="right"/>
    </xf>
    <xf numFmtId="3" fontId="6" fillId="8" borderId="3" xfId="0" applyNumberFormat="1" applyFont="1" applyFill="1" applyBorder="1"/>
    <xf numFmtId="0" fontId="6" fillId="0" borderId="0" xfId="0" applyFont="1" applyAlignment="1">
      <alignment horizontal="left" wrapText="1"/>
    </xf>
    <xf numFmtId="3" fontId="1" fillId="3" borderId="3" xfId="0" applyNumberFormat="1" applyFont="1" applyFill="1" applyBorder="1" applyAlignment="1">
      <alignment horizontal="right"/>
    </xf>
    <xf numFmtId="3" fontId="6" fillId="3" borderId="3" xfId="0" quotePrefix="1" applyNumberFormat="1" applyFont="1" applyFill="1" applyBorder="1" applyAlignment="1">
      <alignment horizontal="right"/>
    </xf>
    <xf numFmtId="3" fontId="0" fillId="3" borderId="3" xfId="0" quotePrefix="1" applyNumberFormat="1" applyFill="1" applyBorder="1" applyAlignment="1">
      <alignment horizontal="right"/>
    </xf>
    <xf numFmtId="3" fontId="8" fillId="3" borderId="3" xfId="0" applyNumberFormat="1" applyFont="1" applyFill="1" applyBorder="1" applyAlignment="1">
      <alignment horizontal="right"/>
    </xf>
    <xf numFmtId="0" fontId="0" fillId="7" borderId="3" xfId="0" applyFill="1" applyBorder="1" applyAlignment="1">
      <alignment horizontal="center" wrapText="1"/>
    </xf>
    <xf numFmtId="0" fontId="6" fillId="7" borderId="3" xfId="0" applyFont="1" applyFill="1" applyBorder="1"/>
    <xf numFmtId="0" fontId="0" fillId="7" borderId="3" xfId="0" applyFill="1" applyBorder="1"/>
    <xf numFmtId="0" fontId="37" fillId="0" borderId="0" xfId="0" applyFont="1"/>
    <xf numFmtId="0" fontId="6" fillId="7" borderId="3" xfId="0" applyFont="1" applyFill="1" applyBorder="1" applyAlignment="1">
      <alignment horizontal="center" wrapText="1"/>
    </xf>
    <xf numFmtId="4" fontId="38" fillId="3" borderId="3" xfId="0" applyNumberFormat="1" applyFont="1" applyFill="1" applyBorder="1"/>
    <xf numFmtId="43" fontId="6" fillId="0" borderId="0" xfId="1" applyNumberFormat="1" applyFont="1"/>
    <xf numFmtId="0" fontId="39" fillId="0" borderId="0" xfId="0" applyFont="1" applyBorder="1" applyAlignment="1">
      <alignment vertical="top" wrapText="1"/>
    </xf>
    <xf numFmtId="0" fontId="40" fillId="2" borderId="3" xfId="0" applyFont="1" applyFill="1" applyBorder="1"/>
    <xf numFmtId="0" fontId="41" fillId="0" borderId="0" xfId="0" applyFont="1" applyFill="1"/>
    <xf numFmtId="0" fontId="41" fillId="2" borderId="3" xfId="0" applyFont="1" applyFill="1" applyBorder="1"/>
    <xf numFmtId="3" fontId="41" fillId="2" borderId="3" xfId="0" applyNumberFormat="1" applyFont="1" applyFill="1" applyBorder="1"/>
    <xf numFmtId="0" fontId="38" fillId="0" borderId="0" xfId="0" applyFont="1"/>
    <xf numFmtId="0" fontId="38" fillId="0" borderId="0" xfId="0" applyFont="1" applyFill="1"/>
    <xf numFmtId="0" fontId="42" fillId="0" borderId="0" xfId="0" applyFont="1" applyBorder="1" applyAlignment="1">
      <alignment wrapText="1"/>
    </xf>
    <xf numFmtId="0" fontId="37" fillId="2" borderId="3" xfId="0" applyFont="1" applyFill="1" applyBorder="1"/>
    <xf numFmtId="0" fontId="38" fillId="2" borderId="3" xfId="0" applyFont="1" applyFill="1" applyBorder="1"/>
    <xf numFmtId="3" fontId="38" fillId="2" borderId="3" xfId="0" applyNumberFormat="1" applyFont="1" applyFill="1" applyBorder="1"/>
    <xf numFmtId="0" fontId="38" fillId="0" borderId="1" xfId="0" applyFont="1" applyBorder="1" applyAlignment="1">
      <alignment wrapText="1"/>
    </xf>
    <xf numFmtId="0" fontId="6" fillId="7" borderId="0" xfId="0" applyFont="1" applyFill="1"/>
    <xf numFmtId="3" fontId="6" fillId="2" borderId="3" xfId="0" applyNumberFormat="1" applyFont="1" applyFill="1" applyBorder="1"/>
    <xf numFmtId="0" fontId="21" fillId="2" borderId="18" xfId="0" applyFont="1" applyFill="1" applyBorder="1"/>
    <xf numFmtId="0" fontId="0" fillId="3" borderId="18" xfId="0" applyFill="1" applyBorder="1"/>
    <xf numFmtId="3" fontId="21" fillId="2" borderId="18" xfId="0" applyNumberFormat="1" applyFont="1" applyFill="1" applyBorder="1"/>
    <xf numFmtId="4" fontId="0" fillId="3" borderId="18" xfId="0" applyNumberFormat="1" applyFill="1" applyBorder="1"/>
    <xf numFmtId="0" fontId="6" fillId="0" borderId="8" xfId="0" applyFont="1" applyBorder="1"/>
    <xf numFmtId="0" fontId="3" fillId="0" borderId="9" xfId="0" applyFont="1" applyBorder="1"/>
    <xf numFmtId="4" fontId="0" fillId="2" borderId="3" xfId="0" applyNumberFormat="1" applyFill="1" applyBorder="1"/>
    <xf numFmtId="0" fontId="21" fillId="8" borderId="3" xfId="0" applyFont="1" applyFill="1" applyBorder="1"/>
    <xf numFmtId="3" fontId="21" fillId="8" borderId="3" xfId="0" applyNumberFormat="1" applyFont="1" applyFill="1" applyBorder="1"/>
    <xf numFmtId="0" fontId="0" fillId="0" borderId="0" xfId="0" applyFill="1" applyAlignment="1">
      <alignment wrapText="1"/>
    </xf>
    <xf numFmtId="4" fontId="37" fillId="3" borderId="3" xfId="0" applyNumberFormat="1" applyFont="1" applyFill="1" applyBorder="1" applyAlignment="1">
      <alignment horizontal="center"/>
    </xf>
    <xf numFmtId="0" fontId="6" fillId="8" borderId="3" xfId="0" applyFont="1" applyFill="1" applyBorder="1"/>
    <xf numFmtId="0" fontId="7" fillId="8" borderId="3" xfId="0" applyFont="1" applyFill="1" applyBorder="1" applyAlignment="1">
      <alignment horizontal="center" vertical="top" wrapText="1"/>
    </xf>
    <xf numFmtId="0" fontId="0" fillId="8" borderId="4" xfId="0" applyFill="1" applyBorder="1"/>
    <xf numFmtId="0" fontId="0" fillId="7" borderId="0" xfId="0" applyFill="1"/>
    <xf numFmtId="3" fontId="37" fillId="3" borderId="3" xfId="0" applyNumberFormat="1" applyFont="1" applyFill="1" applyBorder="1"/>
    <xf numFmtId="0" fontId="6" fillId="0" borderId="1" xfId="0" applyFont="1" applyBorder="1"/>
    <xf numFmtId="0" fontId="0" fillId="8" borderId="3" xfId="0" applyFill="1" applyBorder="1" applyAlignment="1">
      <alignment horizontal="center"/>
    </xf>
    <xf numFmtId="0" fontId="0" fillId="8" borderId="4" xfId="0" applyFill="1" applyBorder="1" applyAlignment="1">
      <alignment horizontal="center"/>
    </xf>
    <xf numFmtId="0" fontId="3" fillId="6" borderId="3" xfId="0" applyFont="1" applyFill="1" applyBorder="1" applyAlignment="1">
      <alignment horizontal="center"/>
    </xf>
    <xf numFmtId="0" fontId="6" fillId="6" borderId="7" xfId="0" applyFont="1" applyFill="1" applyBorder="1"/>
    <xf numFmtId="0" fontId="0" fillId="6" borderId="18" xfId="0" applyFill="1" applyBorder="1" applyAlignment="1">
      <alignment horizontal="center" wrapText="1"/>
    </xf>
    <xf numFmtId="3" fontId="6" fillId="6" borderId="18" xfId="0" applyNumberFormat="1" applyFont="1" applyFill="1" applyBorder="1" applyProtection="1">
      <protection locked="0"/>
    </xf>
    <xf numFmtId="0" fontId="6" fillId="6" borderId="7" xfId="0" applyFont="1" applyFill="1" applyBorder="1" applyAlignment="1"/>
    <xf numFmtId="0" fontId="0" fillId="6" borderId="4" xfId="0" applyFill="1" applyBorder="1" applyAlignment="1">
      <alignment horizontal="center" wrapText="1"/>
    </xf>
    <xf numFmtId="3" fontId="6" fillId="6" borderId="4" xfId="0" applyNumberFormat="1" applyFont="1" applyFill="1" applyBorder="1" applyProtection="1">
      <protection locked="0"/>
    </xf>
    <xf numFmtId="3" fontId="6" fillId="6" borderId="3" xfId="0" applyNumberFormat="1" applyFont="1" applyFill="1" applyBorder="1" applyAlignment="1">
      <alignment horizontal="center" wrapText="1"/>
    </xf>
    <xf numFmtId="168" fontId="6" fillId="6" borderId="3" xfId="0" applyNumberFormat="1" applyFont="1" applyFill="1" applyBorder="1" applyAlignment="1">
      <alignment horizontal="center"/>
    </xf>
    <xf numFmtId="168" fontId="6" fillId="6" borderId="3" xfId="0" applyNumberFormat="1" applyFont="1" applyFill="1" applyBorder="1" applyAlignment="1">
      <alignment horizontal="center" wrapText="1"/>
    </xf>
    <xf numFmtId="0" fontId="0" fillId="6" borderId="7" xfId="0" applyFill="1" applyBorder="1"/>
    <xf numFmtId="0" fontId="3" fillId="7" borderId="0" xfId="0" applyFont="1" applyFill="1"/>
    <xf numFmtId="0" fontId="3" fillId="7" borderId="0" xfId="0" applyFont="1" applyFill="1" applyAlignment="1">
      <alignment horizontal="center"/>
    </xf>
    <xf numFmtId="0" fontId="6" fillId="7" borderId="0" xfId="0" applyFont="1" applyFill="1" applyBorder="1" applyAlignment="1">
      <alignment horizontal="left"/>
    </xf>
    <xf numFmtId="0" fontId="6" fillId="7" borderId="0" xfId="0" applyFont="1" applyFill="1" applyBorder="1" applyAlignment="1">
      <alignment horizontal="center"/>
    </xf>
    <xf numFmtId="0" fontId="0" fillId="7" borderId="0" xfId="0" applyFill="1" applyAlignment="1">
      <alignment horizontal="center"/>
    </xf>
    <xf numFmtId="0" fontId="0" fillId="7" borderId="0" xfId="0" applyFill="1" applyAlignment="1">
      <alignment wrapText="1"/>
    </xf>
    <xf numFmtId="0" fontId="7" fillId="8" borderId="3" xfId="0" applyFont="1" applyFill="1" applyBorder="1" applyAlignment="1">
      <alignment horizontal="right" vertical="top" wrapText="1"/>
    </xf>
    <xf numFmtId="0" fontId="0" fillId="0" borderId="6" xfId="0" applyBorder="1"/>
    <xf numFmtId="3" fontId="20" fillId="3" borderId="3" xfId="0" applyNumberFormat="1" applyFont="1" applyFill="1" applyBorder="1"/>
    <xf numFmtId="0" fontId="6" fillId="7" borderId="3" xfId="0" applyFont="1" applyFill="1" applyBorder="1" applyAlignment="1">
      <alignment horizontal="center"/>
    </xf>
    <xf numFmtId="0" fontId="6" fillId="0" borderId="19" xfId="0" applyFont="1" applyFill="1" applyBorder="1" applyAlignment="1" applyProtection="1">
      <alignment horizontal="center" wrapText="1"/>
      <protection locked="0"/>
    </xf>
    <xf numFmtId="0" fontId="6" fillId="0" borderId="20" xfId="0" applyFont="1" applyFill="1" applyBorder="1" applyAlignment="1" applyProtection="1">
      <alignment horizontal="center" wrapText="1"/>
      <protection locked="0"/>
    </xf>
    <xf numFmtId="0" fontId="6" fillId="6" borderId="3" xfId="0" applyFont="1" applyFill="1" applyBorder="1" applyAlignment="1">
      <alignment wrapText="1"/>
    </xf>
    <xf numFmtId="0" fontId="0" fillId="7" borderId="0" xfId="0" applyFill="1" applyAlignment="1">
      <alignment horizontal="left"/>
    </xf>
    <xf numFmtId="0" fontId="0" fillId="7" borderId="0" xfId="0" applyFill="1" applyBorder="1"/>
    <xf numFmtId="0" fontId="6" fillId="7" borderId="0" xfId="0" applyFont="1" applyFill="1" applyBorder="1"/>
    <xf numFmtId="0" fontId="0" fillId="7" borderId="3" xfId="0" applyFill="1" applyBorder="1" applyAlignment="1">
      <alignment wrapText="1"/>
    </xf>
    <xf numFmtId="0" fontId="3" fillId="7" borderId="3" xfId="0" applyFont="1" applyFill="1" applyBorder="1" applyAlignment="1">
      <alignment horizontal="center"/>
    </xf>
    <xf numFmtId="0" fontId="6" fillId="7" borderId="3" xfId="0" applyFont="1" applyFill="1" applyBorder="1" applyAlignment="1">
      <alignment wrapText="1"/>
    </xf>
    <xf numFmtId="0" fontId="3" fillId="6" borderId="3" xfId="0" applyFont="1" applyFill="1" applyBorder="1"/>
    <xf numFmtId="3" fontId="6" fillId="6" borderId="3" xfId="0" applyNumberFormat="1" applyFont="1" applyFill="1" applyBorder="1" applyProtection="1">
      <protection locked="0"/>
    </xf>
    <xf numFmtId="3" fontId="0" fillId="6" borderId="4" xfId="0" applyNumberFormat="1" applyFill="1" applyBorder="1"/>
    <xf numFmtId="0" fontId="6" fillId="7" borderId="19" xfId="0" applyFont="1" applyFill="1" applyBorder="1" applyAlignment="1" applyProtection="1">
      <alignment horizontal="center" wrapText="1"/>
      <protection locked="0"/>
    </xf>
    <xf numFmtId="3" fontId="6" fillId="7" borderId="21" xfId="0" applyNumberFormat="1" applyFont="1" applyFill="1" applyBorder="1" applyProtection="1">
      <protection locked="0"/>
    </xf>
    <xf numFmtId="0" fontId="6" fillId="7" borderId="22" xfId="0" applyFont="1" applyFill="1" applyBorder="1" applyAlignment="1" applyProtection="1">
      <alignment horizontal="center" wrapText="1"/>
      <protection locked="0"/>
    </xf>
    <xf numFmtId="3" fontId="6" fillId="7" borderId="23" xfId="0" applyNumberFormat="1" applyFont="1" applyFill="1" applyBorder="1" applyProtection="1">
      <protection locked="0"/>
    </xf>
    <xf numFmtId="3" fontId="0" fillId="7" borderId="23" xfId="0" applyNumberFormat="1" applyFill="1" applyBorder="1" applyProtection="1">
      <protection locked="0"/>
    </xf>
    <xf numFmtId="0" fontId="6" fillId="7" borderId="20" xfId="0" applyFont="1" applyFill="1" applyBorder="1" applyAlignment="1" applyProtection="1">
      <alignment horizontal="center" wrapText="1"/>
      <protection locked="0"/>
    </xf>
    <xf numFmtId="3" fontId="0" fillId="6" borderId="18" xfId="0" applyNumberFormat="1" applyFill="1" applyBorder="1"/>
    <xf numFmtId="0" fontId="6" fillId="7" borderId="19" xfId="0" applyFont="1" applyFill="1" applyBorder="1" applyAlignment="1" applyProtection="1">
      <alignment horizontal="center"/>
      <protection locked="0"/>
    </xf>
    <xf numFmtId="3" fontId="0" fillId="7" borderId="21" xfId="0" applyNumberFormat="1" applyFill="1" applyBorder="1" applyProtection="1">
      <protection locked="0"/>
    </xf>
    <xf numFmtId="3" fontId="6" fillId="7" borderId="24" xfId="0" applyNumberFormat="1" applyFont="1" applyFill="1" applyBorder="1" applyAlignment="1" applyProtection="1">
      <alignment horizontal="left" wrapText="1"/>
      <protection locked="0"/>
    </xf>
    <xf numFmtId="1" fontId="6" fillId="7" borderId="24" xfId="0" applyNumberFormat="1" applyFont="1" applyFill="1" applyBorder="1" applyAlignment="1" applyProtection="1">
      <alignment horizontal="left" wrapText="1"/>
      <protection locked="0"/>
    </xf>
    <xf numFmtId="3" fontId="6" fillId="7" borderId="25" xfId="0" applyNumberFormat="1" applyFont="1" applyFill="1" applyBorder="1" applyAlignment="1" applyProtection="1">
      <alignment horizontal="left" wrapText="1"/>
      <protection locked="0"/>
    </xf>
    <xf numFmtId="3" fontId="6" fillId="7" borderId="26" xfId="0" applyNumberFormat="1" applyFont="1" applyFill="1" applyBorder="1" applyAlignment="1" applyProtection="1">
      <alignment horizontal="left"/>
      <protection locked="0"/>
    </xf>
    <xf numFmtId="0" fontId="6" fillId="0" borderId="22" xfId="0" applyFont="1" applyFill="1" applyBorder="1" applyAlignment="1" applyProtection="1">
      <alignment horizontal="center" wrapText="1"/>
      <protection locked="0"/>
    </xf>
    <xf numFmtId="0" fontId="3" fillId="7" borderId="0" xfId="0" applyFont="1" applyFill="1" applyBorder="1" applyAlignment="1">
      <alignment horizontal="left"/>
    </xf>
    <xf numFmtId="0" fontId="3" fillId="7" borderId="3" xfId="0" applyFont="1" applyFill="1" applyBorder="1" applyAlignment="1">
      <alignment wrapText="1"/>
    </xf>
    <xf numFmtId="0" fontId="6" fillId="6" borderId="0" xfId="0" applyFont="1" applyFill="1" applyBorder="1"/>
    <xf numFmtId="0" fontId="0" fillId="6" borderId="0" xfId="0" applyFill="1" applyBorder="1"/>
    <xf numFmtId="0" fontId="3" fillId="6" borderId="0" xfId="0" applyFont="1" applyFill="1" applyBorder="1" applyAlignment="1">
      <alignment horizontal="center"/>
    </xf>
    <xf numFmtId="3" fontId="6" fillId="6" borderId="3" xfId="0" applyNumberFormat="1" applyFont="1" applyFill="1" applyBorder="1"/>
    <xf numFmtId="0" fontId="6" fillId="6" borderId="4" xfId="0" applyFont="1" applyFill="1" applyBorder="1"/>
    <xf numFmtId="3" fontId="6" fillId="6" borderId="4" xfId="0" applyNumberFormat="1" applyFont="1" applyFill="1" applyBorder="1"/>
    <xf numFmtId="3" fontId="6" fillId="7" borderId="27" xfId="0" applyNumberFormat="1" applyFont="1" applyFill="1" applyBorder="1" applyProtection="1">
      <protection locked="0"/>
    </xf>
    <xf numFmtId="0" fontId="0" fillId="6" borderId="13" xfId="0" applyFill="1" applyBorder="1" applyAlignment="1">
      <alignment horizontal="center" wrapText="1"/>
    </xf>
    <xf numFmtId="3" fontId="6" fillId="6" borderId="13" xfId="0" applyNumberFormat="1" applyFont="1" applyFill="1" applyBorder="1" applyProtection="1">
      <protection locked="0"/>
    </xf>
    <xf numFmtId="3" fontId="6" fillId="7" borderId="28" xfId="0" applyNumberFormat="1" applyFont="1" applyFill="1" applyBorder="1" applyProtection="1">
      <protection locked="0"/>
    </xf>
    <xf numFmtId="0" fontId="6" fillId="7" borderId="29" xfId="0" applyFont="1" applyFill="1" applyBorder="1" applyAlignment="1" applyProtection="1">
      <alignment horizontal="center" wrapText="1"/>
      <protection locked="0"/>
    </xf>
    <xf numFmtId="169" fontId="24" fillId="7" borderId="0" xfId="1" applyNumberFormat="1" applyFont="1" applyFill="1"/>
    <xf numFmtId="0" fontId="23" fillId="6" borderId="3" xfId="0" applyFont="1" applyFill="1" applyBorder="1" applyAlignment="1">
      <alignment wrapText="1"/>
    </xf>
    <xf numFmtId="168" fontId="25" fillId="6" borderId="3" xfId="0" applyNumberFormat="1" applyFont="1" applyFill="1" applyBorder="1" applyAlignment="1">
      <alignment horizontal="right"/>
    </xf>
    <xf numFmtId="168" fontId="6" fillId="6" borderId="3" xfId="0" applyNumberFormat="1" applyFont="1" applyFill="1" applyBorder="1"/>
    <xf numFmtId="0" fontId="25" fillId="6" borderId="3" xfId="0" applyFont="1" applyFill="1" applyBorder="1"/>
    <xf numFmtId="0" fontId="25" fillId="6" borderId="18" xfId="0" applyFont="1" applyFill="1" applyBorder="1" applyAlignment="1">
      <alignment horizontal="center"/>
    </xf>
    <xf numFmtId="3" fontId="25" fillId="6" borderId="18" xfId="0" applyNumberFormat="1" applyFont="1" applyFill="1" applyBorder="1"/>
    <xf numFmtId="0" fontId="0" fillId="6" borderId="4" xfId="0" applyFill="1" applyBorder="1"/>
    <xf numFmtId="0" fontId="23" fillId="6" borderId="6" xfId="0" applyFont="1" applyFill="1" applyBorder="1" applyAlignment="1">
      <alignment wrapText="1"/>
    </xf>
    <xf numFmtId="3" fontId="6" fillId="6" borderId="7" xfId="0" applyNumberFormat="1" applyFont="1" applyFill="1" applyBorder="1"/>
    <xf numFmtId="0" fontId="6" fillId="6" borderId="18" xfId="0" applyFont="1" applyFill="1" applyBorder="1" applyAlignment="1">
      <alignment horizontal="center"/>
    </xf>
    <xf numFmtId="0" fontId="25" fillId="7" borderId="30" xfId="0" applyFont="1" applyFill="1" applyBorder="1" applyAlignment="1" applyProtection="1">
      <alignment horizontal="center"/>
      <protection locked="0"/>
    </xf>
    <xf numFmtId="0" fontId="0" fillId="6" borderId="13" xfId="0" applyFill="1" applyBorder="1"/>
    <xf numFmtId="3" fontId="0" fillId="6" borderId="13" xfId="0" applyNumberFormat="1" applyFill="1" applyBorder="1"/>
    <xf numFmtId="3" fontId="23" fillId="6" borderId="18" xfId="0" applyNumberFormat="1" applyFont="1" applyFill="1" applyBorder="1"/>
    <xf numFmtId="3" fontId="6" fillId="6" borderId="13" xfId="0" applyNumberFormat="1" applyFont="1" applyFill="1" applyBorder="1" applyProtection="1"/>
    <xf numFmtId="0" fontId="6" fillId="6" borderId="4" xfId="0" applyFont="1" applyFill="1" applyBorder="1" applyAlignment="1" applyProtection="1">
      <alignment horizontal="center" wrapText="1"/>
    </xf>
    <xf numFmtId="3" fontId="6" fillId="6" borderId="3" xfId="0" applyNumberFormat="1" applyFont="1" applyFill="1" applyBorder="1" applyProtection="1"/>
    <xf numFmtId="0" fontId="6" fillId="6" borderId="3" xfId="0" applyFont="1" applyFill="1" applyBorder="1" applyAlignment="1" applyProtection="1">
      <alignment horizontal="center"/>
    </xf>
    <xf numFmtId="3" fontId="6" fillId="7" borderId="3" xfId="0" applyNumberFormat="1" applyFont="1" applyFill="1" applyBorder="1" applyAlignment="1">
      <alignment horizontal="center" wrapText="1"/>
    </xf>
    <xf numFmtId="3" fontId="0" fillId="7" borderId="3" xfId="0" applyNumberFormat="1" applyFill="1" applyBorder="1" applyAlignment="1">
      <alignment wrapText="1"/>
    </xf>
    <xf numFmtId="168" fontId="0" fillId="7" borderId="3" xfId="0" applyNumberFormat="1" applyFill="1" applyBorder="1" applyAlignment="1">
      <alignment horizontal="right" wrapText="1"/>
    </xf>
    <xf numFmtId="3" fontId="0" fillId="6" borderId="3" xfId="0" applyNumberFormat="1" applyFill="1" applyBorder="1" applyAlignment="1">
      <alignment wrapText="1"/>
    </xf>
    <xf numFmtId="168" fontId="0" fillId="6" borderId="3" xfId="0" applyNumberFormat="1" applyFill="1" applyBorder="1" applyAlignment="1">
      <alignment horizontal="right" wrapText="1"/>
    </xf>
    <xf numFmtId="0" fontId="3" fillId="6" borderId="3" xfId="0" applyFont="1" applyFill="1" applyBorder="1" applyAlignment="1">
      <alignment horizontal="center" wrapText="1"/>
    </xf>
    <xf numFmtId="3" fontId="3" fillId="6" borderId="3" xfId="0" applyNumberFormat="1" applyFont="1" applyFill="1" applyBorder="1" applyProtection="1">
      <protection locked="0"/>
    </xf>
    <xf numFmtId="3" fontId="3" fillId="6" borderId="3" xfId="0" applyNumberFormat="1" applyFont="1" applyFill="1" applyBorder="1"/>
    <xf numFmtId="0" fontId="0" fillId="6" borderId="10" xfId="0" applyFill="1" applyBorder="1"/>
    <xf numFmtId="0" fontId="0" fillId="8" borderId="18" xfId="0" applyFill="1" applyBorder="1" applyAlignment="1">
      <alignment horizontal="right"/>
    </xf>
    <xf numFmtId="0" fontId="7" fillId="8" borderId="3" xfId="0" quotePrefix="1" applyFont="1" applyFill="1" applyBorder="1" applyAlignment="1">
      <alignment horizontal="center" wrapText="1"/>
    </xf>
    <xf numFmtId="0" fontId="6" fillId="7" borderId="30" xfId="0" applyFont="1" applyFill="1" applyBorder="1" applyAlignment="1" applyProtection="1">
      <alignment horizontal="center" wrapText="1"/>
      <protection locked="0"/>
    </xf>
    <xf numFmtId="168" fontId="0" fillId="7" borderId="3" xfId="0" applyNumberFormat="1" applyFill="1" applyBorder="1" applyAlignment="1">
      <alignment horizontal="right"/>
    </xf>
    <xf numFmtId="168" fontId="3" fillId="6" borderId="3" xfId="0" applyNumberFormat="1" applyFont="1" applyFill="1" applyBorder="1" applyAlignment="1">
      <alignment horizontal="right"/>
    </xf>
    <xf numFmtId="3" fontId="0" fillId="6" borderId="3" xfId="0" applyNumberFormat="1" applyFill="1" applyBorder="1" applyAlignment="1">
      <alignment horizontal="right" wrapText="1"/>
    </xf>
    <xf numFmtId="3" fontId="0" fillId="7" borderId="3" xfId="0" applyNumberFormat="1" applyFill="1" applyBorder="1" applyAlignment="1">
      <alignment horizontal="right" wrapText="1"/>
    </xf>
    <xf numFmtId="0" fontId="7" fillId="0" borderId="0" xfId="0" applyFont="1" applyBorder="1" applyAlignment="1">
      <alignment horizontal="center" vertical="top" wrapText="1"/>
    </xf>
    <xf numFmtId="0" fontId="6" fillId="0" borderId="1" xfId="0" applyFont="1" applyBorder="1" applyAlignment="1">
      <alignment wrapText="1"/>
    </xf>
    <xf numFmtId="4" fontId="21" fillId="2" borderId="4" xfId="0" applyNumberFormat="1" applyFont="1" applyFill="1" applyBorder="1" applyAlignment="1">
      <alignment horizontal="center"/>
    </xf>
    <xf numFmtId="167" fontId="21" fillId="2" borderId="3" xfId="0" applyNumberFormat="1" applyFont="1" applyFill="1" applyBorder="1"/>
    <xf numFmtId="0" fontId="7" fillId="0" borderId="0" xfId="0" applyFont="1" applyBorder="1" applyAlignment="1">
      <alignment horizontal="center"/>
    </xf>
    <xf numFmtId="167" fontId="21" fillId="0" borderId="0" xfId="0" applyNumberFormat="1" applyFont="1" applyFill="1" applyBorder="1"/>
    <xf numFmtId="170" fontId="0" fillId="0" borderId="0" xfId="0" applyNumberFormat="1" applyFill="1" applyBorder="1"/>
    <xf numFmtId="0" fontId="0" fillId="0" borderId="0" xfId="0" applyAlignment="1">
      <alignment horizontal="left"/>
    </xf>
    <xf numFmtId="0" fontId="6" fillId="0" borderId="2" xfId="0" applyFont="1" applyBorder="1"/>
    <xf numFmtId="0" fontId="3" fillId="7" borderId="30" xfId="0" applyFont="1" applyFill="1" applyBorder="1" applyAlignment="1" applyProtection="1">
      <alignment horizontal="left" wrapText="1"/>
      <protection locked="0"/>
    </xf>
    <xf numFmtId="168" fontId="21" fillId="2" borderId="3" xfId="0" applyNumberFormat="1" applyFont="1" applyFill="1" applyBorder="1"/>
    <xf numFmtId="168" fontId="0" fillId="0" borderId="3" xfId="0" applyNumberFormat="1" applyFill="1" applyBorder="1" applyAlignment="1">
      <alignment horizontal="right" wrapText="1"/>
    </xf>
    <xf numFmtId="0" fontId="0" fillId="10" borderId="3" xfId="0" applyFill="1" applyBorder="1" applyAlignment="1">
      <alignment wrapText="1"/>
    </xf>
    <xf numFmtId="0" fontId="6" fillId="10" borderId="3" xfId="0" applyFont="1" applyFill="1" applyBorder="1" applyAlignment="1">
      <alignment wrapText="1"/>
    </xf>
    <xf numFmtId="3" fontId="0" fillId="7" borderId="0" xfId="0" applyNumberFormat="1" applyFill="1"/>
    <xf numFmtId="3" fontId="24" fillId="6" borderId="3" xfId="1" applyNumberFormat="1" applyFont="1" applyFill="1" applyBorder="1" applyAlignment="1"/>
    <xf numFmtId="3" fontId="24" fillId="6" borderId="0" xfId="1" applyNumberFormat="1" applyFont="1" applyFill="1" applyAlignment="1"/>
    <xf numFmtId="3" fontId="24" fillId="6" borderId="7" xfId="1" applyNumberFormat="1" applyFont="1" applyFill="1" applyBorder="1" applyAlignment="1"/>
    <xf numFmtId="3" fontId="6" fillId="6" borderId="3" xfId="1" applyNumberFormat="1" applyFont="1" applyFill="1" applyBorder="1" applyAlignment="1"/>
    <xf numFmtId="3" fontId="0" fillId="6" borderId="3" xfId="0" applyNumberFormat="1" applyFill="1" applyBorder="1" applyAlignment="1"/>
    <xf numFmtId="168" fontId="0" fillId="6" borderId="3" xfId="0" applyNumberFormat="1" applyFill="1" applyBorder="1" applyAlignment="1"/>
    <xf numFmtId="0" fontId="0" fillId="7" borderId="0" xfId="0" applyFill="1" applyProtection="1">
      <protection locked="0"/>
    </xf>
    <xf numFmtId="0" fontId="6" fillId="7" borderId="0" xfId="0" applyFont="1" applyFill="1" applyProtection="1">
      <protection locked="0"/>
    </xf>
    <xf numFmtId="0" fontId="0" fillId="7" borderId="0" xfId="0" applyFill="1" applyBorder="1" applyProtection="1">
      <protection locked="0"/>
    </xf>
    <xf numFmtId="0" fontId="0" fillId="7" borderId="0" xfId="0" applyFill="1" applyAlignment="1" applyProtection="1">
      <alignment wrapText="1"/>
      <protection locked="0"/>
    </xf>
    <xf numFmtId="0" fontId="0" fillId="0" borderId="0" xfId="0" applyFill="1" applyProtection="1">
      <protection locked="0"/>
    </xf>
    <xf numFmtId="3" fontId="0" fillId="0" borderId="3" xfId="0" applyNumberFormat="1" applyFill="1" applyBorder="1" applyAlignment="1">
      <alignment horizontal="right" wrapText="1"/>
    </xf>
    <xf numFmtId="9" fontId="28" fillId="7" borderId="3" xfId="3" applyFont="1" applyFill="1" applyBorder="1" applyAlignment="1">
      <alignment horizontal="right" wrapText="1"/>
    </xf>
    <xf numFmtId="9" fontId="3" fillId="6" borderId="3" xfId="3" applyFont="1" applyFill="1" applyBorder="1"/>
    <xf numFmtId="168" fontId="0" fillId="7" borderId="0" xfId="0" applyNumberFormat="1" applyFill="1"/>
    <xf numFmtId="165" fontId="0" fillId="7" borderId="0" xfId="0" applyNumberFormat="1" applyFill="1"/>
    <xf numFmtId="0" fontId="3" fillId="6" borderId="12" xfId="0" applyFont="1" applyFill="1" applyBorder="1" applyAlignment="1">
      <alignment horizontal="left"/>
    </xf>
    <xf numFmtId="0" fontId="3" fillId="6" borderId="32" xfId="0" applyFont="1" applyFill="1" applyBorder="1" applyAlignment="1">
      <alignment horizontal="left"/>
    </xf>
    <xf numFmtId="3" fontId="6" fillId="6" borderId="12" xfId="0" applyNumberFormat="1" applyFont="1" applyFill="1" applyBorder="1" applyAlignment="1">
      <alignment horizontal="left" wrapText="1"/>
    </xf>
    <xf numFmtId="3" fontId="3" fillId="6" borderId="32" xfId="0" applyNumberFormat="1" applyFont="1" applyFill="1" applyBorder="1" applyAlignment="1">
      <alignment horizontal="left"/>
    </xf>
    <xf numFmtId="0" fontId="0" fillId="6" borderId="12" xfId="0" applyFill="1" applyBorder="1" applyAlignment="1">
      <alignment horizontal="left"/>
    </xf>
    <xf numFmtId="0" fontId="3" fillId="6" borderId="32" xfId="0" applyFont="1" applyFill="1" applyBorder="1" applyAlignment="1">
      <alignment horizontal="center"/>
    </xf>
    <xf numFmtId="0" fontId="0" fillId="6" borderId="12" xfId="0" applyFill="1" applyBorder="1" applyAlignment="1">
      <alignment horizontal="center"/>
    </xf>
    <xf numFmtId="0" fontId="0" fillId="6" borderId="12" xfId="0" applyFill="1" applyBorder="1" applyAlignment="1">
      <alignment horizontal="center" wrapText="1"/>
    </xf>
    <xf numFmtId="0" fontId="0" fillId="6" borderId="32" xfId="0" applyFill="1" applyBorder="1" applyAlignment="1">
      <alignment horizontal="center" wrapText="1"/>
    </xf>
    <xf numFmtId="0" fontId="6" fillId="6" borderId="9" xfId="0" applyFont="1" applyFill="1" applyBorder="1" applyAlignment="1">
      <alignment wrapText="1"/>
    </xf>
    <xf numFmtId="0" fontId="3" fillId="6" borderId="1" xfId="0" applyFont="1" applyFill="1" applyBorder="1"/>
    <xf numFmtId="0" fontId="0" fillId="11" borderId="0" xfId="0" applyFill="1"/>
    <xf numFmtId="0" fontId="0" fillId="7" borderId="0" xfId="0" applyFill="1" applyBorder="1" applyAlignment="1"/>
    <xf numFmtId="1" fontId="6" fillId="0" borderId="0" xfId="0" applyNumberFormat="1" applyFont="1" applyFill="1" applyBorder="1"/>
    <xf numFmtId="170" fontId="6" fillId="0" borderId="0" xfId="0" applyNumberFormat="1" applyFont="1" applyFill="1" applyBorder="1"/>
    <xf numFmtId="165" fontId="6" fillId="0" borderId="0" xfId="0" applyNumberFormat="1" applyFont="1" applyFill="1" applyBorder="1"/>
    <xf numFmtId="168" fontId="6" fillId="6" borderId="7" xfId="0" applyNumberFormat="1" applyFont="1" applyFill="1" applyBorder="1"/>
    <xf numFmtId="164" fontId="6" fillId="6" borderId="7" xfId="0" applyNumberFormat="1" applyFont="1" applyFill="1" applyBorder="1" applyProtection="1"/>
    <xf numFmtId="0" fontId="0" fillId="6" borderId="12" xfId="0" applyFill="1" applyBorder="1"/>
    <xf numFmtId="3" fontId="6" fillId="6" borderId="4" xfId="0" applyNumberFormat="1" applyFont="1" applyFill="1" applyBorder="1" applyProtection="1"/>
    <xf numFmtId="0" fontId="6" fillId="6" borderId="0" xfId="0" applyFont="1" applyFill="1" applyBorder="1" applyAlignment="1">
      <alignment wrapText="1"/>
    </xf>
    <xf numFmtId="1" fontId="0" fillId="3" borderId="3" xfId="0" applyNumberFormat="1" applyFill="1" applyBorder="1"/>
    <xf numFmtId="0" fontId="0" fillId="0" borderId="3" xfId="0" applyBorder="1"/>
    <xf numFmtId="0" fontId="0" fillId="0" borderId="0" xfId="0" applyAlignment="1">
      <alignment horizontal="right"/>
    </xf>
    <xf numFmtId="169" fontId="29" fillId="0" borderId="3" xfId="1" applyNumberFormat="1" applyFont="1" applyBorder="1" applyAlignment="1">
      <alignment horizontal="right" wrapText="1"/>
    </xf>
    <xf numFmtId="0" fontId="43" fillId="0" borderId="0" xfId="0" applyFont="1" applyAlignment="1">
      <alignment horizontal="left" vertical="top" wrapText="1"/>
    </xf>
    <xf numFmtId="0" fontId="16" fillId="0" borderId="0" xfId="2" applyAlignment="1" applyProtection="1">
      <alignment horizontal="left" vertical="top" wrapText="1"/>
    </xf>
    <xf numFmtId="15" fontId="43" fillId="0" borderId="0" xfId="0" applyNumberFormat="1" applyFont="1" applyAlignment="1">
      <alignment horizontal="left" vertical="top" wrapText="1"/>
    </xf>
    <xf numFmtId="0" fontId="43" fillId="0" borderId="3" xfId="0" applyFont="1" applyBorder="1" applyAlignment="1">
      <alignment horizontal="left" vertical="top" wrapText="1"/>
    </xf>
    <xf numFmtId="0" fontId="3" fillId="0" borderId="3" xfId="0" applyFont="1" applyBorder="1" applyAlignment="1">
      <alignment horizontal="left"/>
    </xf>
    <xf numFmtId="0" fontId="0" fillId="0" borderId="0" xfId="0" applyBorder="1" applyAlignment="1">
      <alignment horizontal="left"/>
    </xf>
    <xf numFmtId="0" fontId="3" fillId="0" borderId="3" xfId="0" applyFont="1" applyBorder="1" applyAlignment="1">
      <alignment horizontal="left" wrapText="1"/>
    </xf>
    <xf numFmtId="3" fontId="6" fillId="7" borderId="26" xfId="0" applyNumberFormat="1" applyFont="1" applyFill="1" applyBorder="1" applyAlignment="1" applyProtection="1">
      <alignment horizontal="left" wrapText="1"/>
      <protection locked="0"/>
    </xf>
    <xf numFmtId="3" fontId="40" fillId="3" borderId="3" xfId="0" applyNumberFormat="1" applyFont="1" applyFill="1" applyBorder="1"/>
    <xf numFmtId="0" fontId="38" fillId="6" borderId="3" xfId="0" applyFont="1" applyFill="1" applyBorder="1"/>
    <xf numFmtId="0" fontId="38" fillId="6" borderId="0" xfId="0" applyFont="1" applyFill="1" applyBorder="1" applyAlignment="1">
      <alignment wrapText="1"/>
    </xf>
    <xf numFmtId="0" fontId="6" fillId="0" borderId="0" xfId="0" applyFont="1" applyFill="1" applyBorder="1" applyAlignment="1">
      <alignment vertical="center"/>
    </xf>
    <xf numFmtId="0" fontId="6" fillId="0" borderId="0" xfId="0" applyFont="1" applyFill="1" applyAlignment="1">
      <alignment vertical="center"/>
    </xf>
    <xf numFmtId="0" fontId="16" fillId="0" borderId="0" xfId="2" applyAlignment="1" applyProtection="1"/>
    <xf numFmtId="0" fontId="6" fillId="0" borderId="0" xfId="0" applyFont="1" applyAlignment="1">
      <alignment vertical="center"/>
    </xf>
    <xf numFmtId="0" fontId="6" fillId="0" borderId="3" xfId="0" applyFont="1" applyFill="1" applyBorder="1"/>
    <xf numFmtId="1" fontId="6" fillId="0" borderId="3" xfId="0" applyNumberFormat="1" applyFont="1" applyFill="1" applyBorder="1" applyAlignment="1">
      <alignment vertical="center"/>
    </xf>
    <xf numFmtId="170" fontId="6" fillId="0" borderId="3" xfId="0" applyNumberFormat="1" applyFont="1" applyFill="1" applyBorder="1"/>
    <xf numFmtId="1" fontId="6" fillId="0" borderId="3" xfId="0" applyNumberFormat="1" applyFont="1" applyFill="1" applyBorder="1"/>
    <xf numFmtId="169" fontId="29" fillId="0" borderId="3" xfId="1" applyNumberFormat="1" applyFont="1" applyBorder="1"/>
    <xf numFmtId="0" fontId="3" fillId="0" borderId="0" xfId="0" applyFont="1" applyFill="1" applyAlignment="1">
      <alignment horizontal="right"/>
    </xf>
    <xf numFmtId="0" fontId="3" fillId="0" borderId="0" xfId="0" applyFont="1" applyFill="1" applyAlignment="1">
      <alignment horizontal="left"/>
    </xf>
    <xf numFmtId="1" fontId="0" fillId="0" borderId="0" xfId="0" applyNumberFormat="1"/>
    <xf numFmtId="1" fontId="0" fillId="0" borderId="3" xfId="0" applyNumberFormat="1" applyBorder="1"/>
    <xf numFmtId="0" fontId="6" fillId="0" borderId="3" xfId="0" applyFont="1" applyBorder="1" applyAlignment="1">
      <alignment horizontal="left" wrapText="1"/>
    </xf>
    <xf numFmtId="0" fontId="6" fillId="6" borderId="3" xfId="0" applyFont="1" applyFill="1" applyBorder="1" applyAlignment="1" applyProtection="1">
      <alignment wrapText="1"/>
    </xf>
    <xf numFmtId="3" fontId="6" fillId="6" borderId="3" xfId="0" applyNumberFormat="1" applyFont="1" applyFill="1" applyBorder="1" applyAlignment="1" applyProtection="1">
      <alignment horizontal="right"/>
    </xf>
    <xf numFmtId="166" fontId="6" fillId="6" borderId="3" xfId="0" applyNumberFormat="1" applyFont="1" applyFill="1" applyBorder="1" applyAlignment="1" applyProtection="1">
      <alignment horizontal="right" wrapText="1"/>
    </xf>
    <xf numFmtId="3" fontId="6" fillId="6" borderId="3" xfId="0" applyNumberFormat="1" applyFont="1" applyFill="1" applyBorder="1" applyAlignment="1" applyProtection="1">
      <alignment horizontal="right" wrapText="1"/>
    </xf>
    <xf numFmtId="0" fontId="6" fillId="6" borderId="3" xfId="0" applyFont="1" applyFill="1" applyBorder="1" applyAlignment="1" applyProtection="1">
      <alignment wrapText="1"/>
      <protection locked="0"/>
    </xf>
    <xf numFmtId="0" fontId="37" fillId="7" borderId="0" xfId="0" applyFont="1" applyFill="1"/>
    <xf numFmtId="0" fontId="0" fillId="6" borderId="22" xfId="0" applyFill="1" applyBorder="1" applyAlignment="1">
      <alignment wrapText="1"/>
    </xf>
    <xf numFmtId="0" fontId="0" fillId="6" borderId="20" xfId="0" applyFill="1" applyBorder="1" applyAlignment="1">
      <alignment wrapText="1"/>
    </xf>
    <xf numFmtId="0" fontId="0" fillId="6" borderId="14" xfId="0" applyFill="1" applyBorder="1" applyAlignment="1">
      <alignment wrapText="1"/>
    </xf>
    <xf numFmtId="0" fontId="0" fillId="6" borderId="14" xfId="0" applyFill="1" applyBorder="1"/>
    <xf numFmtId="0" fontId="6" fillId="6" borderId="22" xfId="0" applyFont="1" applyFill="1" applyBorder="1" applyAlignment="1">
      <alignment wrapText="1"/>
    </xf>
    <xf numFmtId="0" fontId="6" fillId="6" borderId="20" xfId="0" applyFont="1" applyFill="1" applyBorder="1" applyAlignment="1">
      <alignment wrapText="1"/>
    </xf>
    <xf numFmtId="3" fontId="3" fillId="6" borderId="3" xfId="0" applyNumberFormat="1" applyFont="1" applyFill="1" applyBorder="1" applyAlignment="1">
      <alignment wrapText="1"/>
    </xf>
    <xf numFmtId="168" fontId="3" fillId="6" borderId="3" xfId="0" applyNumberFormat="1" applyFont="1" applyFill="1" applyBorder="1" applyAlignment="1">
      <alignment horizontal="right" wrapText="1"/>
    </xf>
    <xf numFmtId="3" fontId="6" fillId="0" borderId="3" xfId="0" applyNumberFormat="1" applyFont="1" applyFill="1" applyBorder="1" applyAlignment="1" applyProtection="1">
      <alignment horizontal="right" wrapText="1"/>
      <protection locked="0"/>
    </xf>
    <xf numFmtId="0" fontId="6" fillId="6" borderId="7" xfId="0" applyFont="1" applyFill="1" applyBorder="1" applyAlignment="1">
      <alignment wrapText="1"/>
    </xf>
    <xf numFmtId="0" fontId="0" fillId="6" borderId="7" xfId="0" applyFill="1" applyBorder="1" applyAlignment="1">
      <alignment wrapText="1"/>
    </xf>
    <xf numFmtId="0" fontId="38" fillId="7" borderId="0" xfId="0" applyFont="1" applyFill="1"/>
    <xf numFmtId="169" fontId="30" fillId="7" borderId="0" xfId="1" applyNumberFormat="1" applyFont="1" applyFill="1"/>
    <xf numFmtId="168" fontId="0" fillId="0" borderId="3" xfId="0" applyNumberFormat="1" applyFill="1" applyBorder="1" applyAlignment="1">
      <alignment horizontal="right"/>
    </xf>
    <xf numFmtId="168" fontId="38" fillId="7" borderId="0" xfId="0" applyNumberFormat="1" applyFont="1" applyFill="1"/>
    <xf numFmtId="0" fontId="6" fillId="0" borderId="0" xfId="0" quotePrefix="1" applyFont="1"/>
    <xf numFmtId="0" fontId="38" fillId="0" borderId="0" xfId="0" applyFont="1" applyAlignment="1">
      <alignment wrapText="1"/>
    </xf>
    <xf numFmtId="0" fontId="6" fillId="0" borderId="0" xfId="0" quotePrefix="1" applyFont="1" applyFill="1"/>
    <xf numFmtId="17" fontId="6" fillId="0" borderId="0" xfId="0" quotePrefix="1" applyNumberFormat="1" applyFont="1"/>
    <xf numFmtId="0" fontId="6" fillId="0" borderId="6" xfId="0" quotePrefix="1" applyFont="1" applyBorder="1"/>
    <xf numFmtId="2" fontId="6" fillId="6" borderId="7" xfId="0" applyNumberFormat="1" applyFont="1" applyFill="1" applyBorder="1"/>
    <xf numFmtId="0" fontId="6" fillId="0" borderId="0" xfId="0" applyFont="1" applyFill="1" applyBorder="1" applyAlignment="1">
      <alignment wrapText="1"/>
    </xf>
    <xf numFmtId="164" fontId="0" fillId="0" borderId="0" xfId="0" applyNumberFormat="1" applyFill="1" applyBorder="1"/>
    <xf numFmtId="164" fontId="6" fillId="0" borderId="0" xfId="0" applyNumberFormat="1" applyFont="1" applyFill="1" applyBorder="1"/>
    <xf numFmtId="0" fontId="45" fillId="0" borderId="0" xfId="0" applyFont="1" applyFill="1" applyBorder="1" applyAlignment="1">
      <alignment horizontal="right" wrapText="1"/>
    </xf>
    <xf numFmtId="0" fontId="46" fillId="0" borderId="0" xfId="0" applyFont="1" applyFill="1" applyBorder="1" applyAlignment="1">
      <alignment horizontal="right" wrapText="1"/>
    </xf>
    <xf numFmtId="0" fontId="47" fillId="0" borderId="0" xfId="0" applyFont="1" applyFill="1" applyBorder="1" applyAlignment="1">
      <alignment horizontal="center" wrapText="1"/>
    </xf>
    <xf numFmtId="0" fontId="45" fillId="0" borderId="0" xfId="0" applyFont="1" applyFill="1" applyBorder="1" applyAlignment="1">
      <alignment horizontal="left" wrapText="1"/>
    </xf>
    <xf numFmtId="169" fontId="6" fillId="12" borderId="7" xfId="1" applyNumberFormat="1" applyFont="1" applyFill="1" applyBorder="1"/>
    <xf numFmtId="169" fontId="31" fillId="12" borderId="7" xfId="1" applyNumberFormat="1" applyFont="1" applyFill="1" applyBorder="1"/>
    <xf numFmtId="169" fontId="6" fillId="6" borderId="7" xfId="1" applyNumberFormat="1" applyFont="1" applyFill="1" applyBorder="1"/>
    <xf numFmtId="169" fontId="6" fillId="0" borderId="26" xfId="1" applyNumberFormat="1" applyFont="1" applyFill="1" applyBorder="1" applyAlignment="1" applyProtection="1">
      <alignment horizontal="center" wrapText="1"/>
      <protection locked="0"/>
    </xf>
    <xf numFmtId="169" fontId="6" fillId="0" borderId="36" xfId="1" applyNumberFormat="1" applyFont="1" applyFill="1" applyBorder="1" applyAlignment="1" applyProtection="1">
      <alignment horizontal="center" wrapText="1"/>
      <protection locked="0"/>
    </xf>
    <xf numFmtId="169" fontId="6" fillId="0" borderId="24" xfId="1" applyNumberFormat="1" applyFont="1" applyFill="1" applyBorder="1" applyAlignment="1" applyProtection="1">
      <alignment horizontal="center" wrapText="1"/>
      <protection locked="0"/>
    </xf>
    <xf numFmtId="169" fontId="6" fillId="0" borderId="25" xfId="1" applyNumberFormat="1" applyFont="1" applyFill="1" applyBorder="1" applyAlignment="1" applyProtection="1">
      <alignment horizontal="center" wrapText="1"/>
      <protection locked="0"/>
    </xf>
    <xf numFmtId="0" fontId="6" fillId="7" borderId="0" xfId="0" applyFont="1" applyFill="1" applyBorder="1" applyAlignment="1">
      <alignment wrapText="1"/>
    </xf>
    <xf numFmtId="0" fontId="6" fillId="7" borderId="0" xfId="0" applyFont="1" applyFill="1" applyBorder="1" applyAlignment="1" applyProtection="1">
      <alignment horizontal="center" wrapText="1"/>
      <protection locked="0"/>
    </xf>
    <xf numFmtId="0" fontId="0" fillId="7" borderId="0" xfId="0" applyFill="1" applyBorder="1" applyAlignment="1">
      <alignment wrapText="1"/>
    </xf>
    <xf numFmtId="0" fontId="45" fillId="7" borderId="0" xfId="0" applyFont="1" applyFill="1" applyBorder="1" applyAlignment="1">
      <alignment horizontal="right" wrapText="1"/>
    </xf>
    <xf numFmtId="0" fontId="46" fillId="7" borderId="0" xfId="0" applyFont="1" applyFill="1" applyBorder="1" applyAlignment="1">
      <alignment horizontal="right" wrapText="1"/>
    </xf>
    <xf numFmtId="0" fontId="47" fillId="7" borderId="0" xfId="0" applyFont="1" applyFill="1" applyBorder="1" applyAlignment="1">
      <alignment horizontal="center" wrapText="1"/>
    </xf>
    <xf numFmtId="169" fontId="45" fillId="7" borderId="0" xfId="1" applyNumberFormat="1" applyFont="1" applyFill="1" applyBorder="1" applyAlignment="1">
      <alignment horizontal="right" wrapText="1"/>
    </xf>
    <xf numFmtId="164" fontId="0" fillId="7" borderId="0" xfId="0" applyNumberFormat="1" applyFill="1" applyBorder="1"/>
    <xf numFmtId="170" fontId="0" fillId="7" borderId="0" xfId="0" applyNumberFormat="1" applyFill="1" applyBorder="1"/>
    <xf numFmtId="164" fontId="6" fillId="7" borderId="0" xfId="0" applyNumberFormat="1" applyFont="1" applyFill="1" applyBorder="1"/>
    <xf numFmtId="170" fontId="6" fillId="7" borderId="0" xfId="0" applyNumberFormat="1" applyFont="1" applyFill="1" applyBorder="1"/>
    <xf numFmtId="169" fontId="31" fillId="7" borderId="0" xfId="1" applyNumberFormat="1" applyFont="1" applyFill="1" applyBorder="1"/>
    <xf numFmtId="169" fontId="46" fillId="7" borderId="0" xfId="1" applyNumberFormat="1" applyFont="1" applyFill="1" applyBorder="1" applyAlignment="1">
      <alignment horizontal="right" wrapText="1"/>
    </xf>
    <xf numFmtId="0" fontId="45" fillId="7" borderId="0" xfId="0" applyFont="1" applyFill="1" applyBorder="1" applyAlignment="1">
      <alignment wrapText="1"/>
    </xf>
    <xf numFmtId="0" fontId="45" fillId="7" borderId="0" xfId="0" applyFont="1" applyFill="1" applyBorder="1" applyAlignment="1">
      <alignment horizontal="left" wrapText="1"/>
    </xf>
    <xf numFmtId="2" fontId="0" fillId="7" borderId="0" xfId="0" applyNumberFormat="1" applyFill="1" applyBorder="1"/>
    <xf numFmtId="0" fontId="45" fillId="7" borderId="0" xfId="0" applyFont="1" applyFill="1" applyBorder="1"/>
    <xf numFmtId="172" fontId="6" fillId="7" borderId="0" xfId="0" applyNumberFormat="1" applyFont="1" applyFill="1" applyBorder="1"/>
    <xf numFmtId="165" fontId="0" fillId="7" borderId="0" xfId="0" applyNumberFormat="1" applyFill="1" applyBorder="1"/>
    <xf numFmtId="2" fontId="0" fillId="2" borderId="3" xfId="0" applyNumberFormat="1" applyFill="1" applyBorder="1"/>
    <xf numFmtId="0" fontId="36" fillId="3" borderId="3" xfId="0" applyFont="1" applyFill="1" applyBorder="1" applyAlignment="1">
      <alignment wrapText="1"/>
    </xf>
    <xf numFmtId="0" fontId="0" fillId="11" borderId="3" xfId="0" applyFill="1" applyBorder="1" applyAlignment="1">
      <alignment wrapText="1"/>
    </xf>
    <xf numFmtId="0" fontId="37" fillId="0" borderId="0" xfId="0" applyFont="1" applyAlignment="1">
      <alignment wrapText="1"/>
    </xf>
    <xf numFmtId="171" fontId="0" fillId="0" borderId="0" xfId="0" applyNumberFormat="1" applyFont="1"/>
    <xf numFmtId="0" fontId="35" fillId="0" borderId="0" xfId="0" applyFont="1" applyAlignment="1">
      <alignment wrapText="1"/>
    </xf>
    <xf numFmtId="0" fontId="0" fillId="0" borderId="0" xfId="0" applyFont="1" applyAlignment="1">
      <alignment wrapText="1"/>
    </xf>
    <xf numFmtId="0" fontId="34" fillId="0" borderId="0" xfId="0" applyFont="1" applyAlignment="1">
      <alignment wrapText="1"/>
    </xf>
    <xf numFmtId="169" fontId="0" fillId="0" borderId="0" xfId="1" applyNumberFormat="1" applyFont="1"/>
    <xf numFmtId="0" fontId="44" fillId="0" borderId="0" xfId="0" applyFont="1"/>
    <xf numFmtId="0" fontId="44" fillId="0" borderId="0" xfId="0" applyFont="1" applyAlignment="1">
      <alignment wrapText="1"/>
    </xf>
    <xf numFmtId="0" fontId="48" fillId="3" borderId="3" xfId="0" applyFont="1" applyFill="1" applyBorder="1" applyAlignment="1">
      <alignment wrapText="1"/>
    </xf>
    <xf numFmtId="3" fontId="0" fillId="0" borderId="0" xfId="0" applyNumberFormat="1"/>
    <xf numFmtId="3" fontId="6" fillId="0" borderId="28" xfId="0" applyNumberFormat="1" applyFont="1" applyFill="1" applyBorder="1" applyProtection="1">
      <protection locked="0"/>
    </xf>
    <xf numFmtId="0" fontId="38" fillId="7" borderId="0" xfId="0" applyFont="1" applyFill="1" applyAlignment="1">
      <alignment horizontal="center"/>
    </xf>
    <xf numFmtId="0" fontId="49" fillId="7" borderId="0" xfId="0" applyFont="1" applyFill="1"/>
    <xf numFmtId="0" fontId="44" fillId="7" borderId="0" xfId="0" applyFont="1" applyFill="1"/>
    <xf numFmtId="0" fontId="1" fillId="7" borderId="0" xfId="0" applyFont="1" applyFill="1"/>
    <xf numFmtId="0" fontId="1" fillId="6" borderId="6" xfId="0" applyFont="1" applyFill="1" applyBorder="1" applyAlignment="1">
      <alignment wrapText="1"/>
    </xf>
    <xf numFmtId="0" fontId="0" fillId="7" borderId="34" xfId="0" applyFill="1" applyBorder="1" applyProtection="1">
      <protection locked="0"/>
    </xf>
    <xf numFmtId="0" fontId="0" fillId="7" borderId="6" xfId="0" applyFill="1" applyBorder="1" applyProtection="1">
      <protection locked="0"/>
    </xf>
    <xf numFmtId="0" fontId="0" fillId="7" borderId="39" xfId="0" applyFill="1" applyBorder="1" applyProtection="1">
      <protection locked="0"/>
    </xf>
    <xf numFmtId="0" fontId="0" fillId="6" borderId="40" xfId="0" applyFill="1" applyBorder="1" applyAlignment="1">
      <alignment wrapText="1"/>
    </xf>
    <xf numFmtId="0" fontId="0" fillId="6" borderId="41" xfId="0" applyFill="1" applyBorder="1" applyAlignment="1">
      <alignment wrapText="1"/>
    </xf>
    <xf numFmtId="0" fontId="0" fillId="6" borderId="42" xfId="0" applyFill="1" applyBorder="1" applyAlignment="1">
      <alignment wrapText="1"/>
    </xf>
    <xf numFmtId="0" fontId="0" fillId="7" borderId="21" xfId="0" applyFill="1" applyBorder="1" applyProtection="1">
      <protection locked="0"/>
    </xf>
    <xf numFmtId="0" fontId="0" fillId="7" borderId="23" xfId="0" applyFill="1" applyBorder="1" applyProtection="1">
      <protection locked="0"/>
    </xf>
    <xf numFmtId="3" fontId="6" fillId="0" borderId="14" xfId="0" applyNumberFormat="1" applyFont="1" applyFill="1" applyBorder="1" applyAlignment="1" applyProtection="1">
      <alignment horizontal="right" wrapText="1"/>
      <protection locked="0"/>
    </xf>
    <xf numFmtId="0" fontId="0" fillId="7" borderId="27" xfId="0" applyFill="1" applyBorder="1" applyProtection="1">
      <protection locked="0"/>
    </xf>
    <xf numFmtId="0" fontId="6" fillId="6" borderId="43" xfId="0" applyFont="1" applyFill="1" applyBorder="1" applyAlignment="1">
      <alignment wrapText="1"/>
    </xf>
    <xf numFmtId="0" fontId="0" fillId="6" borderId="18" xfId="0" applyFill="1" applyBorder="1"/>
    <xf numFmtId="3" fontId="6" fillId="0" borderId="18" xfId="0" applyNumberFormat="1" applyFont="1" applyFill="1" applyBorder="1" applyAlignment="1" applyProtection="1">
      <alignment horizontal="right" wrapText="1"/>
      <protection locked="0"/>
    </xf>
    <xf numFmtId="0" fontId="0" fillId="7" borderId="9" xfId="0" applyFill="1" applyBorder="1" applyProtection="1">
      <protection locked="0"/>
    </xf>
    <xf numFmtId="0" fontId="3" fillId="6" borderId="19" xfId="0" applyFont="1" applyFill="1" applyBorder="1"/>
    <xf numFmtId="0" fontId="3" fillId="6" borderId="33" xfId="0" applyFont="1" applyFill="1" applyBorder="1"/>
    <xf numFmtId="0" fontId="0" fillId="6" borderId="33" xfId="0" applyFill="1" applyBorder="1"/>
    <xf numFmtId="0" fontId="1" fillId="7" borderId="19" xfId="0" applyFont="1" applyFill="1" applyBorder="1" applyAlignment="1" applyProtection="1">
      <alignment horizontal="center" wrapText="1"/>
      <protection locked="0"/>
    </xf>
    <xf numFmtId="0" fontId="1" fillId="7" borderId="20" xfId="0" applyFont="1" applyFill="1" applyBorder="1" applyAlignment="1" applyProtection="1">
      <alignment horizontal="center" wrapText="1"/>
      <protection locked="0"/>
    </xf>
    <xf numFmtId="0" fontId="1" fillId="7" borderId="22" xfId="0" applyFont="1" applyFill="1" applyBorder="1" applyAlignment="1" applyProtection="1">
      <alignment horizontal="center" wrapText="1"/>
      <protection locked="0"/>
    </xf>
    <xf numFmtId="0" fontId="1" fillId="7" borderId="29" xfId="0" applyFont="1" applyFill="1" applyBorder="1" applyAlignment="1" applyProtection="1">
      <alignment horizontal="center" wrapText="1"/>
      <protection locked="0"/>
    </xf>
    <xf numFmtId="0" fontId="1" fillId="0" borderId="19" xfId="0" applyFont="1" applyFill="1" applyBorder="1" applyAlignment="1" applyProtection="1">
      <alignment horizontal="center" wrapText="1"/>
      <protection locked="0"/>
    </xf>
    <xf numFmtId="0" fontId="1" fillId="0" borderId="22" xfId="0" applyFont="1" applyFill="1" applyBorder="1" applyAlignment="1" applyProtection="1">
      <alignment horizontal="center" wrapText="1"/>
      <protection locked="0"/>
    </xf>
    <xf numFmtId="0" fontId="1" fillId="0" borderId="20" xfId="0" applyFont="1" applyFill="1" applyBorder="1" applyAlignment="1" applyProtection="1">
      <alignment horizontal="center" wrapText="1"/>
      <protection locked="0"/>
    </xf>
    <xf numFmtId="0" fontId="1" fillId="0" borderId="31" xfId="0" applyFont="1" applyFill="1" applyBorder="1" applyAlignment="1" applyProtection="1">
      <alignment horizontal="center" wrapText="1"/>
      <protection locked="0"/>
    </xf>
    <xf numFmtId="0" fontId="6" fillId="0" borderId="0" xfId="0" applyFont="1" applyAlignment="1">
      <alignment wrapText="1"/>
    </xf>
    <xf numFmtId="0" fontId="1" fillId="0" borderId="1" xfId="0" applyFont="1" applyBorder="1" applyAlignment="1">
      <alignment wrapText="1"/>
    </xf>
    <xf numFmtId="0" fontId="1" fillId="0" borderId="8" xfId="0" applyFont="1" applyFill="1" applyBorder="1"/>
    <xf numFmtId="0" fontId="3" fillId="0" borderId="32" xfId="0" applyFont="1" applyBorder="1" applyAlignment="1">
      <alignment wrapText="1"/>
    </xf>
    <xf numFmtId="3" fontId="1" fillId="2" borderId="3" xfId="0" quotePrefix="1" applyNumberFormat="1" applyFont="1" applyFill="1" applyBorder="1" applyAlignment="1">
      <alignment horizontal="center"/>
    </xf>
    <xf numFmtId="4" fontId="1" fillId="3" borderId="3" xfId="0" applyNumberFormat="1" applyFont="1" applyFill="1" applyBorder="1"/>
    <xf numFmtId="0" fontId="50" fillId="0" borderId="0" xfId="0" quotePrefix="1" applyFont="1" applyFill="1" applyAlignment="1">
      <alignment wrapText="1"/>
    </xf>
    <xf numFmtId="0" fontId="1" fillId="0" borderId="0" xfId="0" quotePrefix="1" applyFont="1" applyFill="1"/>
    <xf numFmtId="0" fontId="44" fillId="0" borderId="0" xfId="0" applyFont="1" applyFill="1"/>
    <xf numFmtId="0" fontId="1" fillId="8" borderId="3" xfId="0" applyFont="1" applyFill="1" applyBorder="1"/>
    <xf numFmtId="169" fontId="1" fillId="2" borderId="3" xfId="1" applyNumberFormat="1" applyFont="1" applyFill="1" applyBorder="1"/>
    <xf numFmtId="3" fontId="50" fillId="3" borderId="3" xfId="0" applyNumberFormat="1" applyFont="1" applyFill="1" applyBorder="1"/>
    <xf numFmtId="0" fontId="44" fillId="0" borderId="0" xfId="0" quotePrefix="1" applyFont="1" applyFill="1"/>
    <xf numFmtId="0" fontId="44" fillId="0" borderId="0" xfId="0" applyFont="1" applyFill="1" applyAlignment="1">
      <alignment wrapText="1"/>
    </xf>
    <xf numFmtId="0" fontId="44" fillId="8" borderId="3" xfId="0" applyFont="1" applyFill="1" applyBorder="1"/>
    <xf numFmtId="3" fontId="44" fillId="3" borderId="3" xfId="0" applyNumberFormat="1" applyFont="1" applyFill="1" applyBorder="1"/>
    <xf numFmtId="164" fontId="44" fillId="8" borderId="3" xfId="0" applyNumberFormat="1" applyFont="1" applyFill="1" applyBorder="1"/>
    <xf numFmtId="169" fontId="44" fillId="2" borderId="3" xfId="1" applyNumberFormat="1" applyFont="1" applyFill="1" applyBorder="1"/>
    <xf numFmtId="0" fontId="1" fillId="0" borderId="0" xfId="0" applyFont="1" applyFill="1" applyAlignment="1">
      <alignment wrapText="1"/>
    </xf>
    <xf numFmtId="3" fontId="3" fillId="3" borderId="3" xfId="0" applyNumberFormat="1" applyFont="1" applyFill="1" applyBorder="1"/>
    <xf numFmtId="4" fontId="37" fillId="3" borderId="3" xfId="0" applyNumberFormat="1" applyFont="1" applyFill="1" applyBorder="1"/>
    <xf numFmtId="0" fontId="0" fillId="0" borderId="5" xfId="0" applyFill="1" applyBorder="1" applyAlignment="1">
      <alignment wrapText="1"/>
    </xf>
    <xf numFmtId="0" fontId="0" fillId="0" borderId="5" xfId="0" applyBorder="1" applyAlignment="1">
      <alignment wrapText="1"/>
    </xf>
    <xf numFmtId="2" fontId="37" fillId="3" borderId="3" xfId="0" applyNumberFormat="1" applyFont="1" applyFill="1" applyBorder="1"/>
    <xf numFmtId="168" fontId="44" fillId="3" borderId="3" xfId="0" applyNumberFormat="1" applyFont="1" applyFill="1" applyBorder="1"/>
    <xf numFmtId="3" fontId="0" fillId="6" borderId="18" xfId="0" applyNumberFormat="1" applyFill="1" applyBorder="1" applyAlignment="1"/>
    <xf numFmtId="168" fontId="0" fillId="6" borderId="18" xfId="0" applyNumberFormat="1" applyFill="1" applyBorder="1" applyAlignment="1"/>
    <xf numFmtId="0" fontId="6" fillId="6" borderId="3" xfId="0" applyFont="1" applyFill="1" applyBorder="1" applyAlignment="1" applyProtection="1">
      <alignment horizontal="center" wrapText="1"/>
      <protection locked="0"/>
    </xf>
    <xf numFmtId="0" fontId="6" fillId="6" borderId="4" xfId="0" applyFont="1" applyFill="1" applyBorder="1" applyAlignment="1" applyProtection="1">
      <alignment horizontal="center" wrapText="1"/>
      <protection locked="0"/>
    </xf>
    <xf numFmtId="0" fontId="6" fillId="6" borderId="18" xfId="0" applyFont="1" applyFill="1" applyBorder="1" applyAlignment="1" applyProtection="1">
      <alignment horizontal="center" wrapText="1"/>
      <protection locked="0"/>
    </xf>
    <xf numFmtId="0" fontId="1" fillId="6" borderId="4" xfId="0" applyFont="1" applyFill="1" applyBorder="1" applyAlignment="1" applyProtection="1">
      <alignment horizontal="center" wrapText="1"/>
      <protection locked="0"/>
    </xf>
    <xf numFmtId="0" fontId="1" fillId="6" borderId="18" xfId="0" applyFont="1" applyFill="1" applyBorder="1" applyAlignment="1" applyProtection="1">
      <alignment horizontal="center" wrapText="1"/>
      <protection locked="0"/>
    </xf>
    <xf numFmtId="0" fontId="38" fillId="6" borderId="6" xfId="0" quotePrefix="1" applyFont="1" applyFill="1" applyBorder="1" applyAlignment="1">
      <alignment wrapText="1"/>
    </xf>
    <xf numFmtId="0" fontId="51" fillId="6" borderId="3" xfId="0" quotePrefix="1" applyFont="1" applyFill="1" applyBorder="1" applyAlignment="1">
      <alignment horizontal="left" vertical="top" wrapText="1"/>
    </xf>
    <xf numFmtId="0" fontId="51" fillId="6" borderId="6" xfId="0" quotePrefix="1" applyFont="1" applyFill="1" applyBorder="1" applyAlignment="1">
      <alignment wrapText="1"/>
    </xf>
    <xf numFmtId="0" fontId="51" fillId="6" borderId="3" xfId="0" applyFont="1" applyFill="1" applyBorder="1" applyAlignment="1">
      <alignment wrapText="1"/>
    </xf>
    <xf numFmtId="0" fontId="51" fillId="6" borderId="3" xfId="0" quotePrefix="1" applyFont="1" applyFill="1" applyBorder="1" applyAlignment="1">
      <alignment horizontal="right" wrapText="1"/>
    </xf>
    <xf numFmtId="0" fontId="1" fillId="0" borderId="0" xfId="0" quotePrefix="1" applyFont="1" applyFill="1" applyAlignment="1">
      <alignment wrapText="1"/>
    </xf>
    <xf numFmtId="0" fontId="6" fillId="6" borderId="18" xfId="0" applyFont="1" applyFill="1" applyBorder="1"/>
    <xf numFmtId="0" fontId="1" fillId="0" borderId="40" xfId="0" applyFont="1" applyFill="1" applyBorder="1" applyAlignment="1" applyProtection="1">
      <alignment horizontal="center"/>
      <protection locked="0"/>
    </xf>
    <xf numFmtId="0" fontId="51" fillId="6" borderId="3" xfId="0" applyFont="1" applyFill="1" applyBorder="1" applyAlignment="1" applyProtection="1">
      <alignment wrapText="1"/>
      <protection locked="0"/>
    </xf>
    <xf numFmtId="168" fontId="51" fillId="6" borderId="3" xfId="0" quotePrefix="1" applyNumberFormat="1" applyFont="1" applyFill="1" applyBorder="1" applyAlignment="1">
      <alignment horizontal="right" wrapText="1"/>
    </xf>
    <xf numFmtId="168" fontId="1" fillId="6" borderId="3" xfId="0" applyNumberFormat="1" applyFont="1" applyFill="1" applyBorder="1"/>
    <xf numFmtId="0" fontId="1" fillId="6" borderId="3" xfId="0" applyFont="1" applyFill="1" applyBorder="1" applyAlignment="1">
      <alignment wrapText="1"/>
    </xf>
    <xf numFmtId="0" fontId="1" fillId="7" borderId="30" xfId="0" applyFont="1" applyFill="1" applyBorder="1" applyAlignment="1" applyProtection="1">
      <alignment horizontal="center" wrapText="1"/>
      <protection locked="0"/>
    </xf>
    <xf numFmtId="0" fontId="51" fillId="6" borderId="0" xfId="0" applyFont="1" applyFill="1" applyBorder="1" applyAlignment="1">
      <alignment horizontal="left"/>
    </xf>
    <xf numFmtId="0" fontId="1" fillId="0" borderId="30"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7" borderId="30" xfId="0" applyFont="1" applyFill="1" applyBorder="1" applyAlignment="1" applyProtection="1">
      <alignment horizontal="center"/>
      <protection locked="0"/>
    </xf>
    <xf numFmtId="0" fontId="1" fillId="6" borderId="7" xfId="0" applyFont="1" applyFill="1" applyBorder="1" applyAlignment="1"/>
    <xf numFmtId="0" fontId="1" fillId="6" borderId="7" xfId="0" applyFont="1" applyFill="1" applyBorder="1" applyAlignment="1">
      <alignment wrapText="1"/>
    </xf>
    <xf numFmtId="168" fontId="0" fillId="6" borderId="18" xfId="0" applyNumberFormat="1" applyFill="1" applyBorder="1"/>
    <xf numFmtId="169" fontId="21" fillId="2" borderId="3" xfId="1" applyNumberFormat="1" applyFont="1" applyFill="1" applyBorder="1"/>
    <xf numFmtId="0" fontId="6" fillId="6" borderId="4" xfId="0" applyFont="1" applyFill="1" applyBorder="1" applyAlignment="1">
      <alignment wrapText="1"/>
    </xf>
    <xf numFmtId="0" fontId="51" fillId="6" borderId="4" xfId="0" quotePrefix="1" applyFont="1" applyFill="1" applyBorder="1" applyAlignment="1">
      <alignment horizontal="left" vertical="top" wrapText="1"/>
    </xf>
    <xf numFmtId="0" fontId="1" fillId="6" borderId="0" xfId="0" applyFont="1" applyFill="1" applyBorder="1" applyAlignment="1">
      <alignment horizontal="center"/>
    </xf>
    <xf numFmtId="169" fontId="1" fillId="6" borderId="0" xfId="1" applyNumberFormat="1" applyFont="1" applyFill="1" applyBorder="1" applyAlignment="1">
      <alignment horizontal="center"/>
    </xf>
    <xf numFmtId="0" fontId="0" fillId="6" borderId="8" xfId="0" applyFill="1" applyBorder="1"/>
    <xf numFmtId="0" fontId="0" fillId="6" borderId="32" xfId="0" applyFill="1" applyBorder="1"/>
    <xf numFmtId="0" fontId="52" fillId="6" borderId="1" xfId="0" applyFont="1" applyFill="1" applyBorder="1" applyAlignment="1">
      <alignment wrapText="1"/>
    </xf>
    <xf numFmtId="0" fontId="52" fillId="6" borderId="11" xfId="0" applyFont="1" applyFill="1" applyBorder="1" applyAlignment="1">
      <alignment wrapText="1"/>
    </xf>
    <xf numFmtId="0" fontId="0" fillId="6" borderId="2" xfId="0" applyFill="1" applyBorder="1" applyAlignment="1">
      <alignment horizontal="center"/>
    </xf>
    <xf numFmtId="0" fontId="0" fillId="6" borderId="2" xfId="0" applyFill="1" applyBorder="1"/>
    <xf numFmtId="173" fontId="7" fillId="9" borderId="3" xfId="1" applyNumberFormat="1" applyFont="1" applyFill="1" applyBorder="1" applyAlignment="1">
      <alignment horizontal="center" wrapText="1"/>
    </xf>
    <xf numFmtId="0" fontId="1" fillId="10" borderId="3" xfId="0" applyFont="1" applyFill="1" applyBorder="1" applyAlignment="1">
      <alignment wrapText="1"/>
    </xf>
    <xf numFmtId="0" fontId="1" fillId="7" borderId="3" xfId="0" applyFont="1" applyFill="1" applyBorder="1" applyAlignment="1">
      <alignment wrapText="1"/>
    </xf>
    <xf numFmtId="0" fontId="3" fillId="13" borderId="3" xfId="0" applyFont="1" applyFill="1" applyBorder="1" applyProtection="1"/>
    <xf numFmtId="0" fontId="0" fillId="13" borderId="3" xfId="0" applyFill="1" applyBorder="1" applyProtection="1"/>
    <xf numFmtId="0" fontId="1" fillId="13" borderId="3" xfId="0" applyFont="1" applyFill="1" applyBorder="1" applyAlignment="1" applyProtection="1">
      <alignment wrapText="1"/>
    </xf>
    <xf numFmtId="2" fontId="0" fillId="13" borderId="3" xfId="0" applyNumberFormat="1" applyFill="1" applyBorder="1" applyProtection="1"/>
    <xf numFmtId="0" fontId="0" fillId="13" borderId="3" xfId="0" applyFill="1" applyBorder="1" applyAlignment="1" applyProtection="1">
      <alignment wrapText="1"/>
    </xf>
    <xf numFmtId="169" fontId="0" fillId="13" borderId="3" xfId="0" applyNumberFormat="1" applyFill="1" applyBorder="1" applyProtection="1"/>
    <xf numFmtId="0" fontId="1" fillId="13" borderId="3" xfId="0" applyFont="1" applyFill="1" applyBorder="1" applyProtection="1"/>
    <xf numFmtId="0" fontId="51" fillId="6" borderId="3" xfId="0" applyFont="1" applyFill="1" applyBorder="1"/>
    <xf numFmtId="0" fontId="3" fillId="6" borderId="0" xfId="0" applyFont="1" applyFill="1" applyAlignment="1"/>
    <xf numFmtId="0" fontId="3" fillId="6" borderId="0" xfId="0" applyFont="1" applyFill="1" applyAlignment="1">
      <alignment wrapText="1"/>
    </xf>
    <xf numFmtId="0" fontId="0" fillId="6" borderId="0" xfId="0" applyFill="1" applyAlignment="1">
      <alignment wrapText="1"/>
    </xf>
    <xf numFmtId="0" fontId="0" fillId="12" borderId="3" xfId="0" applyFill="1" applyBorder="1" applyAlignment="1">
      <alignment wrapText="1"/>
    </xf>
    <xf numFmtId="0" fontId="3" fillId="12" borderId="3" xfId="0" applyFont="1" applyFill="1" applyBorder="1" applyAlignment="1">
      <alignment wrapText="1"/>
    </xf>
    <xf numFmtId="0" fontId="51" fillId="6" borderId="3" xfId="0" applyFont="1" applyFill="1" applyBorder="1" applyAlignment="1"/>
    <xf numFmtId="0" fontId="38" fillId="7" borderId="0" xfId="0" applyFont="1" applyFill="1" applyAlignment="1">
      <alignment wrapText="1"/>
    </xf>
    <xf numFmtId="0" fontId="54" fillId="7" borderId="0" xfId="0" applyFont="1" applyFill="1"/>
    <xf numFmtId="0" fontId="54" fillId="7" borderId="0" xfId="0" applyFont="1" applyFill="1" applyAlignment="1"/>
    <xf numFmtId="0" fontId="1" fillId="5" borderId="0" xfId="0" applyFont="1" applyFill="1"/>
    <xf numFmtId="0" fontId="6" fillId="6" borderId="3" xfId="0" applyFont="1" applyFill="1" applyBorder="1" applyAlignment="1">
      <alignment horizontal="center" wrapText="1"/>
    </xf>
    <xf numFmtId="0" fontId="1" fillId="6" borderId="4" xfId="0" quotePrefix="1" applyFont="1" applyFill="1" applyBorder="1" applyAlignment="1">
      <alignment horizontal="left" vertical="top"/>
    </xf>
    <xf numFmtId="0" fontId="1" fillId="6" borderId="3" xfId="0" quotePrefix="1" applyFont="1" applyFill="1" applyBorder="1" applyAlignment="1">
      <alignment horizontal="left" vertical="top"/>
    </xf>
    <xf numFmtId="0" fontId="0" fillId="6" borderId="11" xfId="0" applyFill="1" applyBorder="1" applyAlignment="1">
      <alignment wrapText="1"/>
    </xf>
    <xf numFmtId="0" fontId="0" fillId="6" borderId="9" xfId="0" applyFill="1" applyBorder="1" applyAlignment="1">
      <alignment wrapText="1"/>
    </xf>
    <xf numFmtId="0" fontId="1" fillId="0" borderId="29" xfId="0" applyFont="1" applyFill="1" applyBorder="1" applyAlignment="1" applyProtection="1">
      <alignment horizontal="center" wrapText="1"/>
      <protection locked="0"/>
    </xf>
    <xf numFmtId="0" fontId="1" fillId="6" borderId="9" xfId="0" applyFont="1" applyFill="1" applyBorder="1" applyAlignment="1">
      <alignment wrapText="1"/>
    </xf>
    <xf numFmtId="0" fontId="0" fillId="6" borderId="4" xfId="0" applyFill="1" applyBorder="1" applyAlignment="1">
      <alignment wrapText="1"/>
    </xf>
    <xf numFmtId="168" fontId="25" fillId="6" borderId="3" xfId="0" applyNumberFormat="1" applyFont="1" applyFill="1" applyBorder="1" applyAlignment="1">
      <alignment horizontal="left"/>
    </xf>
    <xf numFmtId="0" fontId="3" fillId="14" borderId="3" xfId="0" applyFont="1" applyFill="1" applyBorder="1"/>
    <xf numFmtId="0" fontId="3" fillId="14" borderId="32" xfId="0" applyFont="1" applyFill="1" applyBorder="1" applyAlignment="1">
      <alignment horizontal="center"/>
    </xf>
    <xf numFmtId="0" fontId="3" fillId="14" borderId="3" xfId="0" applyFont="1" applyFill="1" applyBorder="1" applyAlignment="1">
      <alignment wrapText="1"/>
    </xf>
    <xf numFmtId="0" fontId="3" fillId="14" borderId="7" xfId="0" applyFont="1" applyFill="1" applyBorder="1" applyAlignment="1">
      <alignment horizontal="center" wrapText="1"/>
    </xf>
    <xf numFmtId="0" fontId="3" fillId="14" borderId="3" xfId="0" applyFont="1" applyFill="1" applyBorder="1" applyAlignment="1">
      <alignment horizontal="center" wrapText="1"/>
    </xf>
    <xf numFmtId="0" fontId="3" fillId="14" borderId="6" xfId="0" applyFont="1" applyFill="1" applyBorder="1" applyAlignment="1">
      <alignment wrapText="1"/>
    </xf>
    <xf numFmtId="0" fontId="3" fillId="14" borderId="18" xfId="0" applyFont="1" applyFill="1" applyBorder="1" applyAlignment="1">
      <alignment horizontal="center" wrapText="1"/>
    </xf>
    <xf numFmtId="0" fontId="3" fillId="14" borderId="3" xfId="0" applyFont="1" applyFill="1" applyBorder="1" applyAlignment="1">
      <alignment horizontal="left" wrapText="1"/>
    </xf>
    <xf numFmtId="0" fontId="3" fillId="14" borderId="3" xfId="0" applyFont="1" applyFill="1" applyBorder="1" applyAlignment="1">
      <alignment horizontal="center"/>
    </xf>
    <xf numFmtId="0" fontId="3" fillId="14" borderId="18" xfId="0" applyFont="1" applyFill="1" applyBorder="1" applyAlignment="1">
      <alignment horizontal="center"/>
    </xf>
    <xf numFmtId="0" fontId="6" fillId="14" borderId="3" xfId="0" applyFont="1" applyFill="1" applyBorder="1"/>
    <xf numFmtId="0" fontId="0" fillId="14" borderId="3" xfId="0" applyFill="1" applyBorder="1"/>
    <xf numFmtId="169" fontId="3" fillId="14" borderId="6" xfId="1" applyNumberFormat="1" applyFont="1" applyFill="1" applyBorder="1" applyAlignment="1">
      <alignment horizontal="center" wrapText="1"/>
    </xf>
    <xf numFmtId="169" fontId="3" fillId="14" borderId="3" xfId="1" applyNumberFormat="1" applyFont="1" applyFill="1" applyBorder="1" applyAlignment="1">
      <alignment horizontal="center" wrapText="1"/>
    </xf>
    <xf numFmtId="0" fontId="1" fillId="7" borderId="3" xfId="0" applyFont="1" applyFill="1" applyBorder="1" applyAlignment="1" applyProtection="1">
      <alignment wrapText="1"/>
    </xf>
    <xf numFmtId="0" fontId="1" fillId="7" borderId="3" xfId="0" applyNumberFormat="1" applyFont="1" applyFill="1" applyBorder="1" applyAlignment="1">
      <alignment wrapText="1"/>
    </xf>
    <xf numFmtId="0" fontId="3" fillId="14" borderId="6" xfId="0" applyFont="1" applyFill="1" applyBorder="1" applyAlignment="1">
      <alignment horizontal="center" wrapText="1"/>
    </xf>
    <xf numFmtId="0" fontId="3" fillId="14" borderId="7" xfId="0" applyFont="1" applyFill="1" applyBorder="1" applyAlignment="1">
      <alignment horizontal="center" wrapText="1"/>
    </xf>
    <xf numFmtId="0" fontId="3" fillId="14" borderId="3" xfId="0" applyFont="1" applyFill="1" applyBorder="1" applyAlignment="1">
      <alignment horizontal="center" wrapText="1"/>
    </xf>
    <xf numFmtId="0" fontId="55" fillId="15" borderId="6" xfId="0" applyFont="1" applyFill="1" applyBorder="1" applyAlignment="1">
      <alignment wrapText="1"/>
    </xf>
    <xf numFmtId="0" fontId="55" fillId="15" borderId="3" xfId="0" applyFont="1" applyFill="1" applyBorder="1" applyAlignment="1">
      <alignment wrapText="1"/>
    </xf>
    <xf numFmtId="0" fontId="56" fillId="15" borderId="3" xfId="0" applyFont="1" applyFill="1" applyBorder="1" applyAlignment="1">
      <alignment wrapText="1"/>
    </xf>
    <xf numFmtId="0" fontId="56" fillId="15" borderId="6" xfId="0" applyFont="1" applyFill="1" applyBorder="1" applyAlignment="1">
      <alignment wrapText="1"/>
    </xf>
    <xf numFmtId="0" fontId="56" fillId="15" borderId="6" xfId="0" applyFont="1" applyFill="1" applyBorder="1" applyAlignment="1">
      <alignment horizontal="left" wrapText="1"/>
    </xf>
    <xf numFmtId="0" fontId="56" fillId="15" borderId="6" xfId="0" applyFont="1" applyFill="1" applyBorder="1"/>
    <xf numFmtId="0" fontId="55" fillId="15" borderId="3" xfId="0" applyFont="1" applyFill="1" applyBorder="1" applyAlignment="1" applyProtection="1"/>
    <xf numFmtId="0" fontId="55" fillId="15" borderId="3" xfId="0" applyFont="1" applyFill="1" applyBorder="1" applyAlignment="1" applyProtection="1">
      <alignment wrapText="1"/>
    </xf>
    <xf numFmtId="0" fontId="56" fillId="15" borderId="3" xfId="0" applyFont="1" applyFill="1" applyBorder="1" applyAlignment="1" applyProtection="1">
      <alignment wrapText="1"/>
    </xf>
    <xf numFmtId="0" fontId="56" fillId="4" borderId="0" xfId="0" applyFont="1" applyFill="1"/>
    <xf numFmtId="0" fontId="0" fillId="4" borderId="0" xfId="0" applyFill="1" applyAlignment="1">
      <alignment horizontal="left"/>
    </xf>
    <xf numFmtId="168" fontId="0" fillId="4" borderId="0" xfId="0" applyNumberFormat="1" applyFill="1"/>
    <xf numFmtId="0" fontId="55" fillId="4" borderId="0" xfId="0" applyFont="1" applyFill="1" applyAlignment="1">
      <alignment wrapText="1"/>
    </xf>
    <xf numFmtId="166" fontId="0" fillId="4" borderId="0" xfId="0" applyNumberFormat="1" applyFill="1" applyAlignment="1">
      <alignment horizontal="left"/>
    </xf>
    <xf numFmtId="0" fontId="56" fillId="4" borderId="0" xfId="0" applyFont="1" applyFill="1" applyAlignment="1">
      <alignment wrapText="1"/>
    </xf>
    <xf numFmtId="0" fontId="55" fillId="4" borderId="0" xfId="0" applyFont="1" applyFill="1"/>
    <xf numFmtId="0" fontId="3" fillId="4" borderId="0" xfId="0" applyFont="1" applyFill="1" applyAlignment="1">
      <alignment horizontal="center"/>
    </xf>
    <xf numFmtId="0" fontId="56" fillId="15" borderId="7" xfId="0" applyFont="1" applyFill="1" applyBorder="1" applyAlignment="1">
      <alignment horizontal="center" wrapText="1"/>
    </xf>
    <xf numFmtId="0" fontId="56" fillId="15" borderId="3" xfId="0" applyFont="1" applyFill="1" applyBorder="1" applyAlignment="1">
      <alignment horizontal="center" wrapText="1"/>
    </xf>
    <xf numFmtId="0" fontId="0" fillId="15" borderId="3" xfId="0" applyFill="1" applyBorder="1" applyAlignment="1">
      <alignment wrapText="1"/>
    </xf>
    <xf numFmtId="0" fontId="56" fillId="15" borderId="6" xfId="0" applyFont="1" applyFill="1" applyBorder="1" applyAlignment="1">
      <alignment horizontal="center" wrapText="1"/>
    </xf>
    <xf numFmtId="0" fontId="0" fillId="4" borderId="0" xfId="0" applyFill="1" applyAlignment="1">
      <alignment wrapText="1"/>
    </xf>
    <xf numFmtId="0" fontId="55" fillId="15" borderId="3" xfId="0" applyFont="1" applyFill="1" applyBorder="1"/>
    <xf numFmtId="0" fontId="56" fillId="15" borderId="3" xfId="0" applyFont="1" applyFill="1" applyBorder="1" applyAlignment="1">
      <alignment horizontal="center"/>
    </xf>
    <xf numFmtId="0" fontId="56" fillId="4" borderId="3" xfId="0" applyFont="1" applyFill="1" applyBorder="1" applyAlignment="1">
      <alignment wrapText="1"/>
    </xf>
    <xf numFmtId="0" fontId="56" fillId="0" borderId="0" xfId="0" applyFont="1" applyAlignment="1">
      <alignment wrapText="1"/>
    </xf>
    <xf numFmtId="0" fontId="55" fillId="0" borderId="0" xfId="0" applyFont="1" applyAlignment="1">
      <alignment wrapText="1"/>
    </xf>
    <xf numFmtId="0" fontId="56" fillId="16" borderId="0" xfId="0" applyFont="1" applyFill="1" applyAlignment="1">
      <alignment wrapText="1"/>
    </xf>
    <xf numFmtId="0" fontId="0" fillId="15" borderId="6" xfId="0" applyFill="1" applyBorder="1" applyAlignment="1">
      <alignment wrapText="1"/>
    </xf>
    <xf numFmtId="0" fontId="56" fillId="15" borderId="7" xfId="0" applyFont="1" applyFill="1" applyBorder="1"/>
    <xf numFmtId="0" fontId="56" fillId="15" borderId="3" xfId="0" applyFont="1" applyFill="1" applyBorder="1"/>
    <xf numFmtId="0" fontId="56" fillId="15" borderId="7" xfId="0" applyFont="1" applyFill="1" applyBorder="1" applyAlignment="1">
      <alignment wrapText="1"/>
    </xf>
    <xf numFmtId="0" fontId="59" fillId="14" borderId="3" xfId="0" applyFont="1" applyFill="1" applyBorder="1" applyAlignment="1">
      <alignment wrapText="1"/>
    </xf>
    <xf numFmtId="0" fontId="59" fillId="14" borderId="7" xfId="0" applyFont="1" applyFill="1" applyBorder="1" applyAlignment="1">
      <alignment horizontal="center" wrapText="1"/>
    </xf>
    <xf numFmtId="0" fontId="59" fillId="14" borderId="3" xfId="0" applyFont="1" applyFill="1" applyBorder="1" applyAlignment="1">
      <alignment horizontal="center" wrapText="1"/>
    </xf>
    <xf numFmtId="0" fontId="59" fillId="14" borderId="6" xfId="0" applyFont="1" applyFill="1" applyBorder="1" applyAlignment="1">
      <alignment horizontal="center" wrapText="1"/>
    </xf>
    <xf numFmtId="0" fontId="3" fillId="7" borderId="0" xfId="0" applyFont="1" applyFill="1" applyAlignment="1">
      <alignment wrapText="1"/>
    </xf>
    <xf numFmtId="0" fontId="59" fillId="14" borderId="3" xfId="0" applyFont="1" applyFill="1" applyBorder="1"/>
    <xf numFmtId="0" fontId="59" fillId="14" borderId="18" xfId="0" applyFont="1" applyFill="1" applyBorder="1" applyAlignment="1">
      <alignment horizontal="center" wrapText="1"/>
    </xf>
    <xf numFmtId="0" fontId="59" fillId="14" borderId="3" xfId="0" applyFont="1" applyFill="1" applyBorder="1" applyAlignment="1">
      <alignment horizontal="left" wrapText="1"/>
    </xf>
    <xf numFmtId="0" fontId="59" fillId="14" borderId="3" xfId="0" applyFont="1" applyFill="1" applyBorder="1" applyAlignment="1">
      <alignment horizontal="center"/>
    </xf>
    <xf numFmtId="0" fontId="60" fillId="4" borderId="0" xfId="0" applyFont="1" applyFill="1"/>
    <xf numFmtId="0" fontId="55" fillId="4" borderId="0" xfId="0" applyFont="1" applyFill="1" applyAlignment="1">
      <alignment horizontal="left"/>
    </xf>
    <xf numFmtId="0" fontId="1" fillId="15" borderId="3" xfId="0" applyFont="1" applyFill="1" applyBorder="1" applyAlignment="1">
      <alignment wrapText="1"/>
    </xf>
    <xf numFmtId="0" fontId="55" fillId="4" borderId="0" xfId="0" applyFont="1" applyFill="1" applyBorder="1" applyAlignment="1"/>
    <xf numFmtId="0" fontId="3" fillId="15" borderId="18" xfId="0" applyFont="1" applyFill="1" applyBorder="1" applyAlignment="1">
      <alignment horizontal="center"/>
    </xf>
    <xf numFmtId="0" fontId="6" fillId="14" borderId="3" xfId="0" applyFont="1" applyFill="1" applyBorder="1" applyAlignment="1">
      <alignment wrapText="1"/>
    </xf>
    <xf numFmtId="0" fontId="0" fillId="6" borderId="0" xfId="0" applyFill="1" applyBorder="1" applyAlignment="1">
      <alignment wrapText="1"/>
    </xf>
    <xf numFmtId="0" fontId="0" fillId="6" borderId="2" xfId="0" applyFill="1" applyBorder="1" applyAlignment="1">
      <alignment wrapText="1"/>
    </xf>
    <xf numFmtId="0" fontId="3" fillId="15" borderId="3" xfId="0" applyFont="1" applyFill="1" applyBorder="1" applyAlignment="1">
      <alignment wrapText="1"/>
    </xf>
    <xf numFmtId="0" fontId="55" fillId="4" borderId="0" xfId="0" applyFont="1" applyFill="1" applyBorder="1" applyAlignment="1">
      <alignment wrapText="1"/>
    </xf>
    <xf numFmtId="0" fontId="6" fillId="6" borderId="0" xfId="0" applyFont="1" applyFill="1" applyAlignment="1">
      <alignment wrapText="1"/>
    </xf>
    <xf numFmtId="0" fontId="63" fillId="15" borderId="3" xfId="0" applyFont="1" applyFill="1" applyBorder="1" applyAlignment="1">
      <alignment wrapText="1"/>
    </xf>
    <xf numFmtId="0" fontId="64" fillId="15" borderId="3" xfId="0" applyFont="1" applyFill="1" applyBorder="1" applyAlignment="1">
      <alignment wrapText="1"/>
    </xf>
    <xf numFmtId="0" fontId="1" fillId="15" borderId="6" xfId="0" applyFont="1" applyFill="1" applyBorder="1" applyAlignment="1">
      <alignment wrapText="1"/>
    </xf>
    <xf numFmtId="0" fontId="1" fillId="0" borderId="0" xfId="0" applyFont="1" applyFill="1" applyProtection="1">
      <protection locked="0"/>
    </xf>
    <xf numFmtId="0" fontId="3" fillId="4" borderId="0" xfId="0" applyFont="1" applyFill="1" applyBorder="1" applyAlignment="1">
      <alignment horizontal="center"/>
    </xf>
    <xf numFmtId="0" fontId="0" fillId="4" borderId="0" xfId="0" applyFill="1" applyBorder="1"/>
    <xf numFmtId="0" fontId="0" fillId="15" borderId="18" xfId="0" applyFill="1" applyBorder="1" applyAlignment="1">
      <alignment wrapText="1"/>
    </xf>
    <xf numFmtId="0" fontId="0" fillId="15" borderId="10" xfId="0" applyFill="1" applyBorder="1"/>
    <xf numFmtId="0" fontId="0" fillId="4" borderId="0" xfId="0" applyFill="1" applyProtection="1">
      <protection locked="0"/>
    </xf>
    <xf numFmtId="0" fontId="1" fillId="0" borderId="26" xfId="0" applyFont="1" applyFill="1" applyBorder="1" applyAlignment="1" applyProtection="1">
      <alignment horizontal="center" wrapText="1"/>
      <protection locked="0"/>
    </xf>
    <xf numFmtId="0" fontId="1" fillId="0" borderId="24" xfId="0" applyFont="1" applyFill="1" applyBorder="1" applyAlignment="1" applyProtection="1">
      <alignment horizontal="center" wrapText="1"/>
      <protection locked="0"/>
    </xf>
    <xf numFmtId="0" fontId="1" fillId="0" borderId="25" xfId="0" applyFont="1" applyFill="1" applyBorder="1" applyAlignment="1" applyProtection="1">
      <alignment horizontal="center" wrapText="1"/>
      <protection locked="0"/>
    </xf>
    <xf numFmtId="0" fontId="1" fillId="15" borderId="6" xfId="0" applyFont="1" applyFill="1" applyBorder="1" applyAlignment="1">
      <alignment horizontal="left"/>
    </xf>
    <xf numFmtId="0" fontId="1" fillId="15" borderId="2" xfId="0" applyFont="1" applyFill="1" applyBorder="1" applyAlignment="1">
      <alignment horizontal="center"/>
    </xf>
    <xf numFmtId="0" fontId="0" fillId="15" borderId="7" xfId="0" applyFill="1" applyBorder="1"/>
    <xf numFmtId="0" fontId="65" fillId="4" borderId="0" xfId="0" applyFont="1" applyFill="1"/>
    <xf numFmtId="0" fontId="66" fillId="17" borderId="7" xfId="0" applyFont="1" applyFill="1" applyBorder="1" applyAlignment="1">
      <alignment horizontal="center" wrapText="1"/>
    </xf>
    <xf numFmtId="0" fontId="3" fillId="4" borderId="0" xfId="0" applyFont="1" applyFill="1"/>
    <xf numFmtId="0" fontId="0" fillId="15" borderId="13" xfId="0" applyFill="1" applyBorder="1"/>
    <xf numFmtId="0" fontId="66" fillId="4" borderId="0" xfId="0" applyFont="1" applyFill="1"/>
    <xf numFmtId="0" fontId="3" fillId="15" borderId="3" xfId="0" applyFont="1" applyFill="1" applyBorder="1" applyAlignment="1">
      <alignment horizontal="center"/>
    </xf>
    <xf numFmtId="0" fontId="3" fillId="4" borderId="3" xfId="0" applyFont="1" applyFill="1" applyBorder="1" applyAlignment="1">
      <alignment wrapText="1"/>
    </xf>
    <xf numFmtId="0" fontId="3" fillId="4" borderId="3" xfId="0" applyFont="1" applyFill="1" applyBorder="1" applyAlignment="1">
      <alignment horizontal="center"/>
    </xf>
    <xf numFmtId="0" fontId="56" fillId="15" borderId="19" xfId="0" applyFont="1" applyFill="1" applyBorder="1" applyAlignment="1">
      <alignment wrapText="1"/>
    </xf>
    <xf numFmtId="0" fontId="0" fillId="15" borderId="33" xfId="0" applyFill="1" applyBorder="1" applyAlignment="1">
      <alignment wrapText="1"/>
    </xf>
    <xf numFmtId="0" fontId="56" fillId="15" borderId="34" xfId="0" applyFont="1" applyFill="1" applyBorder="1" applyAlignment="1">
      <alignment horizontal="center" wrapText="1"/>
    </xf>
    <xf numFmtId="0" fontId="0" fillId="15" borderId="35" xfId="0" applyFill="1" applyBorder="1"/>
    <xf numFmtId="0" fontId="56" fillId="15" borderId="14" xfId="0" applyFont="1" applyFill="1" applyBorder="1" applyAlignment="1">
      <alignment wrapText="1"/>
    </xf>
    <xf numFmtId="0" fontId="56" fillId="15" borderId="14" xfId="0" applyFont="1" applyFill="1" applyBorder="1" applyAlignment="1">
      <alignment horizontal="center" wrapText="1"/>
    </xf>
    <xf numFmtId="0" fontId="56" fillId="15" borderId="14" xfId="0" applyFont="1" applyFill="1" applyBorder="1" applyAlignment="1">
      <alignment horizontal="center"/>
    </xf>
    <xf numFmtId="0" fontId="0" fillId="3" borderId="0" xfId="0" applyFill="1" applyAlignment="1">
      <alignment wrapText="1"/>
    </xf>
    <xf numFmtId="0" fontId="56" fillId="3" borderId="3" xfId="0" applyFont="1" applyFill="1" applyBorder="1" applyAlignment="1">
      <alignment wrapText="1"/>
    </xf>
    <xf numFmtId="0" fontId="1" fillId="0" borderId="3" xfId="0" applyFont="1" applyFill="1" applyBorder="1" applyAlignment="1">
      <alignment vertical="center"/>
    </xf>
    <xf numFmtId="0" fontId="1" fillId="0" borderId="0" xfId="0" applyFont="1" applyFill="1" applyBorder="1" applyAlignment="1">
      <alignment vertical="center"/>
    </xf>
    <xf numFmtId="0" fontId="16" fillId="0" borderId="0" xfId="2" applyFill="1" applyBorder="1" applyAlignment="1" applyProtection="1"/>
    <xf numFmtId="0" fontId="44" fillId="7" borderId="0" xfId="0" applyFont="1" applyFill="1" applyAlignment="1">
      <alignment wrapText="1"/>
    </xf>
    <xf numFmtId="0" fontId="1" fillId="6" borderId="3" xfId="0" applyFont="1" applyFill="1" applyBorder="1"/>
    <xf numFmtId="0" fontId="68" fillId="0" borderId="0" xfId="0" applyFont="1" applyAlignment="1">
      <alignment vertical="center"/>
    </xf>
    <xf numFmtId="0" fontId="0" fillId="0" borderId="3" xfId="0" applyFill="1" applyBorder="1"/>
    <xf numFmtId="0" fontId="0" fillId="0" borderId="3" xfId="0" applyFill="1" applyBorder="1" applyAlignment="1">
      <alignment wrapText="1"/>
    </xf>
    <xf numFmtId="0" fontId="1" fillId="6" borderId="3" xfId="0" applyFont="1" applyFill="1" applyBorder="1" applyAlignment="1">
      <alignment vertical="top" wrapText="1"/>
    </xf>
    <xf numFmtId="0" fontId="56" fillId="15" borderId="39" xfId="0" applyFont="1" applyFill="1" applyBorder="1" applyAlignment="1">
      <alignment wrapText="1"/>
    </xf>
    <xf numFmtId="3" fontId="0" fillId="6" borderId="41" xfId="0" applyNumberFormat="1" applyFill="1" applyBorder="1" applyAlignment="1">
      <alignment wrapText="1"/>
    </xf>
    <xf numFmtId="0" fontId="0" fillId="15" borderId="34" xfId="0" applyFill="1" applyBorder="1" applyAlignment="1">
      <alignment wrapText="1"/>
    </xf>
    <xf numFmtId="0" fontId="1" fillId="6" borderId="42" xfId="0" applyFont="1" applyFill="1" applyBorder="1" applyAlignment="1">
      <alignment wrapText="1"/>
    </xf>
    <xf numFmtId="0" fontId="44" fillId="6" borderId="26" xfId="0" applyFont="1" applyFill="1" applyBorder="1" applyAlignment="1">
      <alignment wrapText="1"/>
    </xf>
    <xf numFmtId="0" fontId="0" fillId="6" borderId="34" xfId="0" applyFill="1" applyBorder="1" applyProtection="1">
      <protection locked="0"/>
    </xf>
    <xf numFmtId="0" fontId="56" fillId="15" borderId="7" xfId="0" applyFont="1" applyFill="1" applyBorder="1" applyAlignment="1"/>
    <xf numFmtId="0" fontId="51" fillId="6" borderId="0" xfId="0" applyFont="1" applyFill="1" applyAlignment="1">
      <alignment vertical="top" wrapText="1"/>
    </xf>
    <xf numFmtId="0" fontId="51" fillId="18" borderId="3" xfId="0" applyFont="1" applyFill="1" applyBorder="1" applyAlignment="1">
      <alignment vertical="top" wrapText="1"/>
    </xf>
    <xf numFmtId="0" fontId="51" fillId="6" borderId="3" xfId="0" applyFont="1" applyFill="1" applyBorder="1" applyAlignment="1">
      <alignment vertical="top" wrapText="1"/>
    </xf>
    <xf numFmtId="0" fontId="69" fillId="6" borderId="3" xfId="0" applyFont="1" applyFill="1" applyBorder="1" applyAlignment="1">
      <alignment wrapText="1"/>
    </xf>
    <xf numFmtId="0" fontId="51" fillId="18" borderId="3" xfId="0" applyFont="1" applyFill="1" applyBorder="1" applyAlignment="1">
      <alignment wrapText="1"/>
    </xf>
    <xf numFmtId="0" fontId="3" fillId="7" borderId="0" xfId="0" applyFont="1" applyFill="1" applyProtection="1">
      <protection locked="0"/>
    </xf>
    <xf numFmtId="0" fontId="55" fillId="4" borderId="0" xfId="0" applyFont="1" applyFill="1" applyProtection="1"/>
    <xf numFmtId="0" fontId="1" fillId="4" borderId="0" xfId="0" applyFont="1" applyFill="1" applyProtection="1"/>
    <xf numFmtId="0" fontId="0" fillId="4" borderId="0" xfId="0" applyFill="1" applyProtection="1"/>
    <xf numFmtId="0" fontId="0" fillId="7" borderId="0" xfId="0" applyFill="1" applyProtection="1"/>
    <xf numFmtId="0" fontId="66" fillId="4" borderId="0" xfId="0" applyFont="1" applyFill="1" applyProtection="1"/>
    <xf numFmtId="0" fontId="3" fillId="4" borderId="0" xfId="0" applyFont="1" applyFill="1" applyProtection="1"/>
    <xf numFmtId="0" fontId="3" fillId="7" borderId="0" xfId="0" applyFont="1" applyFill="1" applyProtection="1"/>
    <xf numFmtId="0" fontId="0" fillId="7" borderId="0" xfId="0" applyFill="1" applyAlignment="1" applyProtection="1">
      <alignment wrapText="1"/>
    </xf>
    <xf numFmtId="0" fontId="66" fillId="15" borderId="13" xfId="0" applyFont="1" applyFill="1" applyBorder="1" applyProtection="1"/>
    <xf numFmtId="0" fontId="56" fillId="15" borderId="3" xfId="0" applyFont="1" applyFill="1" applyBorder="1" applyAlignment="1" applyProtection="1">
      <alignment horizontal="center"/>
    </xf>
    <xf numFmtId="0" fontId="56" fillId="15" borderId="3" xfId="0" applyFont="1" applyFill="1" applyBorder="1" applyAlignment="1" applyProtection="1">
      <alignment horizontal="center" wrapText="1"/>
    </xf>
    <xf numFmtId="0" fontId="56" fillId="4" borderId="3" xfId="0" applyFont="1" applyFill="1" applyBorder="1" applyAlignment="1" applyProtection="1">
      <alignment wrapText="1"/>
    </xf>
    <xf numFmtId="3" fontId="0" fillId="7" borderId="3" xfId="0" applyNumberFormat="1" applyFill="1" applyBorder="1" applyAlignment="1" applyProtection="1">
      <alignment horizontal="right" wrapText="1"/>
    </xf>
    <xf numFmtId="3" fontId="0" fillId="7" borderId="3" xfId="0" applyNumberFormat="1" applyFill="1" applyBorder="1" applyAlignment="1" applyProtection="1">
      <alignment horizontal="right"/>
    </xf>
    <xf numFmtId="3" fontId="3" fillId="6" borderId="3" xfId="0" applyNumberFormat="1" applyFont="1" applyFill="1" applyBorder="1" applyProtection="1"/>
    <xf numFmtId="0" fontId="3" fillId="7" borderId="0" xfId="0" applyFont="1" applyFill="1" applyBorder="1" applyAlignment="1" applyProtection="1">
      <alignment wrapText="1"/>
    </xf>
    <xf numFmtId="168" fontId="3" fillId="7" borderId="0" xfId="0" applyNumberFormat="1" applyFont="1" applyFill="1" applyBorder="1" applyProtection="1"/>
    <xf numFmtId="0" fontId="6" fillId="7" borderId="0" xfId="0" applyFont="1" applyFill="1" applyProtection="1"/>
    <xf numFmtId="0" fontId="56" fillId="4" borderId="0" xfId="0" applyFont="1" applyFill="1" applyProtection="1"/>
    <xf numFmtId="0" fontId="1" fillId="0" borderId="3" xfId="0" applyFont="1" applyBorder="1" applyAlignment="1">
      <alignment vertical="center"/>
    </xf>
    <xf numFmtId="3" fontId="1" fillId="0" borderId="3" xfId="0" applyNumberFormat="1" applyFont="1" applyBorder="1"/>
    <xf numFmtId="1" fontId="1" fillId="0" borderId="3" xfId="0" applyNumberFormat="1" applyFont="1" applyBorder="1" applyAlignment="1">
      <alignment vertical="center"/>
    </xf>
    <xf numFmtId="170" fontId="1" fillId="0" borderId="3" xfId="0" applyNumberFormat="1" applyFont="1" applyBorder="1"/>
    <xf numFmtId="1" fontId="1" fillId="0" borderId="3" xfId="0" applyNumberFormat="1" applyFont="1" applyBorder="1"/>
    <xf numFmtId="0" fontId="44" fillId="0" borderId="3" xfId="0" applyFont="1" applyBorder="1" applyAlignment="1">
      <alignment vertical="center"/>
    </xf>
    <xf numFmtId="1" fontId="3" fillId="0" borderId="3" xfId="0" applyNumberFormat="1" applyFont="1" applyBorder="1" applyAlignment="1">
      <alignment horizontal="right"/>
    </xf>
    <xf numFmtId="169" fontId="29" fillId="0" borderId="3" xfId="1" applyNumberFormat="1" applyFont="1" applyBorder="1" applyAlignment="1">
      <alignment horizontal="right" vertical="center" wrapText="1"/>
    </xf>
    <xf numFmtId="0" fontId="1" fillId="0" borderId="3" xfId="0" applyFont="1" applyBorder="1"/>
    <xf numFmtId="2" fontId="1" fillId="0" borderId="3" xfId="0" applyNumberFormat="1" applyFont="1" applyBorder="1"/>
    <xf numFmtId="164" fontId="0" fillId="6" borderId="3" xfId="0" applyNumberFormat="1" applyFill="1" applyBorder="1"/>
    <xf numFmtId="0" fontId="70" fillId="7" borderId="0" xfId="0" applyFont="1" applyFill="1"/>
    <xf numFmtId="0" fontId="1" fillId="0" borderId="0" xfId="0" quotePrefix="1" applyFont="1"/>
    <xf numFmtId="169" fontId="1" fillId="0" borderId="24" xfId="1" applyNumberFormat="1" applyFont="1" applyFill="1" applyBorder="1" applyAlignment="1" applyProtection="1">
      <alignment horizontal="center" wrapText="1"/>
      <protection locked="0"/>
    </xf>
    <xf numFmtId="0" fontId="57" fillId="0" borderId="0" xfId="0" applyFont="1" applyAlignment="1">
      <alignment horizontal="left" wrapText="1"/>
    </xf>
    <xf numFmtId="0" fontId="55" fillId="4" borderId="0" xfId="0" applyFont="1" applyFill="1" applyAlignment="1">
      <alignment horizontal="left" wrapText="1"/>
    </xf>
    <xf numFmtId="0" fontId="56" fillId="4" borderId="0" xfId="0" applyFont="1" applyFill="1" applyAlignment="1">
      <alignment horizontal="left" wrapText="1"/>
    </xf>
    <xf numFmtId="0" fontId="59" fillId="14" borderId="6" xfId="0" applyFont="1" applyFill="1" applyBorder="1" applyAlignment="1">
      <alignment horizontal="center" wrapText="1"/>
    </xf>
    <xf numFmtId="0" fontId="59" fillId="14" borderId="5" xfId="0" applyFont="1" applyFill="1" applyBorder="1" applyAlignment="1">
      <alignment horizontal="center" wrapText="1"/>
    </xf>
    <xf numFmtId="0" fontId="3" fillId="4" borderId="6" xfId="0" applyFont="1" applyFill="1" applyBorder="1" applyAlignment="1">
      <alignment horizontal="left" wrapText="1"/>
    </xf>
    <xf numFmtId="0" fontId="3" fillId="4" borderId="5" xfId="0" applyFont="1" applyFill="1" applyBorder="1" applyAlignment="1">
      <alignment horizontal="left" wrapText="1"/>
    </xf>
    <xf numFmtId="0" fontId="3" fillId="4" borderId="7" xfId="0" applyFont="1" applyFill="1" applyBorder="1" applyAlignment="1">
      <alignment horizontal="left" wrapText="1"/>
    </xf>
    <xf numFmtId="0" fontId="3" fillId="14" borderId="6" xfId="0" applyFont="1" applyFill="1" applyBorder="1" applyAlignment="1">
      <alignment horizontal="center" wrapText="1"/>
    </xf>
    <xf numFmtId="0" fontId="3" fillId="14" borderId="5" xfId="0" applyFont="1" applyFill="1" applyBorder="1" applyAlignment="1">
      <alignment horizontal="center" wrapText="1"/>
    </xf>
    <xf numFmtId="0" fontId="3" fillId="14" borderId="7" xfId="0" applyFont="1" applyFill="1" applyBorder="1" applyAlignment="1">
      <alignment horizontal="center" wrapText="1"/>
    </xf>
    <xf numFmtId="0" fontId="3" fillId="7" borderId="6" xfId="0" applyFont="1" applyFill="1" applyBorder="1" applyAlignment="1">
      <alignment horizontal="left" wrapText="1"/>
    </xf>
    <xf numFmtId="0" fontId="3" fillId="7" borderId="5" xfId="0" applyFont="1" applyFill="1" applyBorder="1" applyAlignment="1">
      <alignment horizontal="left" wrapText="1"/>
    </xf>
    <xf numFmtId="0" fontId="3" fillId="7" borderId="7" xfId="0" applyFont="1" applyFill="1" applyBorder="1" applyAlignment="1">
      <alignment horizontal="left" wrapText="1"/>
    </xf>
    <xf numFmtId="0" fontId="3" fillId="7" borderId="0" xfId="0" applyFont="1" applyFill="1" applyAlignment="1">
      <alignment horizontal="left" wrapText="1"/>
    </xf>
    <xf numFmtId="0" fontId="37" fillId="6" borderId="44" xfId="0" applyFont="1" applyFill="1" applyBorder="1" applyAlignment="1">
      <alignment vertical="top" wrapText="1"/>
    </xf>
    <xf numFmtId="0" fontId="38" fillId="0" borderId="7" xfId="0" applyFont="1" applyBorder="1" applyAlignment="1">
      <alignment vertical="top" wrapText="1"/>
    </xf>
    <xf numFmtId="0" fontId="53" fillId="6" borderId="9" xfId="0" applyFont="1" applyFill="1" applyBorder="1" applyAlignment="1">
      <alignment horizontal="left" wrapText="1"/>
    </xf>
    <xf numFmtId="0" fontId="53" fillId="6" borderId="8" xfId="0" applyFont="1" applyFill="1" applyBorder="1" applyAlignment="1">
      <alignment horizontal="left" wrapText="1"/>
    </xf>
    <xf numFmtId="0" fontId="1" fillId="5" borderId="3" xfId="0" applyFont="1" applyFill="1" applyBorder="1" applyAlignment="1">
      <alignment horizontal="center" wrapText="1"/>
    </xf>
    <xf numFmtId="0" fontId="6" fillId="5" borderId="3" xfId="0" applyFont="1" applyFill="1" applyBorder="1" applyAlignment="1">
      <alignment horizontal="center" wrapText="1"/>
    </xf>
    <xf numFmtId="3" fontId="0" fillId="5" borderId="6" xfId="0" applyNumberFormat="1" applyFill="1" applyBorder="1" applyAlignment="1">
      <alignment horizontal="center" wrapText="1"/>
    </xf>
    <xf numFmtId="3" fontId="0" fillId="5" borderId="5" xfId="0" applyNumberFormat="1" applyFill="1" applyBorder="1" applyAlignment="1">
      <alignment horizontal="center" wrapText="1"/>
    </xf>
    <xf numFmtId="3" fontId="0" fillId="5" borderId="7" xfId="0" applyNumberFormat="1" applyFill="1" applyBorder="1" applyAlignment="1">
      <alignment horizontal="center" wrapText="1"/>
    </xf>
    <xf numFmtId="0" fontId="0" fillId="6" borderId="3" xfId="0" applyFill="1" applyBorder="1" applyAlignment="1">
      <alignment horizontal="left"/>
    </xf>
    <xf numFmtId="0" fontId="56" fillId="15" borderId="34" xfId="0" applyFont="1" applyFill="1" applyBorder="1" applyAlignment="1">
      <alignment horizontal="center" wrapText="1"/>
    </xf>
    <xf numFmtId="0" fontId="1" fillId="15" borderId="37" xfId="0" applyFont="1" applyFill="1" applyBorder="1" applyAlignment="1">
      <alignment horizontal="center" wrapText="1"/>
    </xf>
    <xf numFmtId="0" fontId="1" fillId="15" borderId="38" xfId="0" applyFont="1" applyFill="1" applyBorder="1" applyAlignment="1">
      <alignment horizontal="center" wrapText="1"/>
    </xf>
    <xf numFmtId="0" fontId="56" fillId="15" borderId="18" xfId="0" applyFont="1" applyFill="1" applyBorder="1" applyAlignment="1">
      <alignment horizontal="center" vertical="top" wrapText="1"/>
    </xf>
    <xf numFmtId="0" fontId="1" fillId="15" borderId="4" xfId="0" applyFont="1" applyFill="1" applyBorder="1" applyAlignment="1">
      <alignment horizontal="center" vertical="top" wrapText="1"/>
    </xf>
    <xf numFmtId="0" fontId="56" fillId="15" borderId="6" xfId="0" applyFont="1" applyFill="1" applyBorder="1" applyAlignment="1">
      <alignment horizontal="center" vertical="top" wrapText="1"/>
    </xf>
    <xf numFmtId="0" fontId="1" fillId="15" borderId="5" xfId="0" applyFont="1" applyFill="1" applyBorder="1" applyAlignment="1">
      <alignment horizontal="center" vertical="top" wrapText="1"/>
    </xf>
    <xf numFmtId="0" fontId="1" fillId="15" borderId="7" xfId="0" applyFont="1" applyFill="1" applyBorder="1" applyAlignment="1">
      <alignment horizontal="center" vertical="top" wrapText="1"/>
    </xf>
    <xf numFmtId="0" fontId="56" fillId="15" borderId="18" xfId="0" applyFont="1" applyFill="1" applyBorder="1" applyAlignment="1" applyProtection="1">
      <alignment horizontal="center" vertical="top" wrapText="1"/>
    </xf>
    <xf numFmtId="0" fontId="1" fillId="15" borderId="4" xfId="0" applyFont="1" applyFill="1" applyBorder="1" applyAlignment="1" applyProtection="1">
      <alignment horizontal="center" vertical="top" wrapText="1"/>
    </xf>
    <xf numFmtId="0" fontId="56" fillId="15" borderId="6" xfId="0" applyFont="1" applyFill="1" applyBorder="1" applyAlignment="1" applyProtection="1">
      <alignment horizontal="center" wrapText="1"/>
    </xf>
    <xf numFmtId="0" fontId="1" fillId="15" borderId="5" xfId="0" applyFont="1" applyFill="1" applyBorder="1" applyAlignment="1" applyProtection="1">
      <alignment horizontal="center" wrapText="1"/>
    </xf>
    <xf numFmtId="0" fontId="1" fillId="15" borderId="7" xfId="0" applyFont="1" applyFill="1" applyBorder="1" applyAlignment="1" applyProtection="1">
      <alignment horizontal="center" wrapText="1"/>
    </xf>
    <xf numFmtId="0" fontId="56" fillId="4" borderId="0" xfId="0" applyFont="1" applyFill="1" applyAlignment="1" applyProtection="1">
      <alignment horizontal="left" wrapText="1"/>
    </xf>
    <xf numFmtId="0" fontId="56" fillId="15" borderId="6" xfId="0" applyFont="1" applyFill="1" applyBorder="1" applyAlignment="1">
      <alignment horizontal="center" wrapText="1"/>
    </xf>
    <xf numFmtId="0" fontId="1" fillId="15" borderId="5" xfId="0" applyFont="1" applyFill="1" applyBorder="1" applyAlignment="1">
      <alignment horizontal="center" wrapText="1"/>
    </xf>
    <xf numFmtId="0" fontId="1" fillId="15" borderId="7" xfId="0" applyFont="1" applyFill="1" applyBorder="1" applyAlignment="1">
      <alignment horizontal="center" wrapText="1"/>
    </xf>
    <xf numFmtId="0" fontId="56" fillId="0" borderId="0" xfId="0" applyFont="1" applyAlignment="1">
      <alignment wrapText="1"/>
    </xf>
    <xf numFmtId="0" fontId="1" fillId="0" borderId="0" xfId="0" applyFont="1" applyAlignment="1">
      <alignment wrapText="1"/>
    </xf>
    <xf numFmtId="0" fontId="1" fillId="0" borderId="1" xfId="0" applyFont="1" applyBorder="1" applyAlignment="1">
      <alignment horizontal="center" wrapText="1"/>
    </xf>
    <xf numFmtId="0" fontId="1" fillId="0" borderId="0" xfId="0" applyFont="1" applyBorder="1" applyAlignment="1">
      <alignment horizontal="center" wrapText="1"/>
    </xf>
  </cellXfs>
  <cellStyles count="5">
    <cellStyle name="Comma" xfId="1" builtinId="3"/>
    <cellStyle name="Hyperlink" xfId="2" builtinId="8"/>
    <cellStyle name="Normal" xfId="0" builtinId="0"/>
    <cellStyle name="Normal 2" xfId="4" xr:uid="{00000000-0005-0000-0000-000003000000}"/>
    <cellStyle name="Percent" xfId="3" builtinId="5"/>
  </cellStyles>
  <dxfs count="131">
    <dxf>
      <numFmt numFmtId="174" formatCode="&quot;N&quot;"/>
    </dxf>
    <dxf>
      <numFmt numFmtId="175" formatCode="&quot;Y&quot;"/>
    </dxf>
    <dxf>
      <font>
        <color theme="1"/>
      </font>
      <fill>
        <patternFill>
          <bgColor theme="6" tint="0.39994506668294322"/>
        </patternFill>
      </fill>
    </dxf>
    <dxf>
      <font>
        <color theme="1"/>
      </font>
      <fill>
        <patternFill>
          <bgColor theme="6" tint="0.39994506668294322"/>
        </patternFill>
      </fill>
    </dxf>
    <dxf>
      <font>
        <color rgb="FF00B050"/>
      </font>
    </dxf>
    <dxf>
      <font>
        <color rgb="FF00B050"/>
      </font>
    </dxf>
    <dxf>
      <font>
        <color rgb="FFFF0000"/>
      </font>
    </dxf>
    <dxf>
      <fill>
        <patternFill>
          <bgColor rgb="FFFF0000"/>
        </patternFill>
      </fill>
    </dxf>
    <dxf>
      <fill>
        <patternFill>
          <bgColor rgb="FFFF0000"/>
        </patternFill>
      </fill>
    </dxf>
    <dxf>
      <font>
        <color theme="1"/>
      </font>
      <fill>
        <patternFill>
          <bgColor theme="8" tint="0.39994506668294322"/>
        </patternFill>
      </fill>
    </dxf>
    <dxf>
      <font>
        <color rgb="FFFF0000"/>
      </font>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ont>
        <b/>
        <i val="0"/>
        <color theme="1"/>
      </font>
      <fill>
        <patternFill>
          <bgColor rgb="FFFFC000"/>
        </patternFill>
      </fill>
    </dxf>
    <dxf>
      <font>
        <b/>
        <i val="0"/>
        <color theme="1"/>
      </font>
      <fill>
        <patternFill>
          <bgColor rgb="FFFFC000"/>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rgb="FFFF0000"/>
      </font>
    </dxf>
    <dxf>
      <fill>
        <patternFill>
          <bgColor rgb="FFFF0000"/>
        </patternFill>
      </fill>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b/>
        <i val="0"/>
        <color theme="1"/>
      </font>
      <fill>
        <patternFill>
          <bgColor rgb="FFFFC000"/>
        </patternFill>
      </fill>
    </dxf>
    <dxf>
      <font>
        <color theme="1"/>
      </font>
      <fill>
        <patternFill>
          <bgColor theme="6" tint="0.39994506668294322"/>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ill>
        <patternFill>
          <bgColor rgb="FFFF0000"/>
        </patternFill>
      </fill>
    </dxf>
    <dxf>
      <font>
        <color theme="1"/>
      </font>
      <fill>
        <patternFill>
          <bgColor theme="6" tint="0.39994506668294322"/>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s>
  <tableStyles count="0" defaultTableStyle="TableStyleMedium9" defaultPivotStyle="PivotStyleLight16"/>
  <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22594142259417"/>
          <c:y val="2.4263431542461005E-2"/>
          <c:w val="0.53417015341701535"/>
          <c:h val="0.84402079722703638"/>
        </c:manualLayout>
      </c:layout>
      <c:barChart>
        <c:barDir val="bar"/>
        <c:grouping val="clustered"/>
        <c:varyColors val="0"/>
        <c:ser>
          <c:idx val="0"/>
          <c:order val="0"/>
          <c:invertIfNegative val="0"/>
          <c:cat>
            <c:strRef>
              <c:f>'Уровень 1 - Схемы'!$A$8:$A$24</c:f>
              <c:strCache>
                <c:ptCount val="17"/>
                <c:pt idx="0">
                  <c:v>Сжигание угля и прочие способы его использования</c:v>
                </c:pt>
                <c:pt idx="1">
                  <c:v>Сжигание прочего природного топлива и биомассы*4</c:v>
                </c:pt>
                <c:pt idx="2">
                  <c:v>Добыча нефти и газа</c:v>
                </c:pt>
                <c:pt idx="3">
                  <c:v>Производство первичного металла (за исключением производства золота с помощью процесса амальгамирования)</c:v>
                </c:pt>
                <c:pt idx="4">
                  <c:v>Добыча золота с помощью процесса амальгамирования ртути</c:v>
                </c:pt>
                <c:pt idx="5">
                  <c:v>Производство прочих материалов*5</c:v>
                </c:pt>
                <c:pt idx="6">
                  <c:v>Производство хлорщелочи с использованием ртутных электролизеров</c:v>
                </c:pt>
                <c:pt idx="7">
                  <c:v>Прочее производство химических элементов и полимеров*6</c:v>
                </c:pt>
                <c:pt idx="8">
                  <c:v>Производство продукции с содержанием ртути</c:v>
                </c:pt>
                <c:pt idx="9">
                  <c:v>Применение и утилизация амальгамы для зубных пломб</c:v>
                </c:pt>
                <c:pt idx="10">
                  <c:v>Использование и утилизация другой продукции*7</c:v>
                </c:pt>
                <c:pt idx="11">
                  <c:v>Производство восстановленных металлов</c:v>
                </c:pt>
                <c:pt idx="12">
                  <c:v>Инсинерация отходов и открытое сжигание отходов*1</c:v>
                </c:pt>
                <c:pt idx="13">
                  <c:v>Отложение отходов*1</c:v>
                </c:pt>
                <c:pt idx="14">
                  <c:v>Несанкционированный сброс обычных отходов *1*2</c:v>
                </c:pt>
                <c:pt idx="15">
                  <c:v>Система сбора и отведения/обработка сточных вод*3</c:v>
                </c:pt>
                <c:pt idx="16">
                  <c:v>Крематории и кладбища</c:v>
                </c:pt>
              </c:strCache>
            </c:strRef>
          </c:cat>
          <c:val>
            <c:numRef>
              <c:f>'Уровень 1 - Схемы'!$B$8:$B$24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7FBE-471F-AD80-705487779EB0}"/>
            </c:ext>
          </c:extLst>
        </c:ser>
        <c:dLbls>
          <c:showLegendKey val="0"/>
          <c:showVal val="0"/>
          <c:showCatName val="0"/>
          <c:showSerName val="0"/>
          <c:showPercent val="0"/>
          <c:showBubbleSize val="0"/>
        </c:dLbls>
        <c:gapWidth val="150"/>
        <c:axId val="281449056"/>
        <c:axId val="284179944"/>
      </c:barChart>
      <c:catAx>
        <c:axId val="2814490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9944"/>
        <c:crosses val="autoZero"/>
        <c:auto val="1"/>
        <c:lblAlgn val="ctr"/>
        <c:lblOffset val="100"/>
        <c:noMultiLvlLbl val="0"/>
      </c:catAx>
      <c:valAx>
        <c:axId val="284179944"/>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ru-RU" sz="1800" b="1" i="0" baseline="0">
                    <a:effectLst/>
                  </a:rPr>
                  <a:t>Расчетный вход </a:t>
                </a:r>
                <a:r>
                  <a:rPr lang="en-US" sz="1800" b="1" i="0" baseline="0">
                    <a:effectLst/>
                  </a:rPr>
                  <a:t>Hg (</a:t>
                </a:r>
                <a:r>
                  <a:rPr lang="ru-RU" sz="1800" b="1" i="0" baseline="0">
                    <a:effectLst/>
                  </a:rPr>
                  <a:t>кг </a:t>
                </a:r>
                <a:r>
                  <a:rPr lang="en-US" sz="1800" b="1" i="0" baseline="0">
                    <a:effectLst/>
                  </a:rPr>
                  <a:t>Hg/</a:t>
                </a:r>
                <a:r>
                  <a:rPr lang="ru-RU" sz="1800" b="1" i="0" baseline="0">
                    <a:effectLst/>
                  </a:rPr>
                  <a:t>год)</a:t>
                </a:r>
                <a:endParaRPr lang="en-US">
                  <a:effectLst/>
                </a:endParaRP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1449056"/>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307371349095967"/>
          <c:y val="2.2690437601296597E-2"/>
          <c:w val="0.54381084840055638"/>
          <c:h val="0.85413290113452189"/>
        </c:manualLayout>
      </c:layout>
      <c:barChart>
        <c:barDir val="bar"/>
        <c:grouping val="clustered"/>
        <c:varyColors val="0"/>
        <c:ser>
          <c:idx val="1"/>
          <c:order val="0"/>
          <c:invertIfNegative val="0"/>
          <c:cat>
            <c:strRef>
              <c:f>'Уровень 1 - Схемы'!$A$8:$A$24</c:f>
              <c:strCache>
                <c:ptCount val="17"/>
                <c:pt idx="0">
                  <c:v>Сжигание угля и прочие способы его использования</c:v>
                </c:pt>
                <c:pt idx="1">
                  <c:v>Сжигание прочего природного топлива и биомассы*4</c:v>
                </c:pt>
                <c:pt idx="2">
                  <c:v>Добыча нефти и газа</c:v>
                </c:pt>
                <c:pt idx="3">
                  <c:v>Производство первичного металла (за исключением производства золота с помощью процесса амальгамирования)</c:v>
                </c:pt>
                <c:pt idx="4">
                  <c:v>Добыча золота с помощью процесса амальгамирования ртути</c:v>
                </c:pt>
                <c:pt idx="5">
                  <c:v>Производство прочих материалов*5</c:v>
                </c:pt>
                <c:pt idx="6">
                  <c:v>Производство хлорщелочи с использованием ртутных электролизеров</c:v>
                </c:pt>
                <c:pt idx="7">
                  <c:v>Прочее производство химических элементов и полимеров*6</c:v>
                </c:pt>
                <c:pt idx="8">
                  <c:v>Производство продукции с содержанием ртути</c:v>
                </c:pt>
                <c:pt idx="9">
                  <c:v>Применение и утилизация амальгамы для зубных пломб</c:v>
                </c:pt>
                <c:pt idx="10">
                  <c:v>Использование и утилизация другой продукции*7</c:v>
                </c:pt>
                <c:pt idx="11">
                  <c:v>Производство восстановленных металлов</c:v>
                </c:pt>
                <c:pt idx="12">
                  <c:v>Инсинерация отходов и открытое сжигание отходов*1</c:v>
                </c:pt>
                <c:pt idx="13">
                  <c:v>Отложение отходов*1</c:v>
                </c:pt>
                <c:pt idx="14">
                  <c:v>Несанкционированный сброс обычных отходов *1*2</c:v>
                </c:pt>
                <c:pt idx="15">
                  <c:v>Система сбора и отведения/обработка сточных вод*3</c:v>
                </c:pt>
                <c:pt idx="16">
                  <c:v>Крематории и кладбища</c:v>
                </c:pt>
              </c:strCache>
            </c:strRef>
          </c:cat>
          <c:val>
            <c:numRef>
              <c:f>'Уровень 1 - Схемы'!$C$8:$C$24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9B22-4336-90A1-4D3B8F59D118}"/>
            </c:ext>
          </c:extLst>
        </c:ser>
        <c:dLbls>
          <c:showLegendKey val="0"/>
          <c:showVal val="0"/>
          <c:showCatName val="0"/>
          <c:showSerName val="0"/>
          <c:showPercent val="0"/>
          <c:showBubbleSize val="0"/>
        </c:dLbls>
        <c:gapWidth val="150"/>
        <c:axId val="284184648"/>
        <c:axId val="284184256"/>
      </c:barChart>
      <c:catAx>
        <c:axId val="2841846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256"/>
        <c:crosses val="autoZero"/>
        <c:auto val="1"/>
        <c:lblAlgn val="ctr"/>
        <c:lblOffset val="100"/>
        <c:noMultiLvlLbl val="0"/>
      </c:catAx>
      <c:valAx>
        <c:axId val="28418425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ru-RU" sz="1800" b="1" i="0" baseline="0">
                    <a:effectLst/>
                  </a:rPr>
                  <a:t>Расчетный выброс ртути в воздух (кг </a:t>
                </a:r>
                <a:r>
                  <a:rPr lang="en-US" sz="1800" b="1" i="0" baseline="0">
                    <a:effectLst/>
                  </a:rPr>
                  <a:t>Hg/</a:t>
                </a:r>
                <a:r>
                  <a:rPr lang="ru-RU" sz="1800" b="1" i="0" baseline="0">
                    <a:effectLst/>
                  </a:rPr>
                  <a:t>год)</a:t>
                </a:r>
                <a:endParaRPr lang="en-US">
                  <a:effectLst/>
                </a:endParaRPr>
              </a:p>
            </c:rich>
          </c:tx>
          <c:layout>
            <c:manualLayout>
              <c:xMode val="edge"/>
              <c:yMode val="edge"/>
              <c:x val="0.3495483301026871"/>
              <c:y val="0.92093007822968642"/>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64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249999999999998"/>
          <c:y val="2.113821138211382E-2"/>
          <c:w val="0.5444444444444444"/>
          <c:h val="0.8552845528455284"/>
        </c:manualLayout>
      </c:layout>
      <c:barChart>
        <c:barDir val="bar"/>
        <c:grouping val="clustered"/>
        <c:varyColors val="0"/>
        <c:ser>
          <c:idx val="0"/>
          <c:order val="0"/>
          <c:spPr>
            <a:solidFill>
              <a:srgbClr val="9BBB59">
                <a:lumMod val="75000"/>
              </a:srgbClr>
            </a:solidFill>
          </c:spPr>
          <c:invertIfNegative val="0"/>
          <c:cat>
            <c:strRef>
              <c:f>'Уровень 1 - Схемы'!$A$8:$A$24</c:f>
              <c:strCache>
                <c:ptCount val="17"/>
                <c:pt idx="0">
                  <c:v>Сжигание угля и прочие способы его использования</c:v>
                </c:pt>
                <c:pt idx="1">
                  <c:v>Сжигание прочего природного топлива и биомассы*4</c:v>
                </c:pt>
                <c:pt idx="2">
                  <c:v>Добыча нефти и газа</c:v>
                </c:pt>
                <c:pt idx="3">
                  <c:v>Производство первичного металла (за исключением производства золота с помощью процесса амальгамирования)</c:v>
                </c:pt>
                <c:pt idx="4">
                  <c:v>Добыча золота с помощью процесса амальгамирования ртути</c:v>
                </c:pt>
                <c:pt idx="5">
                  <c:v>Производство прочих материалов*5</c:v>
                </c:pt>
                <c:pt idx="6">
                  <c:v>Производство хлорщелочи с использованием ртутных электролизеров</c:v>
                </c:pt>
                <c:pt idx="7">
                  <c:v>Прочее производство химических элементов и полимеров*6</c:v>
                </c:pt>
                <c:pt idx="8">
                  <c:v>Производство продукции с содержанием ртути</c:v>
                </c:pt>
                <c:pt idx="9">
                  <c:v>Применение и утилизация амальгамы для зубных пломб</c:v>
                </c:pt>
                <c:pt idx="10">
                  <c:v>Использование и утилизация другой продукции*7</c:v>
                </c:pt>
                <c:pt idx="11">
                  <c:v>Производство восстановленных металлов</c:v>
                </c:pt>
                <c:pt idx="12">
                  <c:v>Инсинерация отходов и открытое сжигание отходов*1</c:v>
                </c:pt>
                <c:pt idx="13">
                  <c:v>Отложение отходов*1</c:v>
                </c:pt>
                <c:pt idx="14">
                  <c:v>Несанкционированный сброс обычных отходов *1*2</c:v>
                </c:pt>
                <c:pt idx="15">
                  <c:v>Система сбора и отведения/обработка сточных вод*3</c:v>
                </c:pt>
                <c:pt idx="16">
                  <c:v>Крематории и кладбища</c:v>
                </c:pt>
              </c:strCache>
            </c:strRef>
          </c:cat>
          <c:val>
            <c:numRef>
              <c:f>'Уровень 1 - Схемы'!$E$8:$E$24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C6D8-407C-B6F2-37CC3E71D733}"/>
            </c:ext>
          </c:extLst>
        </c:ser>
        <c:dLbls>
          <c:showLegendKey val="0"/>
          <c:showVal val="0"/>
          <c:showCatName val="0"/>
          <c:showSerName val="0"/>
          <c:showPercent val="0"/>
          <c:showBubbleSize val="0"/>
        </c:dLbls>
        <c:gapWidth val="150"/>
        <c:axId val="284183864"/>
        <c:axId val="284180336"/>
      </c:barChart>
      <c:catAx>
        <c:axId val="28418386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336"/>
        <c:crosses val="autoZero"/>
        <c:auto val="1"/>
        <c:lblAlgn val="ctr"/>
        <c:lblOffset val="100"/>
        <c:noMultiLvlLbl val="0"/>
      </c:catAx>
      <c:valAx>
        <c:axId val="28418033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ru-RU" sz="1800" b="1" i="0" baseline="0">
                    <a:effectLst/>
                  </a:rPr>
                  <a:t>Расчетный выброс ртути в землю (кг </a:t>
                </a:r>
                <a:r>
                  <a:rPr lang="en-US" sz="1800" b="1" i="0" baseline="0">
                    <a:effectLst/>
                  </a:rPr>
                  <a:t>Hg/</a:t>
                </a:r>
                <a:r>
                  <a:rPr lang="ru-RU" sz="1800" b="1" i="0" baseline="0">
                    <a:effectLst/>
                  </a:rPr>
                  <a:t>год)</a:t>
                </a:r>
                <a:endParaRPr lang="en-US">
                  <a:effectLst/>
                </a:endParaRPr>
              </a:p>
            </c:rich>
          </c:tx>
          <c:layout>
            <c:manualLayout>
              <c:xMode val="edge"/>
              <c:yMode val="edge"/>
              <c:x val="0.34954841061533976"/>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386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113821138211382E-2"/>
          <c:w val="0.53675450762829402"/>
          <c:h val="0.8552845528455284"/>
        </c:manualLayout>
      </c:layout>
      <c:barChart>
        <c:barDir val="bar"/>
        <c:grouping val="clustered"/>
        <c:varyColors val="0"/>
        <c:ser>
          <c:idx val="1"/>
          <c:order val="0"/>
          <c:spPr>
            <a:solidFill>
              <a:schemeClr val="bg2">
                <a:lumMod val="50000"/>
              </a:schemeClr>
            </a:solidFill>
          </c:spPr>
          <c:invertIfNegative val="0"/>
          <c:cat>
            <c:strRef>
              <c:f>'Уровень 1 - Схемы'!$A$8:$A$24</c:f>
              <c:strCache>
                <c:ptCount val="17"/>
                <c:pt idx="0">
                  <c:v>Сжигание угля и прочие способы его использования</c:v>
                </c:pt>
                <c:pt idx="1">
                  <c:v>Сжигание прочего природного топлива и биомассы*4</c:v>
                </c:pt>
                <c:pt idx="2">
                  <c:v>Добыча нефти и газа</c:v>
                </c:pt>
                <c:pt idx="3">
                  <c:v>Производство первичного металла (за исключением производства золота с помощью процесса амальгамирования)</c:v>
                </c:pt>
                <c:pt idx="4">
                  <c:v>Добыча золота с помощью процесса амальгамирования ртути</c:v>
                </c:pt>
                <c:pt idx="5">
                  <c:v>Производство прочих материалов*5</c:v>
                </c:pt>
                <c:pt idx="6">
                  <c:v>Производство хлорщелочи с использованием ртутных электролизеров</c:v>
                </c:pt>
                <c:pt idx="7">
                  <c:v>Прочее производство химических элементов и полимеров*6</c:v>
                </c:pt>
                <c:pt idx="8">
                  <c:v>Производство продукции с содержанием ртути</c:v>
                </c:pt>
                <c:pt idx="9">
                  <c:v>Применение и утилизация амальгамы для зубных пломб</c:v>
                </c:pt>
                <c:pt idx="10">
                  <c:v>Использование и утилизация другой продукции*7</c:v>
                </c:pt>
                <c:pt idx="11">
                  <c:v>Производство восстановленных металлов</c:v>
                </c:pt>
                <c:pt idx="12">
                  <c:v>Инсинерация отходов и открытое сжигание отходов*1</c:v>
                </c:pt>
                <c:pt idx="13">
                  <c:v>Отложение отходов*1</c:v>
                </c:pt>
                <c:pt idx="14">
                  <c:v>Несанкционированный сброс обычных отходов *1*2</c:v>
                </c:pt>
                <c:pt idx="15">
                  <c:v>Система сбора и отведения/обработка сточных вод*3</c:v>
                </c:pt>
                <c:pt idx="16">
                  <c:v>Крематории и кладбища</c:v>
                </c:pt>
              </c:strCache>
            </c:strRef>
          </c:cat>
          <c:val>
            <c:numRef>
              <c:f>'Уровень 1 - Схемы'!$D$8:$D$24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6736-4C2E-825D-C42D0FA3EF0D}"/>
            </c:ext>
          </c:extLst>
        </c:ser>
        <c:dLbls>
          <c:showLegendKey val="0"/>
          <c:showVal val="0"/>
          <c:showCatName val="0"/>
          <c:showSerName val="0"/>
          <c:showPercent val="0"/>
          <c:showBubbleSize val="0"/>
        </c:dLbls>
        <c:gapWidth val="150"/>
        <c:axId val="284180728"/>
        <c:axId val="284182688"/>
      </c:barChart>
      <c:catAx>
        <c:axId val="2841807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2688"/>
        <c:crosses val="autoZero"/>
        <c:auto val="1"/>
        <c:lblAlgn val="ctr"/>
        <c:lblOffset val="100"/>
        <c:noMultiLvlLbl val="0"/>
      </c:catAx>
      <c:valAx>
        <c:axId val="284182688"/>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ru-RU" sz="1800" b="1" i="0" baseline="0">
                    <a:effectLst/>
                  </a:rPr>
                  <a:t>Расчетный выброс ртути в воду (кг </a:t>
                </a:r>
                <a:r>
                  <a:rPr lang="en-US" sz="1800" b="1" i="0" baseline="0">
                    <a:effectLst/>
                  </a:rPr>
                  <a:t>Hg/</a:t>
                </a:r>
                <a:r>
                  <a:rPr lang="ru-RU" sz="1800" b="1" i="0" baseline="0">
                    <a:effectLst/>
                  </a:rPr>
                  <a:t>год)</a:t>
                </a:r>
                <a:endParaRPr lang="en-US">
                  <a:effectLst/>
                </a:endParaRPr>
              </a:p>
            </c:rich>
          </c:tx>
          <c:layout>
            <c:manualLayout>
              <c:xMode val="edge"/>
              <c:yMode val="edge"/>
              <c:x val="0.33623466969541432"/>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7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179620034542316E-2"/>
          <c:w val="0.5409153952843273"/>
          <c:h val="0.79447322970639034"/>
        </c:manualLayout>
      </c:layout>
      <c:barChart>
        <c:barDir val="bar"/>
        <c:grouping val="clustered"/>
        <c:varyColors val="0"/>
        <c:ser>
          <c:idx val="1"/>
          <c:order val="0"/>
          <c:spPr>
            <a:solidFill>
              <a:srgbClr val="F79646">
                <a:lumMod val="75000"/>
              </a:srgbClr>
            </a:solidFill>
          </c:spPr>
          <c:invertIfNegative val="0"/>
          <c:cat>
            <c:strRef>
              <c:f>'Уровень 1 - Схемы'!$A$8:$A$24</c:f>
              <c:strCache>
                <c:ptCount val="17"/>
                <c:pt idx="0">
                  <c:v>Сжигание угля и прочие способы его использования</c:v>
                </c:pt>
                <c:pt idx="1">
                  <c:v>Сжигание прочего природного топлива и биомассы*4</c:v>
                </c:pt>
                <c:pt idx="2">
                  <c:v>Добыча нефти и газа</c:v>
                </c:pt>
                <c:pt idx="3">
                  <c:v>Производство первичного металла (за исключением производства золота с помощью процесса амальгамирования)</c:v>
                </c:pt>
                <c:pt idx="4">
                  <c:v>Добыча золота с помощью процесса амальгамирования ртути</c:v>
                </c:pt>
                <c:pt idx="5">
                  <c:v>Производство прочих материалов*5</c:v>
                </c:pt>
                <c:pt idx="6">
                  <c:v>Производство хлорщелочи с использованием ртутных электролизеров</c:v>
                </c:pt>
                <c:pt idx="7">
                  <c:v>Прочее производство химических элементов и полимеров*6</c:v>
                </c:pt>
                <c:pt idx="8">
                  <c:v>Производство продукции с содержанием ртути</c:v>
                </c:pt>
                <c:pt idx="9">
                  <c:v>Применение и утилизация амальгамы для зубных пломб</c:v>
                </c:pt>
                <c:pt idx="10">
                  <c:v>Использование и утилизация другой продукции*7</c:v>
                </c:pt>
                <c:pt idx="11">
                  <c:v>Производство восстановленных металлов</c:v>
                </c:pt>
                <c:pt idx="12">
                  <c:v>Инсинерация отходов и открытое сжигание отходов*1</c:v>
                </c:pt>
                <c:pt idx="13">
                  <c:v>Отложение отходов*1</c:v>
                </c:pt>
                <c:pt idx="14">
                  <c:v>Несанкционированный сброс обычных отходов *1*2</c:v>
                </c:pt>
                <c:pt idx="15">
                  <c:v>Система сбора и отведения/обработка сточных вод*3</c:v>
                </c:pt>
                <c:pt idx="16">
                  <c:v>Крематории и кладбища</c:v>
                </c:pt>
              </c:strCache>
            </c:strRef>
          </c:cat>
          <c:val>
            <c:numRef>
              <c:f>'Уровень 1 - Схемы'!$F$8:$F$24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348-4B77-9663-A25488444D74}"/>
            </c:ext>
          </c:extLst>
        </c:ser>
        <c:dLbls>
          <c:showLegendKey val="0"/>
          <c:showVal val="0"/>
          <c:showCatName val="0"/>
          <c:showSerName val="0"/>
          <c:showPercent val="0"/>
          <c:showBubbleSize val="0"/>
        </c:dLbls>
        <c:gapWidth val="150"/>
        <c:axId val="284177984"/>
        <c:axId val="284177592"/>
      </c:barChart>
      <c:catAx>
        <c:axId val="28417798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592"/>
        <c:crosses val="autoZero"/>
        <c:auto val="1"/>
        <c:lblAlgn val="ctr"/>
        <c:lblOffset val="100"/>
        <c:noMultiLvlLbl val="0"/>
      </c:catAx>
      <c:valAx>
        <c:axId val="2841775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ru-RU" sz="1800" b="1" i="0" baseline="0">
                    <a:effectLst/>
                  </a:rPr>
                  <a:t>Расчетные факторы выхода ртути относительно побочных продуктов и примесей (кг </a:t>
                </a:r>
                <a:r>
                  <a:rPr lang="en-US" sz="1800" b="1" i="0" baseline="0">
                    <a:effectLst/>
                  </a:rPr>
                  <a:t>Hg/</a:t>
                </a:r>
                <a:r>
                  <a:rPr lang="ru-RU" sz="1800" b="1" i="0" baseline="0">
                    <a:effectLst/>
                  </a:rPr>
                  <a:t>год)</a:t>
                </a:r>
                <a:endParaRPr lang="en-US">
                  <a:effectLst/>
                </a:endParaRPr>
              </a:p>
            </c:rich>
          </c:tx>
          <c:layout>
            <c:manualLayout>
              <c:xMode val="edge"/>
              <c:yMode val="edge"/>
              <c:x val="0.32594741191331666"/>
              <c:y val="0.8899824568561054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98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347826086956521E-2"/>
          <c:w val="0.5409153952843273"/>
          <c:h val="0.84347826086956523"/>
        </c:manualLayout>
      </c:layout>
      <c:barChart>
        <c:barDir val="bar"/>
        <c:grouping val="clustered"/>
        <c:varyColors val="0"/>
        <c:ser>
          <c:idx val="0"/>
          <c:order val="0"/>
          <c:spPr>
            <a:solidFill>
              <a:srgbClr val="6C4B7B"/>
            </a:solidFill>
          </c:spPr>
          <c:invertIfNegative val="0"/>
          <c:cat>
            <c:strRef>
              <c:f>'Уровень 1 - Схемы'!$A$8:$A$24</c:f>
              <c:strCache>
                <c:ptCount val="17"/>
                <c:pt idx="0">
                  <c:v>Сжигание угля и прочие способы его использования</c:v>
                </c:pt>
                <c:pt idx="1">
                  <c:v>Сжигание прочего природного топлива и биомассы*4</c:v>
                </c:pt>
                <c:pt idx="2">
                  <c:v>Добыча нефти и газа</c:v>
                </c:pt>
                <c:pt idx="3">
                  <c:v>Производство первичного металла (за исключением производства золота с помощью процесса амальгамирования)</c:v>
                </c:pt>
                <c:pt idx="4">
                  <c:v>Добыча золота с помощью процесса амальгамирования ртути</c:v>
                </c:pt>
                <c:pt idx="5">
                  <c:v>Производство прочих материалов*5</c:v>
                </c:pt>
                <c:pt idx="6">
                  <c:v>Производство хлорщелочи с использованием ртутных электролизеров</c:v>
                </c:pt>
                <c:pt idx="7">
                  <c:v>Прочее производство химических элементов и полимеров*6</c:v>
                </c:pt>
                <c:pt idx="8">
                  <c:v>Производство продукции с содержанием ртути</c:v>
                </c:pt>
                <c:pt idx="9">
                  <c:v>Применение и утилизация амальгамы для зубных пломб</c:v>
                </c:pt>
                <c:pt idx="10">
                  <c:v>Использование и утилизация другой продукции*7</c:v>
                </c:pt>
                <c:pt idx="11">
                  <c:v>Производство восстановленных металлов</c:v>
                </c:pt>
                <c:pt idx="12">
                  <c:v>Инсинерация отходов и открытое сжигание отходов*1</c:v>
                </c:pt>
                <c:pt idx="13">
                  <c:v>Отложение отходов*1</c:v>
                </c:pt>
                <c:pt idx="14">
                  <c:v>Несанкционированный сброс обычных отходов *1*2</c:v>
                </c:pt>
                <c:pt idx="15">
                  <c:v>Система сбора и отведения/обработка сточных вод*3</c:v>
                </c:pt>
                <c:pt idx="16">
                  <c:v>Крематории и кладбища</c:v>
                </c:pt>
              </c:strCache>
            </c:strRef>
          </c:cat>
          <c:val>
            <c:numRef>
              <c:f>'Уровень 1 - Схемы'!$G$8:$G$24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3E0D-4613-87D3-BAAFE4D577CA}"/>
            </c:ext>
          </c:extLst>
        </c:ser>
        <c:dLbls>
          <c:showLegendKey val="0"/>
          <c:showVal val="0"/>
          <c:showCatName val="0"/>
          <c:showSerName val="0"/>
          <c:showPercent val="0"/>
          <c:showBubbleSize val="0"/>
        </c:dLbls>
        <c:gapWidth val="150"/>
        <c:axId val="285433568"/>
        <c:axId val="285435920"/>
      </c:barChart>
      <c:catAx>
        <c:axId val="28543356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920"/>
        <c:crosses val="autoZero"/>
        <c:auto val="1"/>
        <c:lblAlgn val="ctr"/>
        <c:lblOffset val="100"/>
        <c:noMultiLvlLbl val="0"/>
      </c:catAx>
      <c:valAx>
        <c:axId val="285435920"/>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ru-RU" sz="1800" b="1" i="0" baseline="0">
                    <a:effectLst/>
                  </a:rPr>
                  <a:t>Расчетный выброс ртути относительно обычных отходов (кг </a:t>
                </a:r>
                <a:r>
                  <a:rPr lang="en-US" sz="1800" b="1" i="0" baseline="0">
                    <a:effectLst/>
                  </a:rPr>
                  <a:t>Hg/</a:t>
                </a:r>
                <a:r>
                  <a:rPr lang="ru-RU" sz="1800" b="1" i="0" baseline="0">
                    <a:effectLst/>
                  </a:rPr>
                  <a:t>год)</a:t>
                </a:r>
                <a:endParaRPr lang="en-US">
                  <a:effectLst/>
                </a:endParaRPr>
              </a:p>
            </c:rich>
          </c:tx>
          <c:layout>
            <c:manualLayout>
              <c:xMode val="edge"/>
              <c:yMode val="edge"/>
              <c:x val="0.23388891922490271"/>
              <c:y val="0.8932195823348169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356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 l="0.70000000000000062" r="0.70000000000000062" t="0.75000000000000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64788732394366E-2"/>
          <c:w val="0.5409153952843273"/>
          <c:h val="0.84154929577464788"/>
        </c:manualLayout>
      </c:layout>
      <c:barChart>
        <c:barDir val="bar"/>
        <c:grouping val="clustered"/>
        <c:varyColors val="0"/>
        <c:ser>
          <c:idx val="0"/>
          <c:order val="0"/>
          <c:spPr>
            <a:solidFill>
              <a:schemeClr val="bg1">
                <a:lumMod val="65000"/>
              </a:schemeClr>
            </a:solidFill>
          </c:spPr>
          <c:invertIfNegative val="0"/>
          <c:cat>
            <c:strRef>
              <c:f>'Уровень 1 - Схемы'!$A$8:$A$24</c:f>
              <c:strCache>
                <c:ptCount val="17"/>
                <c:pt idx="0">
                  <c:v>Сжигание угля и прочие способы его использования</c:v>
                </c:pt>
                <c:pt idx="1">
                  <c:v>Сжигание прочего природного топлива и биомассы*4</c:v>
                </c:pt>
                <c:pt idx="2">
                  <c:v>Добыча нефти и газа</c:v>
                </c:pt>
                <c:pt idx="3">
                  <c:v>Производство первичного металла (за исключением производства золота с помощью процесса амальгамирования)</c:v>
                </c:pt>
                <c:pt idx="4">
                  <c:v>Добыча золота с помощью процесса амальгамирования ртути</c:v>
                </c:pt>
                <c:pt idx="5">
                  <c:v>Производство прочих материалов*5</c:v>
                </c:pt>
                <c:pt idx="6">
                  <c:v>Производство хлорщелочи с использованием ртутных электролизеров</c:v>
                </c:pt>
                <c:pt idx="7">
                  <c:v>Прочее производство химических элементов и полимеров*6</c:v>
                </c:pt>
                <c:pt idx="8">
                  <c:v>Производство продукции с содержанием ртути</c:v>
                </c:pt>
                <c:pt idx="9">
                  <c:v>Применение и утилизация амальгамы для зубных пломб</c:v>
                </c:pt>
                <c:pt idx="10">
                  <c:v>Использование и утилизация другой продукции*7</c:v>
                </c:pt>
                <c:pt idx="11">
                  <c:v>Производство восстановленных металлов</c:v>
                </c:pt>
                <c:pt idx="12">
                  <c:v>Инсинерация отходов и открытое сжигание отходов*1</c:v>
                </c:pt>
                <c:pt idx="13">
                  <c:v>Отложение отходов*1</c:v>
                </c:pt>
                <c:pt idx="14">
                  <c:v>Несанкционированный сброс обычных отходов *1*2</c:v>
                </c:pt>
                <c:pt idx="15">
                  <c:v>Система сбора и отведения/обработка сточных вод*3</c:v>
                </c:pt>
                <c:pt idx="16">
                  <c:v>Крематории и кладбища</c:v>
                </c:pt>
              </c:strCache>
            </c:strRef>
          </c:cat>
          <c:val>
            <c:numRef>
              <c:f>'Уровень 1 - Схемы'!$H$8:$H$24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56F1-4A32-93CA-980BC4C924D6}"/>
            </c:ext>
          </c:extLst>
        </c:ser>
        <c:dLbls>
          <c:showLegendKey val="0"/>
          <c:showVal val="0"/>
          <c:showCatName val="0"/>
          <c:showSerName val="0"/>
          <c:showPercent val="0"/>
          <c:showBubbleSize val="0"/>
        </c:dLbls>
        <c:gapWidth val="150"/>
        <c:axId val="285435528"/>
        <c:axId val="285432392"/>
      </c:barChart>
      <c:catAx>
        <c:axId val="2854355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2392"/>
        <c:crosses val="autoZero"/>
        <c:auto val="1"/>
        <c:lblAlgn val="ctr"/>
        <c:lblOffset val="100"/>
        <c:noMultiLvlLbl val="0"/>
      </c:catAx>
      <c:valAx>
        <c:axId val="2854323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ru-RU" sz="1800" b="1" i="0" baseline="0">
                    <a:effectLst/>
                  </a:rPr>
                  <a:t>Расчетный выброс ртути, удельное значение отходов сектора (кг </a:t>
                </a:r>
                <a:r>
                  <a:rPr lang="en-US" sz="1800" b="1" i="0" baseline="0">
                    <a:effectLst/>
                  </a:rPr>
                  <a:t>Hg/</a:t>
                </a:r>
                <a:r>
                  <a:rPr lang="ru-RU" sz="1800" b="1" i="0" baseline="0">
                    <a:effectLst/>
                  </a:rPr>
                  <a:t>год)</a:t>
                </a:r>
                <a:endParaRPr lang="en-US">
                  <a:effectLst/>
                </a:endParaRPr>
              </a:p>
            </c:rich>
          </c:tx>
          <c:layout>
            <c:manualLayout>
              <c:xMode val="edge"/>
              <c:yMode val="edge"/>
              <c:x val="0.20236708275543228"/>
              <c:y val="0.893219659162322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5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63500</xdr:colOff>
      <xdr:row>45</xdr:row>
      <xdr:rowOff>79375</xdr:rowOff>
    </xdr:from>
    <xdr:to>
      <xdr:col>4</xdr:col>
      <xdr:colOff>730250</xdr:colOff>
      <xdr:row>79</xdr:row>
      <xdr:rowOff>69850</xdr:rowOff>
    </xdr:to>
    <xdr:graphicFrame macro="">
      <xdr:nvGraphicFramePr>
        <xdr:cNvPr id="6572851" name="Chart 2">
          <a:extLst>
            <a:ext uri="{FF2B5EF4-FFF2-40B4-BE49-F238E27FC236}">
              <a16:creationId xmlns:a16="http://schemas.microsoft.com/office/drawing/2014/main" id="{00000000-0008-0000-1700-000033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81</xdr:row>
      <xdr:rowOff>9525</xdr:rowOff>
    </xdr:from>
    <xdr:to>
      <xdr:col>4</xdr:col>
      <xdr:colOff>685800</xdr:colOff>
      <xdr:row>117</xdr:row>
      <xdr:rowOff>57150</xdr:rowOff>
    </xdr:to>
    <xdr:graphicFrame macro="">
      <xdr:nvGraphicFramePr>
        <xdr:cNvPr id="6572852" name="Chart 3">
          <a:extLst>
            <a:ext uri="{FF2B5EF4-FFF2-40B4-BE49-F238E27FC236}">
              <a16:creationId xmlns:a16="http://schemas.microsoft.com/office/drawing/2014/main" id="{00000000-0008-0000-1700-000034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157</xdr:row>
      <xdr:rowOff>38100</xdr:rowOff>
    </xdr:from>
    <xdr:to>
      <xdr:col>4</xdr:col>
      <xdr:colOff>695325</xdr:colOff>
      <xdr:row>193</xdr:row>
      <xdr:rowOff>66675</xdr:rowOff>
    </xdr:to>
    <xdr:graphicFrame macro="">
      <xdr:nvGraphicFramePr>
        <xdr:cNvPr id="6572853" name="Chart 9">
          <a:extLst>
            <a:ext uri="{FF2B5EF4-FFF2-40B4-BE49-F238E27FC236}">
              <a16:creationId xmlns:a16="http://schemas.microsoft.com/office/drawing/2014/main" id="{00000000-0008-0000-1700-000035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119</xdr:row>
      <xdr:rowOff>66675</xdr:rowOff>
    </xdr:from>
    <xdr:to>
      <xdr:col>4</xdr:col>
      <xdr:colOff>704850</xdr:colOff>
      <xdr:row>155</xdr:row>
      <xdr:rowOff>95250</xdr:rowOff>
    </xdr:to>
    <xdr:graphicFrame macro="">
      <xdr:nvGraphicFramePr>
        <xdr:cNvPr id="6572854" name="Chart 10">
          <a:extLst>
            <a:ext uri="{FF2B5EF4-FFF2-40B4-BE49-F238E27FC236}">
              <a16:creationId xmlns:a16="http://schemas.microsoft.com/office/drawing/2014/main" id="{00000000-0008-0000-1700-000036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195</xdr:row>
      <xdr:rowOff>114300</xdr:rowOff>
    </xdr:from>
    <xdr:to>
      <xdr:col>4</xdr:col>
      <xdr:colOff>704850</xdr:colOff>
      <xdr:row>229</xdr:row>
      <xdr:rowOff>123825</xdr:rowOff>
    </xdr:to>
    <xdr:graphicFrame macro="">
      <xdr:nvGraphicFramePr>
        <xdr:cNvPr id="6572855" name="Chart 16">
          <a:extLst>
            <a:ext uri="{FF2B5EF4-FFF2-40B4-BE49-F238E27FC236}">
              <a16:creationId xmlns:a16="http://schemas.microsoft.com/office/drawing/2014/main" id="{00000000-0008-0000-1700-000037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231</xdr:row>
      <xdr:rowOff>152400</xdr:rowOff>
    </xdr:from>
    <xdr:to>
      <xdr:col>4</xdr:col>
      <xdr:colOff>704850</xdr:colOff>
      <xdr:row>265</xdr:row>
      <xdr:rowOff>123825</xdr:rowOff>
    </xdr:to>
    <xdr:graphicFrame macro="">
      <xdr:nvGraphicFramePr>
        <xdr:cNvPr id="6572856" name="Chart 17">
          <a:extLst>
            <a:ext uri="{FF2B5EF4-FFF2-40B4-BE49-F238E27FC236}">
              <a16:creationId xmlns:a16="http://schemas.microsoft.com/office/drawing/2014/main" id="{00000000-0008-0000-1700-000038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267</xdr:row>
      <xdr:rowOff>66675</xdr:rowOff>
    </xdr:from>
    <xdr:to>
      <xdr:col>4</xdr:col>
      <xdr:colOff>704850</xdr:colOff>
      <xdr:row>300</xdr:row>
      <xdr:rowOff>133350</xdr:rowOff>
    </xdr:to>
    <xdr:graphicFrame macro="">
      <xdr:nvGraphicFramePr>
        <xdr:cNvPr id="6572857" name="Chart 17">
          <a:extLst>
            <a:ext uri="{FF2B5EF4-FFF2-40B4-BE49-F238E27FC236}">
              <a16:creationId xmlns:a16="http://schemas.microsoft.com/office/drawing/2014/main" id="{00000000-0008-0000-1700-000039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Ronkainen/OneDrive%20-%20United%20Nations/UNEP/ToolkitTranslations/French/NEW_Toolkit%20in%20French/FinalVersions/Toolkit-inventaire-niveau%201-Feuille%20de%20calcul-Janvier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Ronkainen/Downloads/Hg-Toolkit-Inventory%20Level%20%201-Calculation-Spreadsheet-January2017%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ape 1-Données pays"/>
      <sheetName val="Etape 2-Energie"/>
      <sheetName val="5-1 Fuels"/>
      <sheetName val="Etape 3-Métaux-MatPre"/>
      <sheetName val="5-2 Prim metal"/>
      <sheetName val="5-3 Other min + mat"/>
      <sheetName val="Etape 4-Utilis. Industrielle Hg"/>
      <sheetName val="5-4 Int Hg in Industry"/>
      <sheetName val="Etape5-Trait.+recyclage déchets"/>
      <sheetName val="5-8 Waste incin"/>
      <sheetName val="5-9 Waste depo and water treatm"/>
      <sheetName val="5-7 Recycl metals"/>
      <sheetName val="Etape6-Produits-substances Hg"/>
      <sheetName val="Countrydata"/>
      <sheetName val="5-5 Cons prod"/>
      <sheetName val="5-6 Other int use"/>
      <sheetName val="Etape7-Crématoriums-cimetières"/>
      <sheetName val="Etape8-Autres sources Hg"/>
      <sheetName val="Insérer résultats IN2"/>
      <sheetName val="Range-thresholds"/>
      <sheetName val="Unités de conversion"/>
      <sheetName val="Niveau 1-SommExec"/>
      <sheetName val="Niveau 1-Graphiques"/>
      <sheetName val="Niveau1- sources Hg identifiées"/>
      <sheetName val="Niveau 1-Sommaire des entréesHg"/>
      <sheetName val="Niveau 1-Sommaire des rejets"/>
      <sheetName val="Niveau 1- Sommaire général"/>
      <sheetName val="Level 2-introduction"/>
      <sheetName val="Level 2-summary"/>
      <sheetName val="Contrôles par défaut"/>
      <sheetName val="Feuille1"/>
      <sheetName val="Translation note"/>
      <sheetName val="5-10 Cremat and c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A8" t="str">
            <v>Cliquez ici pour sélectionner le pays</v>
          </cell>
        </row>
        <row r="9">
          <cell r="A9" t="str">
            <v>Afghanistan</v>
          </cell>
        </row>
        <row r="10">
          <cell r="A10" t="str">
            <v>Albania*8</v>
          </cell>
        </row>
        <row r="11">
          <cell r="A11" t="str">
            <v>Algeria</v>
          </cell>
        </row>
        <row r="12">
          <cell r="A12" t="str">
            <v>Andorra*7</v>
          </cell>
        </row>
        <row r="13">
          <cell r="A13" t="str">
            <v>Angola</v>
          </cell>
        </row>
        <row r="14">
          <cell r="A14" t="str">
            <v>Antigua and Barbuda*8</v>
          </cell>
        </row>
        <row r="15">
          <cell r="A15" t="str">
            <v>Argentina</v>
          </cell>
        </row>
        <row r="16">
          <cell r="A16" t="str">
            <v>Armenia</v>
          </cell>
        </row>
        <row r="17">
          <cell r="A17" t="str">
            <v>Australia*8</v>
          </cell>
        </row>
        <row r="18">
          <cell r="A18" t="str">
            <v>Austria</v>
          </cell>
        </row>
        <row r="19">
          <cell r="A19" t="str">
            <v>Azerbaijan*8</v>
          </cell>
        </row>
        <row r="20">
          <cell r="A20" t="str">
            <v>Bahamas*8</v>
          </cell>
        </row>
        <row r="21">
          <cell r="A21" t="str">
            <v>Bahrain</v>
          </cell>
        </row>
        <row r="22">
          <cell r="A22" t="str">
            <v>Bangladesh</v>
          </cell>
        </row>
        <row r="23">
          <cell r="A23" t="str">
            <v>Barbados*8</v>
          </cell>
        </row>
        <row r="24">
          <cell r="A24" t="str">
            <v>Belarus*9</v>
          </cell>
        </row>
        <row r="25">
          <cell r="A25" t="str">
            <v>Belgium</v>
          </cell>
        </row>
        <row r="26">
          <cell r="A26" t="str">
            <v>Belize*8</v>
          </cell>
        </row>
        <row r="27">
          <cell r="A27" t="str">
            <v>Benin</v>
          </cell>
        </row>
        <row r="28">
          <cell r="A28" t="str">
            <v>Bhutan*6</v>
          </cell>
        </row>
        <row r="29">
          <cell r="A29" t="str">
            <v>Bolivia</v>
          </cell>
        </row>
        <row r="30">
          <cell r="A30" t="str">
            <v>Bosnia and Herzegovina*6</v>
          </cell>
        </row>
        <row r="31">
          <cell r="A31" t="str">
            <v>Botswana</v>
          </cell>
        </row>
        <row r="32">
          <cell r="A32" t="str">
            <v>Brazil</v>
          </cell>
        </row>
        <row r="33">
          <cell r="A33" t="str">
            <v>Brunei Darussalam</v>
          </cell>
        </row>
        <row r="34">
          <cell r="A34" t="str">
            <v>Bulgaria*8</v>
          </cell>
        </row>
        <row r="35">
          <cell r="A35" t="str">
            <v>Burkina Faso</v>
          </cell>
        </row>
        <row r="36">
          <cell r="A36" t="str">
            <v>Burundi*6</v>
          </cell>
        </row>
        <row r="37">
          <cell r="A37" t="str">
            <v>Cambodia</v>
          </cell>
        </row>
        <row r="38">
          <cell r="A38" t="str">
            <v>Cameroon</v>
          </cell>
        </row>
        <row r="39">
          <cell r="A39" t="str">
            <v>Canada*9</v>
          </cell>
        </row>
        <row r="40">
          <cell r="A40" t="str">
            <v>Cape Verde*6</v>
          </cell>
        </row>
        <row r="41">
          <cell r="A41" t="str">
            <v>Central African Republic*6</v>
          </cell>
        </row>
        <row r="42">
          <cell r="A42" t="str">
            <v>Chad*6</v>
          </cell>
        </row>
        <row r="43">
          <cell r="A43" t="str">
            <v>Chile</v>
          </cell>
        </row>
        <row r="44">
          <cell r="A44" t="str">
            <v>China</v>
          </cell>
        </row>
        <row r="45">
          <cell r="A45" t="str">
            <v>Chinese Taipei/Taiwan*10</v>
          </cell>
        </row>
        <row r="46">
          <cell r="A46" t="str">
            <v>Colombia</v>
          </cell>
        </row>
        <row r="47">
          <cell r="A47" t="str">
            <v>Comoros*6</v>
          </cell>
        </row>
        <row r="48">
          <cell r="A48" t="str">
            <v>Cook Islands*8</v>
          </cell>
        </row>
        <row r="49">
          <cell r="A49" t="str">
            <v>Costa Rica</v>
          </cell>
        </row>
        <row r="50">
          <cell r="A50" t="str">
            <v>Côte d'Ivoire</v>
          </cell>
        </row>
        <row r="51">
          <cell r="A51" t="str">
            <v>Croatia*8</v>
          </cell>
        </row>
        <row r="52">
          <cell r="A52" t="str">
            <v>Cuba</v>
          </cell>
        </row>
        <row r="53">
          <cell r="A53" t="str">
            <v>Cyprus*9</v>
          </cell>
        </row>
        <row r="54">
          <cell r="A54" t="str">
            <v>Czech Republic*8</v>
          </cell>
        </row>
        <row r="55">
          <cell r="A55" t="str">
            <v>Democratic People's Republic of Korea</v>
          </cell>
        </row>
        <row r="56">
          <cell r="A56" t="str">
            <v>Democratic Republic of the Congo</v>
          </cell>
        </row>
        <row r="57">
          <cell r="A57" t="str">
            <v>Denmark</v>
          </cell>
        </row>
        <row r="58">
          <cell r="A58" t="str">
            <v>Djibouti*6</v>
          </cell>
        </row>
        <row r="59">
          <cell r="A59" t="str">
            <v>Dominica*6</v>
          </cell>
        </row>
        <row r="60">
          <cell r="A60" t="str">
            <v>Dominican Republic</v>
          </cell>
        </row>
        <row r="61">
          <cell r="A61" t="str">
            <v>Ecuador</v>
          </cell>
        </row>
        <row r="62">
          <cell r="A62" t="str">
            <v>Egypt</v>
          </cell>
        </row>
        <row r="63">
          <cell r="A63" t="str">
            <v>El Salvador</v>
          </cell>
        </row>
        <row r="64">
          <cell r="A64" t="str">
            <v>Equatorial Guinea*11</v>
          </cell>
        </row>
        <row r="65">
          <cell r="A65" t="str">
            <v>Eritrea</v>
          </cell>
        </row>
        <row r="66">
          <cell r="A66" t="str">
            <v>Estonia*8</v>
          </cell>
        </row>
        <row r="67">
          <cell r="A67" t="str">
            <v>Eswatini (Swaziland)</v>
          </cell>
        </row>
        <row r="68">
          <cell r="A68" t="str">
            <v>Ethiopia*8*13</v>
          </cell>
        </row>
        <row r="69">
          <cell r="A69" t="str">
            <v>Fiji</v>
          </cell>
        </row>
        <row r="70">
          <cell r="A70" t="str">
            <v>Finland</v>
          </cell>
        </row>
        <row r="71">
          <cell r="A71" t="str">
            <v>France</v>
          </cell>
        </row>
        <row r="72">
          <cell r="A72" t="str">
            <v>Gabon</v>
          </cell>
        </row>
        <row r="73">
          <cell r="A73" t="str">
            <v>Gambia*6</v>
          </cell>
        </row>
        <row r="74">
          <cell r="A74" t="str">
            <v>Georgia*6</v>
          </cell>
        </row>
        <row r="75">
          <cell r="A75" t="str">
            <v>Germany</v>
          </cell>
        </row>
        <row r="76">
          <cell r="A76" t="str">
            <v>Ghana</v>
          </cell>
        </row>
        <row r="77">
          <cell r="A77" t="str">
            <v>Greece</v>
          </cell>
        </row>
        <row r="78">
          <cell r="A78" t="str">
            <v>Grenada*8</v>
          </cell>
        </row>
        <row r="79">
          <cell r="A79" t="str">
            <v>Guatemala</v>
          </cell>
        </row>
        <row r="80">
          <cell r="A80" t="str">
            <v>Guinea*6</v>
          </cell>
        </row>
        <row r="81">
          <cell r="A81" t="str">
            <v>Guinea-Bissau*6</v>
          </cell>
        </row>
        <row r="82">
          <cell r="A82" t="str">
            <v>Guyana*6</v>
          </cell>
        </row>
        <row r="83">
          <cell r="A83" t="str">
            <v>Haiti</v>
          </cell>
        </row>
        <row r="84">
          <cell r="A84" t="str">
            <v>Honduras</v>
          </cell>
        </row>
        <row r="85">
          <cell r="A85" t="str">
            <v>Hungary*8</v>
          </cell>
        </row>
        <row r="86">
          <cell r="A86" t="str">
            <v>Iceland</v>
          </cell>
        </row>
        <row r="87">
          <cell r="A87" t="str">
            <v>India</v>
          </cell>
        </row>
        <row r="88">
          <cell r="A88" t="str">
            <v>Indonesia</v>
          </cell>
        </row>
        <row r="89">
          <cell r="A89" t="str">
            <v>Iran, Islamic Republic of</v>
          </cell>
        </row>
        <row r="90">
          <cell r="A90" t="str">
            <v>Iraq</v>
          </cell>
        </row>
        <row r="91">
          <cell r="A91" t="str">
            <v>Ireland</v>
          </cell>
        </row>
        <row r="92">
          <cell r="A92" t="str">
            <v>Israel</v>
          </cell>
        </row>
        <row r="93">
          <cell r="A93" t="str">
            <v>Italy</v>
          </cell>
        </row>
        <row r="94">
          <cell r="A94" t="str">
            <v>Jamaica</v>
          </cell>
        </row>
        <row r="95">
          <cell r="A95" t="str">
            <v>Japan*8</v>
          </cell>
        </row>
        <row r="96">
          <cell r="A96" t="str">
            <v>Jordan</v>
          </cell>
        </row>
        <row r="97">
          <cell r="A97" t="str">
            <v>Kazakhstan*9</v>
          </cell>
        </row>
        <row r="98">
          <cell r="A98" t="str">
            <v>Kenya</v>
          </cell>
        </row>
        <row r="99">
          <cell r="A99" t="str">
            <v>Kiribati*12</v>
          </cell>
        </row>
        <row r="100">
          <cell r="A100" t="str">
            <v>Kuwait</v>
          </cell>
        </row>
        <row r="101">
          <cell r="A101" t="str">
            <v>Kyrgyzstan</v>
          </cell>
        </row>
        <row r="102">
          <cell r="A102" t="str">
            <v>Lao People's Democratic Republic</v>
          </cell>
        </row>
        <row r="103">
          <cell r="A103" t="str">
            <v>Latvia*8</v>
          </cell>
        </row>
        <row r="104">
          <cell r="A104" t="str">
            <v>Lebanon</v>
          </cell>
        </row>
        <row r="105">
          <cell r="A105" t="str">
            <v>Lesotho</v>
          </cell>
        </row>
        <row r="106">
          <cell r="A106" t="str">
            <v>Liberia*6</v>
          </cell>
        </row>
        <row r="107">
          <cell r="A107" t="str">
            <v>Libyan Arab Jamahiriya</v>
          </cell>
        </row>
        <row r="108">
          <cell r="A108" t="str">
            <v>Lithuania*8</v>
          </cell>
        </row>
        <row r="109">
          <cell r="A109" t="str">
            <v>Luxembourg</v>
          </cell>
        </row>
        <row r="110">
          <cell r="A110" t="str">
            <v>Madagascar</v>
          </cell>
        </row>
        <row r="111">
          <cell r="A111" t="str">
            <v>Malawi*14</v>
          </cell>
        </row>
        <row r="112">
          <cell r="A112" t="str">
            <v>Malaysia</v>
          </cell>
        </row>
        <row r="113">
          <cell r="A113" t="str">
            <v>Maldives*6</v>
          </cell>
        </row>
        <row r="114">
          <cell r="A114" t="str">
            <v>Mali*6</v>
          </cell>
        </row>
        <row r="115">
          <cell r="A115" t="str">
            <v>Malta</v>
          </cell>
        </row>
        <row r="116">
          <cell r="A116" t="str">
            <v>Marshall Islands*8</v>
          </cell>
        </row>
        <row r="117">
          <cell r="A117" t="str">
            <v>Mauritania*8</v>
          </cell>
        </row>
        <row r="118">
          <cell r="A118" t="str">
            <v>Mauritius</v>
          </cell>
        </row>
        <row r="119">
          <cell r="A119" t="str">
            <v>Mexico*8</v>
          </cell>
        </row>
        <row r="120">
          <cell r="A120" t="str">
            <v>Micronesia, Federated States of*8</v>
          </cell>
        </row>
        <row r="121">
          <cell r="A121" t="str">
            <v>Monaco</v>
          </cell>
        </row>
        <row r="122">
          <cell r="A122" t="str">
            <v>Mongolia*8</v>
          </cell>
        </row>
        <row r="123">
          <cell r="A123" t="str">
            <v>Montenegro*5</v>
          </cell>
        </row>
        <row r="124">
          <cell r="A124" t="str">
            <v>Morocco</v>
          </cell>
        </row>
        <row r="125">
          <cell r="A125" t="str">
            <v>Mozambique</v>
          </cell>
        </row>
        <row r="126">
          <cell r="A126" t="str">
            <v>Myanmar</v>
          </cell>
        </row>
        <row r="127">
          <cell r="A127" t="str">
            <v>Namibia</v>
          </cell>
        </row>
        <row r="128">
          <cell r="A128" t="str">
            <v>Nauru*8*12</v>
          </cell>
        </row>
        <row r="129">
          <cell r="A129" t="str">
            <v>Nepal</v>
          </cell>
        </row>
        <row r="130">
          <cell r="A130" t="str">
            <v>Netherlands</v>
          </cell>
        </row>
        <row r="131">
          <cell r="A131" t="str">
            <v>New Zealand*8</v>
          </cell>
        </row>
        <row r="132">
          <cell r="A132" t="str">
            <v>Nicaragua</v>
          </cell>
        </row>
        <row r="133">
          <cell r="A133" t="str">
            <v>Niger*8</v>
          </cell>
        </row>
        <row r="134">
          <cell r="A134" t="str">
            <v>Nigeria</v>
          </cell>
        </row>
        <row r="135">
          <cell r="A135" t="str">
            <v>Niue*8</v>
          </cell>
        </row>
        <row r="136">
          <cell r="A136" t="str">
            <v>Norway</v>
          </cell>
        </row>
        <row r="137">
          <cell r="A137" t="str">
            <v>Oman</v>
          </cell>
        </row>
        <row r="138">
          <cell r="A138" t="str">
            <v>Pakistan</v>
          </cell>
        </row>
        <row r="139">
          <cell r="A139" t="str">
            <v>Palau*8</v>
          </cell>
        </row>
        <row r="140">
          <cell r="A140" t="str">
            <v>Panama</v>
          </cell>
        </row>
        <row r="141">
          <cell r="A141" t="str">
            <v>Papua New Guinea*6</v>
          </cell>
        </row>
        <row r="142">
          <cell r="A142" t="str">
            <v>Paraguay</v>
          </cell>
        </row>
        <row r="143">
          <cell r="A143" t="str">
            <v>Peru</v>
          </cell>
        </row>
        <row r="144">
          <cell r="A144" t="str">
            <v>Philippines</v>
          </cell>
        </row>
        <row r="145">
          <cell r="A145" t="str">
            <v>Poland*8</v>
          </cell>
        </row>
        <row r="146">
          <cell r="A146" t="str">
            <v>Portugal</v>
          </cell>
        </row>
        <row r="147">
          <cell r="A147" t="str">
            <v>Qatar</v>
          </cell>
        </row>
        <row r="148">
          <cell r="A148" t="str">
            <v>Republic of Korea*8</v>
          </cell>
        </row>
        <row r="149">
          <cell r="A149" t="str">
            <v>Republic of Moldova*6</v>
          </cell>
        </row>
        <row r="150">
          <cell r="A150" t="str">
            <v>Republic of the Congo</v>
          </cell>
        </row>
        <row r="151">
          <cell r="A151" t="str">
            <v>Romania</v>
          </cell>
        </row>
        <row r="152">
          <cell r="A152" t="str">
            <v>Russian Federation*8</v>
          </cell>
        </row>
        <row r="153">
          <cell r="A153" t="str">
            <v>Rwanda*6</v>
          </cell>
        </row>
        <row r="154">
          <cell r="A154" t="str">
            <v>Saint Kitts and Nevis</v>
          </cell>
        </row>
        <row r="155">
          <cell r="A155" t="str">
            <v>Saint Lucia</v>
          </cell>
        </row>
        <row r="156">
          <cell r="A156" t="str">
            <v>Saint Vincent and the Grenadines*6</v>
          </cell>
        </row>
        <row r="157">
          <cell r="A157" t="str">
            <v>Samoa</v>
          </cell>
        </row>
        <row r="158">
          <cell r="A158" t="str">
            <v>San Marino*9</v>
          </cell>
        </row>
        <row r="159">
          <cell r="A159" t="str">
            <v>Sao Tome and Principe*8</v>
          </cell>
        </row>
        <row r="160">
          <cell r="A160" t="str">
            <v>Saudi Arabia</v>
          </cell>
        </row>
        <row r="161">
          <cell r="A161" t="str">
            <v>Senegal</v>
          </cell>
        </row>
        <row r="162">
          <cell r="A162" t="str">
            <v>Serbia*5*8</v>
          </cell>
        </row>
        <row r="163">
          <cell r="A163" t="str">
            <v>Seychelles*8</v>
          </cell>
        </row>
        <row r="164">
          <cell r="A164" t="str">
            <v>Sierra Leone*6</v>
          </cell>
        </row>
        <row r="165">
          <cell r="A165" t="str">
            <v>Singapore*8</v>
          </cell>
        </row>
        <row r="166">
          <cell r="A166" t="str">
            <v>Slovakia</v>
          </cell>
        </row>
        <row r="167">
          <cell r="A167" t="str">
            <v>Slovenia</v>
          </cell>
        </row>
        <row r="168">
          <cell r="A168" t="str">
            <v>Solomon Islands*6</v>
          </cell>
        </row>
        <row r="169">
          <cell r="A169" t="str">
            <v>Somalia*8</v>
          </cell>
        </row>
        <row r="170">
          <cell r="A170" t="str">
            <v>South Africa</v>
          </cell>
        </row>
        <row r="171">
          <cell r="A171" t="str">
            <v>Spain</v>
          </cell>
        </row>
        <row r="172">
          <cell r="A172" t="str">
            <v>Sri Lanka</v>
          </cell>
        </row>
        <row r="173">
          <cell r="A173" t="str">
            <v>Sudan</v>
          </cell>
        </row>
        <row r="174">
          <cell r="A174" t="str">
            <v>Suriname*8</v>
          </cell>
        </row>
        <row r="175">
          <cell r="A175" t="str">
            <v>Sweden</v>
          </cell>
        </row>
        <row r="176">
          <cell r="A176" t="str">
            <v>Switzerland</v>
          </cell>
        </row>
        <row r="177">
          <cell r="A177" t="str">
            <v>Syrian Arab Republic</v>
          </cell>
        </row>
        <row r="178">
          <cell r="A178" t="str">
            <v>Tajikistan*8</v>
          </cell>
        </row>
        <row r="179">
          <cell r="A179" t="str">
            <v>Tanzania*6*13</v>
          </cell>
        </row>
        <row r="180">
          <cell r="A180" t="str">
            <v>Thailand</v>
          </cell>
        </row>
        <row r="181">
          <cell r="A181" t="str">
            <v>The former Yugoslav Republic of Macedonia*8</v>
          </cell>
        </row>
        <row r="182">
          <cell r="A182" t="str">
            <v>Timor-Leste</v>
          </cell>
        </row>
        <row r="183">
          <cell r="A183" t="str">
            <v>Timor-Leste</v>
          </cell>
        </row>
        <row r="184">
          <cell r="A184" t="str">
            <v>Togo</v>
          </cell>
        </row>
        <row r="185">
          <cell r="A185" t="str">
            <v>Tonga</v>
          </cell>
        </row>
        <row r="186">
          <cell r="A186" t="str">
            <v>Trinidad and Tobago</v>
          </cell>
        </row>
        <row r="187">
          <cell r="A187" t="str">
            <v>Tunisia</v>
          </cell>
        </row>
        <row r="188">
          <cell r="A188" t="str">
            <v>Turkey*8</v>
          </cell>
        </row>
        <row r="189">
          <cell r="A189" t="str">
            <v>Turkmenistan*8</v>
          </cell>
        </row>
        <row r="190">
          <cell r="A190" t="str">
            <v>Tuvalu*8</v>
          </cell>
        </row>
        <row r="191">
          <cell r="A191" t="str">
            <v>Uganda</v>
          </cell>
        </row>
        <row r="192">
          <cell r="A192" t="str">
            <v>Ukraine</v>
          </cell>
        </row>
        <row r="193">
          <cell r="A193" t="str">
            <v>United Arab Emirates</v>
          </cell>
        </row>
        <row r="194">
          <cell r="A194" t="str">
            <v>United Kingdom</v>
          </cell>
        </row>
        <row r="195">
          <cell r="A195" t="str">
            <v>United Republic of Tanzania</v>
          </cell>
        </row>
        <row r="196">
          <cell r="A196" t="str">
            <v>United States of America</v>
          </cell>
        </row>
        <row r="197">
          <cell r="A197" t="str">
            <v>Uruguay</v>
          </cell>
        </row>
        <row r="198">
          <cell r="A198" t="str">
            <v>Uzbekistan</v>
          </cell>
        </row>
        <row r="199">
          <cell r="A199" t="str">
            <v>Vanuatu*8*12</v>
          </cell>
        </row>
        <row r="200">
          <cell r="A200" t="str">
            <v>Venezuela, Bolivarian Republic of</v>
          </cell>
        </row>
        <row r="201">
          <cell r="A201" t="str">
            <v>Viet Nam*4</v>
          </cell>
        </row>
        <row r="202">
          <cell r="A202" t="str">
            <v>Yemen</v>
          </cell>
        </row>
        <row r="203">
          <cell r="A203" t="str">
            <v>Zambia</v>
          </cell>
        </row>
        <row r="204">
          <cell r="A204" t="str">
            <v>Zimbabwe</v>
          </cell>
        </row>
        <row r="205">
          <cell r="A205" t="str">
            <v>Other OECD country</v>
          </cell>
        </row>
        <row r="206">
          <cell r="A206" t="str">
            <v>Other non-OECD country</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
          <cell r="B3" t="str">
            <v>Présent ?</v>
          </cell>
        </row>
        <row r="4">
          <cell r="B4" t="str">
            <v>O</v>
          </cell>
        </row>
        <row r="5">
          <cell r="B5" t="str">
            <v>N</v>
          </cell>
        </row>
        <row r="6">
          <cell r="B6" t="str">
            <v>?</v>
          </cell>
        </row>
        <row r="7">
          <cell r="B7" t="str">
            <v>O/N/?</v>
          </cell>
        </row>
        <row r="8">
          <cell r="B8" t="str">
            <v>O/N</v>
          </cell>
        </row>
        <row r="10">
          <cell r="B10" t="str">
            <v>Plus des 2/3 (deux tiers ; 67%) des déchets généraux sont collectés et déposés sur des décharges à épandage contrôlé ou incinérés avec une réduction de la pollution</v>
          </cell>
        </row>
        <row r="11">
          <cell r="B11" t="str">
            <v>Moins des 2/3 (deux tiers ; 67%) des déchets généraux sont collectés et déposés sur des décharges à épandage contrôlé ou incinérés avec une réduction de la pollution</v>
          </cell>
        </row>
        <row r="12">
          <cell r="B12" t="str">
            <v>Répondez O ou N dans la cellule B4 de la feuille "Etape 5- Traitement des déchets + recyclage"</v>
          </cell>
        </row>
        <row r="13">
          <cell r="B13" t="str">
            <v>Plus d'un tiers (33%) des déchets des  produits contenant du mercure sont collectés et traités séparément?</v>
          </cell>
        </row>
        <row r="14">
          <cell r="B14" t="str">
            <v>Moins d'un tiers (33%) des déchets des  produits contenant du mercure sont collectés et traités séparément?</v>
          </cell>
        </row>
        <row r="15">
          <cell r="B15" t="str">
            <v>L'apport estimé de Hg (ou des résultats équivalents du niveau 2) marqués en rouge est très élevé par rapport aux observations précédentes. Les données peuvent être correctes mais veuillez confirmer vos données de taux d'activité.</v>
          </cell>
        </row>
        <row r="16">
          <cell r="B16" t="str">
            <v>Voir Etape 5 cellule F4</v>
          </cell>
        </row>
      </sheetData>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p1-Country data"/>
      <sheetName val="Step2-Energy"/>
      <sheetName val="5-1 Fuels"/>
      <sheetName val="Step3-Metals-RawMat"/>
      <sheetName val="5-2 Prim metal"/>
      <sheetName val="5-3 Other min + mat"/>
      <sheetName val="Step4-Industrial Hg use"/>
      <sheetName val="5-4 Int Hg in Industry"/>
      <sheetName val="Step5-Waste treatment+recycling"/>
      <sheetName val="5-8 Waste incin"/>
      <sheetName val="5-9 Waste depo and water treatm"/>
      <sheetName val="5-7 Recycl metals"/>
      <sheetName val="Step6-Hg products-substances"/>
      <sheetName val="Countrydata"/>
      <sheetName val="5-5 Cons prod"/>
      <sheetName val="5-6 Other int use"/>
      <sheetName val="Step7-Crematoria-cemetaries"/>
      <sheetName val="Step8-Miscellannous Hg sources"/>
      <sheetName val="Insert IL2 results"/>
      <sheetName val="Range-thresholds"/>
      <sheetName val="Unit conversion"/>
      <sheetName val="Level 1-ExecSummary"/>
      <sheetName val="Level 1-Charts"/>
      <sheetName val="Level 1- Hg sources identified"/>
      <sheetName val="Level 1-summary of Hg inputs"/>
      <sheetName val="Level 1-summary of releases"/>
      <sheetName val="Level 1- total summary"/>
      <sheetName val="Level 2-introduction"/>
      <sheetName val="Level 2-summary"/>
      <sheetName val="Controls defaults"/>
      <sheetName val="Translation note"/>
      <sheetName val="5-10 Cremat and cem"/>
    </sheetNames>
    <sheetDataSet>
      <sheetData sheetId="0" refreshError="1"/>
      <sheetData sheetId="1" refreshError="1"/>
      <sheetData sheetId="2" refreshError="1"/>
      <sheetData sheetId="3" refreshError="1"/>
      <sheetData sheetId="4" refreshError="1"/>
      <sheetData sheetId="5" refreshError="1"/>
      <sheetData sheetId="6"/>
      <sheetData sheetId="7">
        <row r="10">
          <cell r="U10">
            <v>0.6</v>
          </cell>
        </row>
      </sheetData>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
          <cell r="B4" t="str">
            <v>Y</v>
          </cell>
        </row>
        <row r="5">
          <cell r="B5" t="str">
            <v>N</v>
          </cell>
        </row>
        <row r="6">
          <cell r="B6" t="str">
            <v>?</v>
          </cell>
        </row>
      </sheetData>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www.reegle.info/countries" TargetMode="External"/><Relationship Id="rId7" Type="http://schemas.openxmlformats.org/officeDocument/2006/relationships/hyperlink" Target="https://population.un.org/wpp/DataQuery/" TargetMode="External"/><Relationship Id="rId2" Type="http://schemas.openxmlformats.org/officeDocument/2006/relationships/hyperlink" Target="http://www.reeep.org/file_upload/296_tmpphpW16ncV.pdf" TargetMode="External"/><Relationship Id="rId1" Type="http://schemas.openxmlformats.org/officeDocument/2006/relationships/hyperlink" Target="http://datamarket.com/data/set/1459/household-electrification-rate-of-households" TargetMode="External"/><Relationship Id="rId6" Type="http://schemas.openxmlformats.org/officeDocument/2006/relationships/hyperlink" Target="http://www.who.int/whr/2006/annex/en/index.html" TargetMode="External"/><Relationship Id="rId5" Type="http://schemas.openxmlformats.org/officeDocument/2006/relationships/hyperlink" Target="http://www.worldenergyoutlook.org/resources/energydevelopment/accesstoelectricity/" TargetMode="External"/><Relationship Id="rId4" Type="http://schemas.openxmlformats.org/officeDocument/2006/relationships/hyperlink" Target="http://www.ngdc.noaa.gov/dmsp/pubs/Elvidge_WINTD_20091022.pdf"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39"/>
  <sheetViews>
    <sheetView tabSelected="1" zoomScaleNormal="100" workbookViewId="0">
      <selection activeCell="A23" sqref="A23"/>
    </sheetView>
  </sheetViews>
  <sheetFormatPr defaultColWidth="9.1796875" defaultRowHeight="12.5"/>
  <cols>
    <col min="1" max="1" width="41.81640625" style="337" customWidth="1"/>
    <col min="2" max="2" width="70" style="366" customWidth="1"/>
    <col min="3" max="3" width="15.453125" style="337" customWidth="1"/>
    <col min="4" max="4" width="14.1796875" style="337" customWidth="1"/>
    <col min="5" max="5" width="10.81640625" style="337" customWidth="1"/>
    <col min="6" max="6" width="10.453125" style="337" customWidth="1"/>
    <col min="7" max="7" width="10.36328125" style="337" customWidth="1"/>
    <col min="8" max="8" width="11" style="337" customWidth="1"/>
    <col min="9" max="9" width="9.1796875" style="337"/>
    <col min="10" max="10" width="16.1796875" style="337" customWidth="1"/>
    <col min="11" max="11" width="11" style="337" customWidth="1"/>
    <col min="12" max="12" width="5.36328125" style="337" customWidth="1"/>
    <col min="13" max="16384" width="9.1796875" style="337"/>
  </cols>
  <sheetData>
    <row r="1" spans="1:39">
      <c r="A1" s="873" t="s">
        <v>1184</v>
      </c>
      <c r="B1" s="873"/>
    </row>
    <row r="2" spans="1:39" ht="42" customHeight="1" thickBot="1">
      <c r="A2" s="873"/>
      <c r="B2" s="873"/>
    </row>
    <row r="3" spans="1:39" ht="26.5" thickBot="1">
      <c r="A3" s="734" t="s">
        <v>840</v>
      </c>
      <c r="B3" s="446"/>
    </row>
    <row r="4" spans="1:39" ht="13">
      <c r="A4" s="265"/>
      <c r="B4" s="468"/>
    </row>
    <row r="5" spans="1:39" ht="13.5" thickBot="1">
      <c r="A5" s="265" t="s">
        <v>841</v>
      </c>
      <c r="B5" s="469"/>
    </row>
    <row r="6" spans="1:39" ht="25">
      <c r="A6" s="365" t="s">
        <v>842</v>
      </c>
      <c r="B6" s="500">
        <f>B23</f>
        <v>0</v>
      </c>
      <c r="C6" s="704" t="s">
        <v>831</v>
      </c>
      <c r="D6" s="703"/>
      <c r="E6" s="703"/>
      <c r="F6" s="703"/>
    </row>
    <row r="7" spans="1:39" s="479" customFormat="1">
      <c r="A7" s="365" t="s">
        <v>843</v>
      </c>
      <c r="B7" s="385"/>
      <c r="C7" s="337"/>
      <c r="D7" s="337"/>
      <c r="E7" s="337"/>
      <c r="F7" s="337"/>
      <c r="G7" s="337"/>
      <c r="H7" s="337"/>
      <c r="I7" s="337"/>
      <c r="J7" s="337"/>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row>
    <row r="8" spans="1:39">
      <c r="A8" s="273" t="s">
        <v>844</v>
      </c>
      <c r="B8" s="384"/>
    </row>
    <row r="9" spans="1:39">
      <c r="A9" s="273" t="s">
        <v>845</v>
      </c>
      <c r="B9" s="385"/>
    </row>
    <row r="10" spans="1:39" ht="25.5" thickBot="1">
      <c r="A10" s="273" t="s">
        <v>846</v>
      </c>
      <c r="B10" s="386"/>
    </row>
    <row r="11" spans="1:39">
      <c r="A11" s="365"/>
      <c r="B11" s="470"/>
    </row>
    <row r="12" spans="1:39" ht="26.5" thickBot="1">
      <c r="A12" s="735" t="s">
        <v>847</v>
      </c>
      <c r="B12" s="471"/>
      <c r="C12" s="367"/>
      <c r="D12" s="367"/>
      <c r="E12" s="367"/>
      <c r="F12" s="367"/>
      <c r="G12" s="367"/>
      <c r="H12" s="367"/>
      <c r="I12" s="367"/>
      <c r="J12" s="367"/>
      <c r="K12" s="367"/>
      <c r="L12" s="367"/>
    </row>
    <row r="13" spans="1:39">
      <c r="A13" s="737" t="s">
        <v>848</v>
      </c>
      <c r="B13" s="387"/>
      <c r="C13" s="368"/>
      <c r="D13" s="367"/>
      <c r="E13" s="367"/>
      <c r="F13" s="367"/>
      <c r="G13" s="367"/>
      <c r="H13" s="367"/>
      <c r="I13" s="367"/>
      <c r="J13" s="367"/>
      <c r="K13" s="367"/>
      <c r="L13" s="367"/>
    </row>
    <row r="14" spans="1:39">
      <c r="A14" s="737" t="s">
        <v>849</v>
      </c>
      <c r="B14" s="384"/>
      <c r="C14" s="368"/>
      <c r="D14" s="367"/>
      <c r="E14" s="367"/>
      <c r="F14" s="367"/>
      <c r="G14" s="367"/>
      <c r="H14" s="367"/>
      <c r="I14" s="367"/>
      <c r="J14" s="367"/>
      <c r="K14" s="367"/>
      <c r="L14" s="367"/>
    </row>
    <row r="15" spans="1:39">
      <c r="A15" s="737" t="s">
        <v>850</v>
      </c>
      <c r="B15" s="384"/>
      <c r="C15" s="368"/>
      <c r="D15" s="367"/>
      <c r="E15" s="367"/>
      <c r="F15" s="367"/>
      <c r="G15" s="367"/>
      <c r="H15" s="367"/>
      <c r="I15" s="367"/>
      <c r="J15" s="367"/>
      <c r="K15" s="367"/>
      <c r="L15" s="367"/>
    </row>
    <row r="16" spans="1:39">
      <c r="A16" s="738" t="s">
        <v>851</v>
      </c>
      <c r="B16" s="384"/>
      <c r="C16" s="367"/>
      <c r="D16" s="367"/>
      <c r="E16" s="367"/>
      <c r="F16" s="367"/>
      <c r="G16" s="367"/>
      <c r="H16" s="367"/>
      <c r="I16" s="367"/>
      <c r="J16" s="367"/>
      <c r="K16" s="367"/>
      <c r="L16" s="367"/>
    </row>
    <row r="17" spans="1:4">
      <c r="A17" s="737" t="s">
        <v>852</v>
      </c>
      <c r="B17" s="384"/>
    </row>
    <row r="18" spans="1:4" ht="13" thickBot="1">
      <c r="A18" s="739" t="s">
        <v>853</v>
      </c>
      <c r="B18" s="386"/>
    </row>
    <row r="19" spans="1:4">
      <c r="A19" s="270"/>
      <c r="B19" s="472"/>
    </row>
    <row r="21" spans="1:4" ht="13">
      <c r="A21" s="740" t="s">
        <v>854</v>
      </c>
      <c r="B21" s="518"/>
      <c r="C21" s="518"/>
      <c r="D21" s="518"/>
    </row>
    <row r="22" spans="1:4" ht="62.5">
      <c r="A22" s="741" t="s">
        <v>855</v>
      </c>
      <c r="B22" s="742" t="s">
        <v>1181</v>
      </c>
      <c r="C22" s="742" t="s">
        <v>856</v>
      </c>
      <c r="D22" s="742" t="s">
        <v>857</v>
      </c>
    </row>
    <row r="23" spans="1:4">
      <c r="A23" s="522" t="s">
        <v>1180</v>
      </c>
      <c r="B23" s="519">
        <f>IF(ISERROR(INDEX(Countrydata!B$8:B$206,MATCH($A$23,Country,0))),"Select country",INDEX(Countrydata!B$8:B$206,MATCH($A$23,Country,0)))</f>
        <v>0</v>
      </c>
      <c r="C23" s="520">
        <f>IF(ISERROR(INDEX(Countrydata!D$8:D$206,MATCH('Этап 1 - Информация о стране'!$A$23,Country,0))),"Select country",INDEX(Countrydata!D$8:D$206,MATCH('Этап 1 - Информация о стране'!$A$23,Country,0)))</f>
        <v>0.82919079065322876</v>
      </c>
      <c r="D23" s="521">
        <f>IF(ISERROR(INDEX(Countrydata!C$8:C$206,MATCH('Этап 1 - Информация о стране'!$A$23,Country,0))),"Select country",INDEX(Countrydata!C$8:C$206,MATCH('Этап 1 - Информация о стране'!$A$23,Country,0)))</f>
        <v>100</v>
      </c>
    </row>
    <row r="24" spans="1:4">
      <c r="A24" s="743" t="s">
        <v>858</v>
      </c>
      <c r="B24" s="203"/>
      <c r="C24" s="203"/>
      <c r="D24" s="203"/>
    </row>
    <row r="25" spans="1:4">
      <c r="A25" s="743" t="s">
        <v>859</v>
      </c>
      <c r="B25" s="744"/>
      <c r="C25" s="203"/>
      <c r="D25" s="203"/>
    </row>
    <row r="26" spans="1:4">
      <c r="A26" s="203"/>
      <c r="B26" s="744"/>
      <c r="C26" s="203"/>
      <c r="D26" s="203"/>
    </row>
    <row r="27" spans="1:4" ht="13">
      <c r="A27" s="874" t="s">
        <v>860</v>
      </c>
      <c r="B27" s="874"/>
      <c r="C27" s="874"/>
      <c r="D27" s="874"/>
    </row>
    <row r="28" spans="1:4">
      <c r="A28" s="875" t="s">
        <v>861</v>
      </c>
      <c r="B28" s="875"/>
      <c r="C28" s="875"/>
      <c r="D28" s="875"/>
    </row>
    <row r="29" spans="1:4">
      <c r="A29" s="203"/>
      <c r="B29" s="744"/>
      <c r="C29" s="203"/>
      <c r="D29" s="203"/>
    </row>
    <row r="30" spans="1:4">
      <c r="A30" s="743" t="s">
        <v>862</v>
      </c>
      <c r="B30" s="744"/>
      <c r="C30" s="203"/>
      <c r="D30" s="203"/>
    </row>
    <row r="31" spans="1:4">
      <c r="A31" s="203"/>
      <c r="B31" s="744"/>
      <c r="C31" s="745"/>
      <c r="D31" s="203"/>
    </row>
    <row r="32" spans="1:4" ht="13">
      <c r="A32" s="746" t="s">
        <v>863</v>
      </c>
      <c r="B32" s="747"/>
      <c r="C32" s="203"/>
      <c r="D32" s="203"/>
    </row>
    <row r="33" spans="1:4" ht="175">
      <c r="A33" s="748" t="s">
        <v>864</v>
      </c>
      <c r="B33" s="744"/>
      <c r="C33" s="203"/>
      <c r="D33" s="203"/>
    </row>
    <row r="34" spans="1:4" ht="162.5">
      <c r="A34" s="748" t="s">
        <v>865</v>
      </c>
      <c r="B34" s="744"/>
      <c r="C34" s="203"/>
      <c r="D34" s="203"/>
    </row>
    <row r="35" spans="1:4">
      <c r="A35" s="203"/>
      <c r="B35" s="744"/>
      <c r="C35" s="203"/>
      <c r="D35" s="203"/>
    </row>
    <row r="36" spans="1:4" ht="13">
      <c r="A36" s="749" t="s">
        <v>866</v>
      </c>
      <c r="B36" s="744"/>
      <c r="C36" s="203"/>
      <c r="D36" s="203"/>
    </row>
    <row r="37" spans="1:4">
      <c r="A37" s="315" t="s">
        <v>1185</v>
      </c>
    </row>
    <row r="39" spans="1:4">
      <c r="A39" s="337" t="s">
        <v>1186</v>
      </c>
    </row>
  </sheetData>
  <sheetProtection algorithmName="SHA-512" hashValue="bpzT6XOeUDjMzrwZB0NrQVSSKpvKkWK/R2Fl5LJwicEOsjYzi/bl5OWcousvahrUxzJAEs2XAvoygsZTmLaGog==" saltValue="F4ltBBbGs2LsMvLot52HzQ==" spinCount="100000" sheet="1" objects="1" scenarios="1"/>
  <mergeCells count="3">
    <mergeCell ref="A1:B2"/>
    <mergeCell ref="A27:D27"/>
    <mergeCell ref="A28:D28"/>
  </mergeCells>
  <conditionalFormatting sqref="C6">
    <cfRule type="expression" dxfId="130" priority="6">
      <formula>AND($B$6=0,$B$23&lt;&gt;0)</formula>
    </cfRule>
  </conditionalFormatting>
  <conditionalFormatting sqref="D6">
    <cfRule type="expression" dxfId="129" priority="3">
      <formula>AND($B$6=0,$B$23&lt;&gt;0)</formula>
    </cfRule>
  </conditionalFormatting>
  <conditionalFormatting sqref="F6">
    <cfRule type="expression" dxfId="128" priority="2">
      <formula>AND($B$6=0,$B$23&lt;&gt;0)</formula>
    </cfRule>
  </conditionalFormatting>
  <conditionalFormatting sqref="E6">
    <cfRule type="expression" dxfId="127" priority="1">
      <formula>AND($B$6=0,$B$23&lt;&gt;0)</formula>
    </cfRule>
  </conditionalFormatting>
  <dataValidations count="3">
    <dataValidation type="list" allowBlank="1" showErrorMessage="1" errorTitle="Select country" error="Select country" promptTitle="Country" prompt="Select country from drop-down list" sqref="A23" xr:uid="{00000000-0002-0000-0000-000000000000}">
      <formula1>Country</formula1>
    </dataValidation>
    <dataValidation allowBlank="1" showInputMessage="1" showErrorMessage="1" errorTitle="Input error" error="Use digits and decimal mark only." sqref="B7:B10" xr:uid="{00000000-0002-0000-0000-000001000000}"/>
    <dataValidation type="decimal" allowBlank="1" showInputMessage="1" showErrorMessage="1" errorTitle="Input error" error="Use digits and decimal mark only in this cell." promptTitle="Input cell" prompt="Use digits and decimal mark only in this cell. _x000a__x000a_Note: If you enter a value here, and later want to use pre-entered population data (by selecting country below), you must re-establish the link here to cell B23 (enter =B23)." sqref="B6" xr:uid="{00000000-0002-0000-0000-000002000000}">
      <formula1>-999999999999999000</formula1>
      <formula2>999999999999999000</formula2>
    </dataValidation>
  </dataValidations>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T31"/>
  <sheetViews>
    <sheetView topLeftCell="A10" zoomScale="142" zoomScaleNormal="70" workbookViewId="0">
      <selection activeCell="E26" sqref="E26:G26"/>
    </sheetView>
  </sheetViews>
  <sheetFormatPr defaultColWidth="8.81640625" defaultRowHeight="12.5"/>
  <cols>
    <col min="1" max="1" width="3" customWidth="1"/>
    <col min="2" max="2" width="6.1796875" customWidth="1"/>
    <col min="3" max="3" width="31.1796875" customWidth="1"/>
    <col min="4" max="4" width="8.1796875" customWidth="1"/>
    <col min="5" max="5" width="14.453125" customWidth="1"/>
    <col min="6" max="6" width="12" style="9" customWidth="1"/>
    <col min="7" max="7" width="10.36328125" customWidth="1"/>
    <col min="8" max="8" width="11.453125" style="9" customWidth="1"/>
    <col min="9" max="9" width="12.453125" style="240" customWidth="1"/>
    <col min="10" max="10" width="11.453125" style="9" customWidth="1"/>
    <col min="11" max="11" width="11.36328125" customWidth="1"/>
    <col min="12" max="12" width="11.453125" customWidth="1"/>
    <col min="13" max="13" width="25.6328125" style="13" customWidth="1"/>
    <col min="14" max="14" width="9.1796875" style="240"/>
    <col min="16" max="16" width="4.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740</v>
      </c>
      <c r="I1" s="231"/>
      <c r="N1" s="231"/>
    </row>
    <row r="2" spans="1:28" ht="14">
      <c r="A2" s="54" t="s">
        <v>313</v>
      </c>
      <c r="I2" s="231"/>
      <c r="N2" s="231"/>
    </row>
    <row r="3" spans="1:28" s="5" customFormat="1" ht="13">
      <c r="C3" s="7"/>
      <c r="D3" s="7"/>
      <c r="E3" s="7"/>
      <c r="F3" s="26"/>
      <c r="G3" s="7"/>
      <c r="H3" s="26"/>
      <c r="I3" s="255"/>
      <c r="J3" s="26"/>
      <c r="K3" s="7"/>
      <c r="L3" s="7"/>
      <c r="M3" s="64"/>
      <c r="N3" s="255"/>
      <c r="O3" s="7"/>
      <c r="P3" s="65" t="s">
        <v>55</v>
      </c>
      <c r="Q3" s="65"/>
      <c r="R3" s="65"/>
      <c r="S3" s="65"/>
      <c r="T3" s="65"/>
      <c r="U3" s="65"/>
      <c r="V3" s="10" t="s">
        <v>54</v>
      </c>
      <c r="W3" s="103"/>
      <c r="X3" s="103"/>
      <c r="Y3" s="103"/>
      <c r="Z3" s="103"/>
      <c r="AA3" s="103"/>
      <c r="AB3" s="65"/>
    </row>
    <row r="4" spans="1:28" s="144" customFormat="1" ht="26">
      <c r="A4" s="144" t="s">
        <v>52</v>
      </c>
      <c r="B4" s="144" t="s">
        <v>50</v>
      </c>
      <c r="C4" s="134" t="s">
        <v>59</v>
      </c>
      <c r="D4" s="112" t="s">
        <v>153</v>
      </c>
      <c r="E4" s="134" t="s">
        <v>49</v>
      </c>
      <c r="F4" s="151" t="s">
        <v>35</v>
      </c>
      <c r="G4" s="112" t="s">
        <v>37</v>
      </c>
      <c r="H4" s="151" t="s">
        <v>35</v>
      </c>
      <c r="I4" s="245" t="s">
        <v>51</v>
      </c>
      <c r="J4" s="134" t="s">
        <v>35</v>
      </c>
      <c r="K4" s="84" t="s">
        <v>61</v>
      </c>
      <c r="L4" s="143" t="s">
        <v>35</v>
      </c>
      <c r="M4" s="14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26">
      <c r="A5" s="129" t="s">
        <v>194</v>
      </c>
      <c r="C5" s="134" t="s">
        <v>195</v>
      </c>
      <c r="D5" s="111"/>
      <c r="F5" s="643"/>
      <c r="G5" s="76"/>
      <c r="H5" s="643"/>
      <c r="I5" s="247"/>
      <c r="J5" s="644"/>
      <c r="K5" s="113"/>
      <c r="L5" s="128"/>
      <c r="M5" s="135"/>
      <c r="N5" s="247"/>
      <c r="O5" s="128"/>
      <c r="P5" s="76"/>
      <c r="Q5" s="76"/>
      <c r="R5" s="76"/>
      <c r="S5" s="76"/>
      <c r="T5" s="76"/>
      <c r="U5" s="76"/>
      <c r="V5" s="58"/>
      <c r="W5" s="58"/>
      <c r="X5" s="58"/>
      <c r="Y5" s="58"/>
      <c r="Z5" s="58"/>
      <c r="AA5" s="58"/>
      <c r="AB5" s="76"/>
    </row>
    <row r="6" spans="1:28" ht="26">
      <c r="B6" s="3" t="s">
        <v>196</v>
      </c>
      <c r="C6" s="12" t="s">
        <v>197</v>
      </c>
      <c r="D6" s="111"/>
      <c r="F6" s="332"/>
      <c r="G6" s="76"/>
      <c r="H6" s="332"/>
      <c r="I6" s="247"/>
      <c r="K6" s="168"/>
      <c r="L6" s="3"/>
      <c r="M6" s="14"/>
      <c r="N6" s="247"/>
      <c r="O6" s="3"/>
      <c r="P6" s="76"/>
      <c r="Q6" s="76"/>
      <c r="R6" s="76"/>
      <c r="S6" s="76"/>
      <c r="T6" s="76"/>
      <c r="U6" s="76"/>
      <c r="V6" s="114">
        <f t="shared" ref="V6:AA6" si="0">SUM(V7:V10)</f>
        <v>0</v>
      </c>
      <c r="W6" s="114">
        <f t="shared" si="0"/>
        <v>0</v>
      </c>
      <c r="X6" s="114">
        <f t="shared" si="0"/>
        <v>0</v>
      </c>
      <c r="Y6" s="114">
        <f t="shared" si="0"/>
        <v>0</v>
      </c>
      <c r="Z6" s="114">
        <f t="shared" si="0"/>
        <v>0</v>
      </c>
      <c r="AA6" s="114">
        <f t="shared" si="0"/>
        <v>0</v>
      </c>
      <c r="AB6" s="76"/>
    </row>
    <row r="7" spans="1:28" ht="25.5">
      <c r="A7" s="3"/>
      <c r="C7" s="9"/>
      <c r="D7" s="76"/>
      <c r="E7" s="871" t="s">
        <v>1268</v>
      </c>
      <c r="F7" s="9" t="s">
        <v>336</v>
      </c>
      <c r="G7" s="76">
        <v>1</v>
      </c>
      <c r="H7" s="332" t="s">
        <v>336</v>
      </c>
      <c r="I7" s="260">
        <f>'Этап5-Обраб. отходов+перераб.'!C13</f>
        <v>0</v>
      </c>
      <c r="J7" s="332" t="s">
        <v>337</v>
      </c>
      <c r="K7" s="115">
        <f>G7*I7/1000</f>
        <v>0</v>
      </c>
      <c r="L7" s="3" t="s">
        <v>36</v>
      </c>
      <c r="M7" s="15" t="s">
        <v>201</v>
      </c>
      <c r="N7" s="248">
        <f>$K$7*'Этап5-Обраб. отходов+перераб.'!G15/100</f>
        <v>0</v>
      </c>
      <c r="O7" s="3" t="s">
        <v>36</v>
      </c>
      <c r="P7" s="202">
        <v>1</v>
      </c>
      <c r="Q7" s="202"/>
      <c r="R7" s="202"/>
      <c r="S7" s="202"/>
      <c r="T7" s="202"/>
      <c r="U7" s="202"/>
      <c r="V7" s="116">
        <f>$N7*P7</f>
        <v>0</v>
      </c>
      <c r="W7" s="116">
        <f t="shared" ref="V7:AA10" si="1">$N7*Q7</f>
        <v>0</v>
      </c>
      <c r="X7" s="116">
        <f t="shared" si="1"/>
        <v>0</v>
      </c>
      <c r="Y7" s="116">
        <f t="shared" si="1"/>
        <v>0</v>
      </c>
      <c r="Z7" s="116">
        <f t="shared" si="1"/>
        <v>0</v>
      </c>
      <c r="AA7" s="116">
        <f t="shared" si="1"/>
        <v>0</v>
      </c>
      <c r="AB7" s="76"/>
    </row>
    <row r="8" spans="1:28" ht="13">
      <c r="A8" s="3"/>
      <c r="B8" s="3"/>
      <c r="C8" s="9"/>
      <c r="D8" s="76"/>
      <c r="E8" s="6"/>
      <c r="F8" s="332"/>
      <c r="G8" s="76"/>
      <c r="H8" s="332"/>
      <c r="I8" s="248"/>
      <c r="K8" s="115"/>
      <c r="L8" s="3"/>
      <c r="M8" s="15" t="s">
        <v>202</v>
      </c>
      <c r="N8" s="248">
        <f>$K$7*'Этап5-Обраб. отходов+перераб.'!H15/100</f>
        <v>0</v>
      </c>
      <c r="O8" s="3" t="s">
        <v>36</v>
      </c>
      <c r="P8" s="202">
        <v>0.9</v>
      </c>
      <c r="Q8" s="202"/>
      <c r="R8" s="202"/>
      <c r="S8" s="202"/>
      <c r="T8" s="202"/>
      <c r="U8" s="202">
        <v>0.1</v>
      </c>
      <c r="V8" s="116">
        <f>$N8*P8</f>
        <v>0</v>
      </c>
      <c r="W8" s="116">
        <f t="shared" si="1"/>
        <v>0</v>
      </c>
      <c r="X8" s="116">
        <f t="shared" si="1"/>
        <v>0</v>
      </c>
      <c r="Y8" s="116">
        <f t="shared" si="1"/>
        <v>0</v>
      </c>
      <c r="Z8" s="116">
        <f t="shared" si="1"/>
        <v>0</v>
      </c>
      <c r="AA8" s="116">
        <f t="shared" si="1"/>
        <v>0</v>
      </c>
      <c r="AB8" s="76"/>
    </row>
    <row r="9" spans="1:28" ht="52">
      <c r="A9" s="3"/>
      <c r="B9" s="3"/>
      <c r="C9" s="9"/>
      <c r="D9" s="76"/>
      <c r="E9" s="6"/>
      <c r="F9" s="332"/>
      <c r="G9" s="76"/>
      <c r="H9" s="332"/>
      <c r="I9" s="248"/>
      <c r="K9" s="115"/>
      <c r="L9" s="3"/>
      <c r="M9" s="15" t="s">
        <v>198</v>
      </c>
      <c r="N9" s="248">
        <f>$K$7*'Этап5-Обраб. отходов+перераб.'!I15/100</f>
        <v>0</v>
      </c>
      <c r="O9" s="3" t="s">
        <v>36</v>
      </c>
      <c r="P9" s="202">
        <v>0.5</v>
      </c>
      <c r="Q9" s="202"/>
      <c r="R9" s="202"/>
      <c r="S9" s="202"/>
      <c r="T9" s="202"/>
      <c r="U9" s="202">
        <v>0.5</v>
      </c>
      <c r="V9" s="116">
        <f t="shared" si="1"/>
        <v>0</v>
      </c>
      <c r="W9" s="116">
        <f t="shared" si="1"/>
        <v>0</v>
      </c>
      <c r="X9" s="116">
        <f t="shared" si="1"/>
        <v>0</v>
      </c>
      <c r="Y9" s="116">
        <f t="shared" si="1"/>
        <v>0</v>
      </c>
      <c r="Z9" s="116">
        <f t="shared" si="1"/>
        <v>0</v>
      </c>
      <c r="AA9" s="116">
        <f t="shared" si="1"/>
        <v>0</v>
      </c>
      <c r="AB9" s="76"/>
    </row>
    <row r="10" spans="1:28" ht="26">
      <c r="A10" s="3"/>
      <c r="B10" s="3"/>
      <c r="C10" s="9"/>
      <c r="D10" s="76"/>
      <c r="E10" s="6"/>
      <c r="F10" s="332"/>
      <c r="G10" s="76"/>
      <c r="H10" s="332"/>
      <c r="I10" s="248"/>
      <c r="K10" s="115"/>
      <c r="L10" s="3"/>
      <c r="M10" s="15" t="s">
        <v>765</v>
      </c>
      <c r="N10" s="248">
        <f>$K$7*'Этап5-Обраб. отходов+перераб.'!J15/100</f>
        <v>0</v>
      </c>
      <c r="O10" s="3" t="s">
        <v>36</v>
      </c>
      <c r="P10" s="202">
        <v>0.1</v>
      </c>
      <c r="Q10" s="202"/>
      <c r="R10" s="202"/>
      <c r="S10" s="202"/>
      <c r="T10" s="202"/>
      <c r="U10" s="202">
        <v>0.9</v>
      </c>
      <c r="V10" s="116">
        <f t="shared" si="1"/>
        <v>0</v>
      </c>
      <c r="W10" s="116">
        <f t="shared" si="1"/>
        <v>0</v>
      </c>
      <c r="X10" s="116">
        <f t="shared" si="1"/>
        <v>0</v>
      </c>
      <c r="Y10" s="116">
        <f t="shared" si="1"/>
        <v>0</v>
      </c>
      <c r="Z10" s="116">
        <f t="shared" si="1"/>
        <v>0</v>
      </c>
      <c r="AA10" s="116">
        <f t="shared" si="1"/>
        <v>0</v>
      </c>
      <c r="AB10" s="76"/>
    </row>
    <row r="11" spans="1:28" s="55" customFormat="1" ht="13">
      <c r="A11" s="104"/>
      <c r="B11" s="104"/>
      <c r="C11" s="136"/>
      <c r="D11" s="111"/>
      <c r="E11" s="106"/>
      <c r="F11" s="150"/>
      <c r="G11" s="76"/>
      <c r="H11" s="150"/>
      <c r="I11" s="248"/>
      <c r="J11" s="105"/>
      <c r="K11" s="115"/>
      <c r="L11" s="104"/>
      <c r="M11" s="107"/>
      <c r="N11" s="248"/>
      <c r="O11" s="104"/>
      <c r="P11" s="117"/>
      <c r="Q11" s="117"/>
      <c r="R11" s="118"/>
      <c r="S11" s="118"/>
      <c r="T11" s="117"/>
      <c r="U11" s="117"/>
      <c r="V11" s="116"/>
      <c r="W11" s="116"/>
      <c r="X11" s="116"/>
      <c r="Y11" s="116"/>
      <c r="Z11" s="116"/>
      <c r="AA11" s="116"/>
      <c r="AB11" s="76"/>
    </row>
    <row r="12" spans="1:28" ht="13">
      <c r="B12" s="3" t="s">
        <v>200</v>
      </c>
      <c r="C12" s="12" t="s">
        <v>203</v>
      </c>
      <c r="D12" s="111"/>
      <c r="F12" s="332"/>
      <c r="G12" s="76"/>
      <c r="H12" s="332"/>
      <c r="I12" s="247"/>
      <c r="K12" s="168"/>
      <c r="L12" s="3"/>
      <c r="M12" s="14"/>
      <c r="N12" s="247"/>
      <c r="O12" s="3"/>
      <c r="P12" s="76"/>
      <c r="Q12" s="76"/>
      <c r="R12" s="76"/>
      <c r="S12" s="76"/>
      <c r="T12" s="76"/>
      <c r="U12" s="76"/>
      <c r="V12" s="114">
        <f t="shared" ref="V12:AA12" si="2">SUM(V13:V16)</f>
        <v>0</v>
      </c>
      <c r="W12" s="114">
        <f t="shared" si="2"/>
        <v>0</v>
      </c>
      <c r="X12" s="114">
        <f t="shared" si="2"/>
        <v>0</v>
      </c>
      <c r="Y12" s="114">
        <f t="shared" si="2"/>
        <v>0</v>
      </c>
      <c r="Z12" s="114">
        <f t="shared" si="2"/>
        <v>0</v>
      </c>
      <c r="AA12" s="114">
        <f t="shared" si="2"/>
        <v>0</v>
      </c>
      <c r="AB12" s="76"/>
    </row>
    <row r="13" spans="1:28" ht="25.5">
      <c r="A13" s="3"/>
      <c r="C13" s="9"/>
      <c r="D13" s="76"/>
      <c r="E13" s="18" t="s">
        <v>206</v>
      </c>
      <c r="F13" s="332" t="s">
        <v>336</v>
      </c>
      <c r="G13" s="76">
        <v>24</v>
      </c>
      <c r="H13" s="332" t="s">
        <v>336</v>
      </c>
      <c r="I13" s="260">
        <f>'Этап5-Обраб. отходов+перераб.'!C16</f>
        <v>0</v>
      </c>
      <c r="J13" s="332" t="s">
        <v>337</v>
      </c>
      <c r="K13" s="115">
        <f>G13*I13/1000</f>
        <v>0</v>
      </c>
      <c r="L13" s="3" t="s">
        <v>36</v>
      </c>
      <c r="M13" s="15" t="s">
        <v>201</v>
      </c>
      <c r="N13" s="248">
        <f>$K$13*'Этап5-Обраб. отходов+перераб.'!G18/100</f>
        <v>0</v>
      </c>
      <c r="O13" s="3" t="s">
        <v>36</v>
      </c>
      <c r="P13" s="202">
        <v>1</v>
      </c>
      <c r="Q13" s="202"/>
      <c r="R13" s="202"/>
      <c r="S13" s="202"/>
      <c r="T13" s="202"/>
      <c r="U13" s="202"/>
      <c r="V13" s="116">
        <f t="shared" ref="V13:AA16" si="3">$N13*P13</f>
        <v>0</v>
      </c>
      <c r="W13" s="116">
        <f t="shared" si="3"/>
        <v>0</v>
      </c>
      <c r="X13" s="116">
        <f t="shared" si="3"/>
        <v>0</v>
      </c>
      <c r="Y13" s="116">
        <f t="shared" si="3"/>
        <v>0</v>
      </c>
      <c r="Z13" s="116">
        <f t="shared" si="3"/>
        <v>0</v>
      </c>
      <c r="AA13" s="116">
        <f t="shared" si="3"/>
        <v>0</v>
      </c>
      <c r="AB13" s="76"/>
    </row>
    <row r="14" spans="1:28" ht="13">
      <c r="A14" s="3"/>
      <c r="B14" s="3"/>
      <c r="C14" s="9"/>
      <c r="D14" s="76"/>
      <c r="E14" s="6"/>
      <c r="F14" s="332"/>
      <c r="G14" s="76"/>
      <c r="H14" s="332"/>
      <c r="I14" s="248"/>
      <c r="K14" s="115"/>
      <c r="L14" s="3"/>
      <c r="M14" s="15" t="s">
        <v>202</v>
      </c>
      <c r="N14" s="248">
        <f>$K$13*'Этап5-Обраб. отходов+перераб.'!H18/100</f>
        <v>0</v>
      </c>
      <c r="O14" s="3" t="s">
        <v>36</v>
      </c>
      <c r="P14" s="202">
        <v>0.9</v>
      </c>
      <c r="Q14" s="202"/>
      <c r="R14" s="202"/>
      <c r="S14" s="202"/>
      <c r="T14" s="202"/>
      <c r="U14" s="202">
        <v>0.1</v>
      </c>
      <c r="V14" s="116">
        <f t="shared" si="3"/>
        <v>0</v>
      </c>
      <c r="W14" s="116">
        <f t="shared" si="3"/>
        <v>0</v>
      </c>
      <c r="X14" s="116">
        <f t="shared" si="3"/>
        <v>0</v>
      </c>
      <c r="Y14" s="116">
        <f t="shared" si="3"/>
        <v>0</v>
      </c>
      <c r="Z14" s="116">
        <f t="shared" si="3"/>
        <v>0</v>
      </c>
      <c r="AA14" s="116">
        <f t="shared" si="3"/>
        <v>0</v>
      </c>
      <c r="AB14" s="76"/>
    </row>
    <row r="15" spans="1:28" ht="52">
      <c r="A15" s="3"/>
      <c r="B15" s="3"/>
      <c r="C15" s="9"/>
      <c r="D15" s="76"/>
      <c r="E15" s="6"/>
      <c r="F15" s="332"/>
      <c r="G15" s="76"/>
      <c r="H15" s="332"/>
      <c r="I15" s="248"/>
      <c r="K15" s="115"/>
      <c r="L15" s="3"/>
      <c r="M15" s="15" t="s">
        <v>198</v>
      </c>
      <c r="N15" s="248">
        <f>$K$13*'Этап5-Обраб. отходов+перераб.'!I18/100</f>
        <v>0</v>
      </c>
      <c r="O15" s="3" t="s">
        <v>36</v>
      </c>
      <c r="P15" s="202">
        <v>0.5</v>
      </c>
      <c r="Q15" s="202"/>
      <c r="R15" s="202"/>
      <c r="S15" s="202"/>
      <c r="T15" s="202"/>
      <c r="U15" s="202">
        <v>0.5</v>
      </c>
      <c r="V15" s="116">
        <f t="shared" si="3"/>
        <v>0</v>
      </c>
      <c r="W15" s="116">
        <f t="shared" si="3"/>
        <v>0</v>
      </c>
      <c r="X15" s="116">
        <f t="shared" si="3"/>
        <v>0</v>
      </c>
      <c r="Y15" s="116">
        <f t="shared" si="3"/>
        <v>0</v>
      </c>
      <c r="Z15" s="116">
        <f t="shared" si="3"/>
        <v>0</v>
      </c>
      <c r="AA15" s="116">
        <f t="shared" si="3"/>
        <v>0</v>
      </c>
      <c r="AB15" s="76"/>
    </row>
    <row r="16" spans="1:28" ht="26">
      <c r="A16" s="3"/>
      <c r="B16" s="3"/>
      <c r="C16" s="9"/>
      <c r="D16" s="76"/>
      <c r="E16" s="6"/>
      <c r="F16" s="332"/>
      <c r="G16" s="76"/>
      <c r="H16" s="332"/>
      <c r="I16" s="248"/>
      <c r="K16" s="115"/>
      <c r="L16" s="3"/>
      <c r="M16" s="15" t="s">
        <v>199</v>
      </c>
      <c r="N16" s="248">
        <f>$K$13*'Этап5-Обраб. отходов+перераб.'!J18/100</f>
        <v>0</v>
      </c>
      <c r="O16" s="3" t="s">
        <v>36</v>
      </c>
      <c r="P16" s="202">
        <v>0.1</v>
      </c>
      <c r="Q16" s="202"/>
      <c r="R16" s="202"/>
      <c r="S16" s="202"/>
      <c r="T16" s="202"/>
      <c r="U16" s="202">
        <v>0.9</v>
      </c>
      <c r="V16" s="116">
        <f t="shared" si="3"/>
        <v>0</v>
      </c>
      <c r="W16" s="116">
        <f t="shared" si="3"/>
        <v>0</v>
      </c>
      <c r="X16" s="116">
        <f t="shared" si="3"/>
        <v>0</v>
      </c>
      <c r="Y16" s="116">
        <f t="shared" si="3"/>
        <v>0</v>
      </c>
      <c r="Z16" s="116">
        <f t="shared" si="3"/>
        <v>0</v>
      </c>
      <c r="AA16" s="116">
        <f t="shared" si="3"/>
        <v>0</v>
      </c>
      <c r="AB16" s="76"/>
    </row>
    <row r="17" spans="1:46" s="55" customFormat="1" ht="13">
      <c r="A17" s="104"/>
      <c r="B17" s="104"/>
      <c r="C17" s="105"/>
      <c r="D17" s="76"/>
      <c r="E17" s="106"/>
      <c r="F17" s="150"/>
      <c r="G17" s="76"/>
      <c r="H17" s="150"/>
      <c r="I17" s="248"/>
      <c r="J17" s="105"/>
      <c r="K17" s="115"/>
      <c r="L17" s="104"/>
      <c r="M17" s="107"/>
      <c r="N17" s="248"/>
      <c r="O17" s="104"/>
      <c r="P17" s="117"/>
      <c r="Q17" s="117"/>
      <c r="R17" s="118"/>
      <c r="S17" s="118"/>
      <c r="T17" s="117"/>
      <c r="U17" s="76"/>
      <c r="V17" s="116"/>
      <c r="W17" s="116"/>
      <c r="X17" s="116"/>
      <c r="Y17" s="116"/>
      <c r="Z17" s="116"/>
      <c r="AA17" s="116"/>
      <c r="AB17" s="76"/>
    </row>
    <row r="18" spans="1:46" ht="13">
      <c r="B18" s="3" t="s">
        <v>205</v>
      </c>
      <c r="C18" s="12" t="s">
        <v>204</v>
      </c>
      <c r="D18" s="111"/>
      <c r="F18" s="332"/>
      <c r="G18" s="76"/>
      <c r="H18" s="332"/>
      <c r="I18" s="247"/>
      <c r="K18" s="168"/>
      <c r="L18" s="3"/>
      <c r="M18" s="14"/>
      <c r="N18" s="247"/>
      <c r="O18" s="3"/>
      <c r="P18" s="76"/>
      <c r="Q18" s="76"/>
      <c r="R18" s="76"/>
      <c r="S18" s="76"/>
      <c r="T18" s="76"/>
      <c r="U18" s="76"/>
      <c r="V18" s="114">
        <f t="shared" ref="V18:AA18" si="4">SUM(V19:V22)</f>
        <v>0</v>
      </c>
      <c r="W18" s="114">
        <f t="shared" si="4"/>
        <v>0</v>
      </c>
      <c r="X18" s="114">
        <f t="shared" si="4"/>
        <v>0</v>
      </c>
      <c r="Y18" s="114">
        <f t="shared" si="4"/>
        <v>0</v>
      </c>
      <c r="Z18" s="114">
        <f t="shared" si="4"/>
        <v>0</v>
      </c>
      <c r="AA18" s="114">
        <f t="shared" si="4"/>
        <v>0</v>
      </c>
      <c r="AB18" s="76"/>
    </row>
    <row r="19" spans="1:46" ht="25.5">
      <c r="A19" s="3"/>
      <c r="C19" s="9"/>
      <c r="D19" s="76"/>
      <c r="E19" s="6" t="s">
        <v>206</v>
      </c>
      <c r="F19" s="332" t="s">
        <v>336</v>
      </c>
      <c r="G19" s="76">
        <v>24</v>
      </c>
      <c r="H19" s="332" t="s">
        <v>336</v>
      </c>
      <c r="I19" s="260">
        <f>'Этап5-Обраб. отходов+перераб.'!C19</f>
        <v>0</v>
      </c>
      <c r="J19" s="332" t="s">
        <v>337</v>
      </c>
      <c r="K19" s="115">
        <f>G19*I19/1000</f>
        <v>0</v>
      </c>
      <c r="L19" s="3" t="s">
        <v>36</v>
      </c>
      <c r="M19" s="15" t="s">
        <v>201</v>
      </c>
      <c r="N19" s="248">
        <f>$K$19*'Этап5-Обраб. отходов+перераб.'!G21/100</f>
        <v>0</v>
      </c>
      <c r="O19" s="3" t="s">
        <v>36</v>
      </c>
      <c r="P19" s="202">
        <v>1</v>
      </c>
      <c r="Q19" s="202"/>
      <c r="R19" s="202"/>
      <c r="S19" s="202"/>
      <c r="T19" s="202"/>
      <c r="U19" s="202"/>
      <c r="V19" s="116">
        <f t="shared" ref="V19:AA22" si="5">$N19*P19</f>
        <v>0</v>
      </c>
      <c r="W19" s="116">
        <f t="shared" si="5"/>
        <v>0</v>
      </c>
      <c r="X19" s="116">
        <f t="shared" si="5"/>
        <v>0</v>
      </c>
      <c r="Y19" s="116">
        <f t="shared" si="5"/>
        <v>0</v>
      </c>
      <c r="Z19" s="116">
        <f t="shared" si="5"/>
        <v>0</v>
      </c>
      <c r="AA19" s="116">
        <f t="shared" si="5"/>
        <v>0</v>
      </c>
      <c r="AB19" s="76"/>
    </row>
    <row r="20" spans="1:46" ht="13">
      <c r="A20" s="3"/>
      <c r="B20" s="3"/>
      <c r="C20" s="9"/>
      <c r="D20" s="76"/>
      <c r="E20" s="6"/>
      <c r="F20" s="332"/>
      <c r="G20" s="76"/>
      <c r="H20" s="332"/>
      <c r="I20" s="248"/>
      <c r="K20" s="115"/>
      <c r="L20" s="3"/>
      <c r="M20" s="15" t="s">
        <v>202</v>
      </c>
      <c r="N20" s="248">
        <f>$K$19*'Этап5-Обраб. отходов+перераб.'!H21/100</f>
        <v>0</v>
      </c>
      <c r="O20" s="3" t="s">
        <v>36</v>
      </c>
      <c r="P20" s="202">
        <v>0.9</v>
      </c>
      <c r="Q20" s="202"/>
      <c r="R20" s="202"/>
      <c r="S20" s="202"/>
      <c r="T20" s="202"/>
      <c r="U20" s="202">
        <v>0.1</v>
      </c>
      <c r="V20" s="116">
        <f t="shared" si="5"/>
        <v>0</v>
      </c>
      <c r="W20" s="116">
        <f t="shared" si="5"/>
        <v>0</v>
      </c>
      <c r="X20" s="116">
        <f t="shared" si="5"/>
        <v>0</v>
      </c>
      <c r="Y20" s="116">
        <f t="shared" si="5"/>
        <v>0</v>
      </c>
      <c r="Z20" s="116">
        <f t="shared" si="5"/>
        <v>0</v>
      </c>
      <c r="AA20" s="116">
        <f t="shared" si="5"/>
        <v>0</v>
      </c>
      <c r="AB20" s="76"/>
    </row>
    <row r="21" spans="1:46" ht="52">
      <c r="A21" s="3"/>
      <c r="B21" s="3"/>
      <c r="C21" s="9"/>
      <c r="D21" s="76"/>
      <c r="E21" s="6"/>
      <c r="F21" s="332"/>
      <c r="G21" s="76"/>
      <c r="H21" s="332"/>
      <c r="I21" s="248"/>
      <c r="K21" s="115"/>
      <c r="L21" s="3"/>
      <c r="M21" s="15" t="s">
        <v>198</v>
      </c>
      <c r="N21" s="248">
        <f>$K$19*'Этап5-Обраб. отходов+перераб.'!I21/100</f>
        <v>0</v>
      </c>
      <c r="O21" s="3" t="s">
        <v>36</v>
      </c>
      <c r="P21" s="202">
        <v>0.5</v>
      </c>
      <c r="Q21" s="202"/>
      <c r="R21" s="202"/>
      <c r="S21" s="202"/>
      <c r="T21" s="202"/>
      <c r="U21" s="202">
        <v>0.5</v>
      </c>
      <c r="V21" s="116">
        <f t="shared" si="5"/>
        <v>0</v>
      </c>
      <c r="W21" s="116">
        <f t="shared" si="5"/>
        <v>0</v>
      </c>
      <c r="X21" s="116">
        <f t="shared" si="5"/>
        <v>0</v>
      </c>
      <c r="Y21" s="116">
        <f t="shared" si="5"/>
        <v>0</v>
      </c>
      <c r="Z21" s="116">
        <f t="shared" si="5"/>
        <v>0</v>
      </c>
      <c r="AA21" s="116">
        <f t="shared" si="5"/>
        <v>0</v>
      </c>
      <c r="AB21" s="76"/>
    </row>
    <row r="22" spans="1:46" ht="26">
      <c r="A22" s="3"/>
      <c r="B22" s="3"/>
      <c r="C22" s="9"/>
      <c r="D22" s="76"/>
      <c r="E22" s="6"/>
      <c r="F22" s="332"/>
      <c r="G22" s="76"/>
      <c r="H22" s="332"/>
      <c r="I22" s="248"/>
      <c r="K22" s="115"/>
      <c r="L22" s="3"/>
      <c r="M22" s="15" t="s">
        <v>199</v>
      </c>
      <c r="N22" s="248">
        <f>$K$19*'Этап5-Обраб. отходов+перераб.'!J21/100</f>
        <v>0</v>
      </c>
      <c r="O22" s="3" t="s">
        <v>36</v>
      </c>
      <c r="P22" s="202">
        <v>0.1</v>
      </c>
      <c r="Q22" s="202"/>
      <c r="R22" s="202"/>
      <c r="S22" s="202"/>
      <c r="T22" s="202"/>
      <c r="U22" s="202">
        <v>0.9</v>
      </c>
      <c r="V22" s="116">
        <f t="shared" si="5"/>
        <v>0</v>
      </c>
      <c r="W22" s="116">
        <f t="shared" si="5"/>
        <v>0</v>
      </c>
      <c r="X22" s="116">
        <f t="shared" si="5"/>
        <v>0</v>
      </c>
      <c r="Y22" s="116">
        <f t="shared" si="5"/>
        <v>0</v>
      </c>
      <c r="Z22" s="116">
        <f t="shared" si="5"/>
        <v>0</v>
      </c>
      <c r="AA22" s="116">
        <f t="shared" si="5"/>
        <v>0</v>
      </c>
      <c r="AB22" s="76"/>
    </row>
    <row r="23" spans="1:46" s="55" customFormat="1" ht="13">
      <c r="A23" s="104"/>
      <c r="B23" s="104"/>
      <c r="C23" s="136"/>
      <c r="D23" s="76"/>
      <c r="E23" s="106"/>
      <c r="F23" s="150"/>
      <c r="G23" s="76"/>
      <c r="H23" s="150"/>
      <c r="I23" s="248"/>
      <c r="J23" s="105"/>
      <c r="K23" s="115"/>
      <c r="L23" s="104"/>
      <c r="M23" s="107"/>
      <c r="N23" s="248"/>
      <c r="O23" s="104"/>
      <c r="P23" s="117"/>
      <c r="Q23" s="117"/>
      <c r="R23" s="118"/>
      <c r="S23" s="118"/>
      <c r="T23" s="117"/>
      <c r="U23" s="76"/>
      <c r="V23" s="116"/>
      <c r="W23" s="116"/>
      <c r="X23" s="116"/>
      <c r="Y23" s="116"/>
      <c r="Z23" s="116"/>
      <c r="AA23" s="116"/>
      <c r="AB23" s="76"/>
    </row>
    <row r="24" spans="1:46" ht="50.5">
      <c r="A24" s="3"/>
      <c r="B24" s="3" t="s">
        <v>207</v>
      </c>
      <c r="C24" s="12" t="s">
        <v>208</v>
      </c>
      <c r="D24" s="76"/>
      <c r="E24" t="s">
        <v>43</v>
      </c>
      <c r="F24" s="332" t="s">
        <v>43</v>
      </c>
      <c r="G24" s="76">
        <v>2</v>
      </c>
      <c r="H24" s="332" t="s">
        <v>393</v>
      </c>
      <c r="I24" s="248">
        <f>'Этап5-Обраб. отходов+перераб.'!C22</f>
        <v>0</v>
      </c>
      <c r="J24" s="640" t="s">
        <v>766</v>
      </c>
      <c r="K24" s="115">
        <f>G24*I24/1000</f>
        <v>0</v>
      </c>
      <c r="L24" s="3" t="s">
        <v>36</v>
      </c>
      <c r="M24" s="15"/>
      <c r="N24" s="248">
        <f>K24</f>
        <v>0</v>
      </c>
      <c r="O24" s="3" t="s">
        <v>36</v>
      </c>
      <c r="P24" s="202">
        <v>0.9</v>
      </c>
      <c r="Q24" s="202"/>
      <c r="R24" s="202"/>
      <c r="S24" s="202"/>
      <c r="T24" s="202"/>
      <c r="U24" s="202">
        <v>0.1</v>
      </c>
      <c r="V24" s="114">
        <f t="shared" ref="V24:AA24" si="6">$N24*P24</f>
        <v>0</v>
      </c>
      <c r="W24" s="114">
        <f t="shared" si="6"/>
        <v>0</v>
      </c>
      <c r="X24" s="114">
        <f t="shared" si="6"/>
        <v>0</v>
      </c>
      <c r="Y24" s="114">
        <f t="shared" si="6"/>
        <v>0</v>
      </c>
      <c r="Z24" s="114">
        <f t="shared" si="6"/>
        <v>0</v>
      </c>
      <c r="AA24" s="114">
        <f t="shared" si="6"/>
        <v>0</v>
      </c>
      <c r="AB24" s="76"/>
    </row>
    <row r="25" spans="1:46" s="55" customFormat="1" ht="13">
      <c r="A25" s="104"/>
      <c r="B25" s="104"/>
      <c r="C25" s="136"/>
      <c r="D25" s="111"/>
      <c r="E25" s="149"/>
      <c r="F25" s="150"/>
      <c r="G25" s="76"/>
      <c r="H25" s="150"/>
      <c r="I25" s="248"/>
      <c r="J25" s="105"/>
      <c r="K25" s="172"/>
      <c r="L25" s="104"/>
      <c r="M25" s="138"/>
      <c r="N25" s="248"/>
      <c r="O25" s="104"/>
      <c r="P25" s="117"/>
      <c r="Q25" s="117"/>
      <c r="R25" s="118"/>
      <c r="S25" s="118"/>
      <c r="T25" s="117"/>
      <c r="U25" s="76"/>
      <c r="V25" s="116"/>
      <c r="W25" s="116"/>
      <c r="X25" s="116"/>
      <c r="Y25" s="116"/>
      <c r="Z25" s="116"/>
      <c r="AA25" s="116"/>
      <c r="AB25" s="76"/>
    </row>
    <row r="26" spans="1:46" ht="39">
      <c r="A26" s="3"/>
      <c r="B26" s="3" t="s">
        <v>209</v>
      </c>
      <c r="C26" s="12" t="s">
        <v>767</v>
      </c>
      <c r="D26" s="111"/>
      <c r="E26" s="871" t="s">
        <v>1268</v>
      </c>
      <c r="F26" s="9" t="s">
        <v>336</v>
      </c>
      <c r="G26" s="76">
        <v>1</v>
      </c>
      <c r="H26" s="332" t="s">
        <v>336</v>
      </c>
      <c r="I26" s="260">
        <f>'Этап5-Обраб. отходов+перераб.'!C23</f>
        <v>0</v>
      </c>
      <c r="J26" s="332" t="s">
        <v>337</v>
      </c>
      <c r="K26" s="115">
        <f>G26*I26/1000</f>
        <v>0</v>
      </c>
      <c r="L26" s="3" t="s">
        <v>36</v>
      </c>
      <c r="M26" s="15"/>
      <c r="N26" s="248">
        <f>K26</f>
        <v>0</v>
      </c>
      <c r="O26" s="3" t="s">
        <v>36</v>
      </c>
      <c r="P26" s="202">
        <v>1</v>
      </c>
      <c r="Q26" s="202"/>
      <c r="R26" s="202"/>
      <c r="S26" s="202"/>
      <c r="T26" s="202"/>
      <c r="U26" s="202"/>
      <c r="V26" s="114">
        <f t="shared" ref="V26:AA26" si="7">$N26*P26</f>
        <v>0</v>
      </c>
      <c r="W26" s="114">
        <f t="shared" si="7"/>
        <v>0</v>
      </c>
      <c r="X26" s="114">
        <f t="shared" si="7"/>
        <v>0</v>
      </c>
      <c r="Y26" s="114">
        <f t="shared" si="7"/>
        <v>0</v>
      </c>
      <c r="Z26" s="114">
        <f t="shared" si="7"/>
        <v>0</v>
      </c>
      <c r="AA26" s="114">
        <f t="shared" si="7"/>
        <v>0</v>
      </c>
      <c r="AB26" s="76"/>
    </row>
    <row r="27" spans="1:46" s="55" customFormat="1" ht="13">
      <c r="C27" s="186"/>
      <c r="D27" s="111"/>
      <c r="F27" s="105"/>
      <c r="G27" s="76"/>
      <c r="H27" s="105"/>
      <c r="I27" s="248"/>
      <c r="J27" s="105"/>
      <c r="K27" s="58"/>
      <c r="M27" s="110"/>
      <c r="N27" s="248"/>
      <c r="O27" s="104"/>
      <c r="P27" s="76"/>
      <c r="Q27" s="76"/>
      <c r="R27" s="76"/>
      <c r="S27" s="76"/>
      <c r="T27" s="76"/>
      <c r="U27" s="76"/>
      <c r="V27" s="58"/>
      <c r="W27" s="58"/>
      <c r="X27" s="58"/>
      <c r="Y27" s="58"/>
      <c r="Z27" s="58"/>
      <c r="AA27" s="58"/>
      <c r="AB27" s="76"/>
    </row>
    <row r="28" spans="1:46">
      <c r="D28" s="3"/>
      <c r="E28" s="3"/>
      <c r="F28" s="332"/>
      <c r="G28" s="3"/>
      <c r="H28" s="332"/>
      <c r="I28" s="239"/>
      <c r="J28" s="332"/>
      <c r="K28" s="3"/>
      <c r="L28" s="3"/>
      <c r="M28" s="63"/>
      <c r="N28" s="239"/>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row>
    <row r="29" spans="1:46" ht="13">
      <c r="M29" s="14"/>
      <c r="N29" s="239"/>
      <c r="O29" s="3"/>
    </row>
    <row r="30" spans="1:46" ht="13">
      <c r="M30" s="14"/>
      <c r="N30" s="249"/>
      <c r="O30" s="3"/>
    </row>
    <row r="31" spans="1:46" ht="13">
      <c r="C31" s="5"/>
      <c r="D31" s="5"/>
    </row>
  </sheetData>
  <sheetProtection algorithmName="SHA-512" hashValue="LrbJWpluO3VRDeELQkDH0tP/q8gmrhlMt+MQsUyImebpb0H12b09qgfgM8FlTZBqeYco/FQRqbBXuN27m8zVOw==" saltValue="xoOl47x8K/Nr5pZ7pygCDw=="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B61"/>
  <sheetViews>
    <sheetView zoomScale="125" zoomScaleNormal="70" workbookViewId="0">
      <selection activeCell="E13" sqref="E13:G13"/>
    </sheetView>
  </sheetViews>
  <sheetFormatPr defaultColWidth="8.81640625" defaultRowHeight="12.5"/>
  <cols>
    <col min="1" max="1" width="3" customWidth="1"/>
    <col min="2" max="2" width="6.1796875" customWidth="1"/>
    <col min="3" max="3" width="32" customWidth="1"/>
    <col min="4" max="4" width="8.36328125" customWidth="1"/>
    <col min="5" max="5" width="14.453125" customWidth="1"/>
    <col min="6" max="6" width="12" customWidth="1"/>
    <col min="7" max="7" width="10.36328125" customWidth="1"/>
    <col min="8" max="8" width="11.453125" customWidth="1"/>
    <col min="9" max="9" width="12.453125" style="240" customWidth="1"/>
    <col min="10" max="10" width="20" customWidth="1"/>
    <col min="11" max="11" width="11.36328125" customWidth="1"/>
    <col min="12" max="12" width="7.453125" customWidth="1"/>
    <col min="13" max="13" width="25.6328125" style="13" customWidth="1"/>
    <col min="14" max="14" width="9.1796875" style="240"/>
    <col min="15" max="15" width="10.36328125" customWidth="1"/>
    <col min="16" max="16" width="5.6328125" customWidth="1"/>
    <col min="17" max="17" width="8.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740</v>
      </c>
      <c r="I1" s="231"/>
      <c r="L1" s="48"/>
      <c r="M1" s="48"/>
      <c r="N1" s="231"/>
    </row>
    <row r="2" spans="1:28" ht="14">
      <c r="A2" s="54" t="s">
        <v>313</v>
      </c>
      <c r="I2" s="231"/>
      <c r="L2" s="48"/>
      <c r="M2" s="48"/>
      <c r="N2" s="231"/>
    </row>
    <row r="3" spans="1:28" s="5" customFormat="1" ht="13">
      <c r="D3" s="7"/>
      <c r="E3" s="7"/>
      <c r="F3" s="7"/>
      <c r="G3" s="7"/>
      <c r="H3" s="7"/>
      <c r="I3" s="255"/>
      <c r="J3" s="7"/>
      <c r="K3" s="7"/>
      <c r="L3" s="139"/>
      <c r="M3" s="30"/>
      <c r="N3" s="255"/>
      <c r="O3" s="7"/>
      <c r="P3" s="65" t="s">
        <v>55</v>
      </c>
      <c r="Q3" s="65"/>
      <c r="R3" s="65"/>
      <c r="S3" s="65"/>
      <c r="T3" s="65"/>
      <c r="U3" s="65"/>
      <c r="V3" s="10" t="s">
        <v>54</v>
      </c>
      <c r="W3" s="103"/>
      <c r="X3" s="103"/>
      <c r="Y3" s="103"/>
      <c r="Z3" s="103"/>
      <c r="AA3" s="103"/>
      <c r="AB3" s="65"/>
    </row>
    <row r="4" spans="1:28" s="144" customFormat="1" ht="26">
      <c r="A4" s="144" t="s">
        <v>52</v>
      </c>
      <c r="B4" s="144" t="s">
        <v>50</v>
      </c>
      <c r="C4" s="134" t="s">
        <v>59</v>
      </c>
      <c r="D4" s="112" t="s">
        <v>153</v>
      </c>
      <c r="E4" s="134" t="s">
        <v>49</v>
      </c>
      <c r="F4" s="143" t="s">
        <v>35</v>
      </c>
      <c r="G4" s="112" t="s">
        <v>37</v>
      </c>
      <c r="H4" s="143" t="s">
        <v>35</v>
      </c>
      <c r="I4" s="245" t="s">
        <v>51</v>
      </c>
      <c r="J4" s="144" t="s">
        <v>35</v>
      </c>
      <c r="K4" s="84" t="s">
        <v>61</v>
      </c>
      <c r="L4" s="139" t="s">
        <v>35</v>
      </c>
      <c r="M4" s="14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39">
      <c r="A5" s="129" t="s">
        <v>290</v>
      </c>
      <c r="C5" s="134" t="s">
        <v>284</v>
      </c>
      <c r="D5" s="111"/>
      <c r="F5" s="128"/>
      <c r="G5" s="76"/>
      <c r="H5" s="128"/>
      <c r="I5" s="247"/>
      <c r="K5" s="113"/>
      <c r="L5" s="128"/>
      <c r="M5" s="135"/>
      <c r="N5" s="247"/>
      <c r="O5" s="128"/>
      <c r="P5" s="76"/>
      <c r="Q5" s="76"/>
      <c r="R5" s="76"/>
      <c r="S5" s="76"/>
      <c r="T5" s="76"/>
      <c r="U5" s="76"/>
      <c r="V5" s="58"/>
      <c r="W5" s="58"/>
      <c r="X5" s="58"/>
      <c r="Y5" s="58"/>
      <c r="Z5" s="58"/>
      <c r="AA5" s="58"/>
      <c r="AB5" s="76"/>
    </row>
    <row r="6" spans="1:28" ht="13">
      <c r="B6" t="s">
        <v>291</v>
      </c>
      <c r="C6" s="12" t="s">
        <v>319</v>
      </c>
      <c r="D6" s="76"/>
      <c r="E6" s="871" t="s">
        <v>1268</v>
      </c>
      <c r="F6" t="s">
        <v>333</v>
      </c>
      <c r="G6" s="76">
        <v>1</v>
      </c>
      <c r="H6" s="3" t="s">
        <v>333</v>
      </c>
      <c r="I6" s="248">
        <f>'Этап5-Обраб. отходов+перераб.'!$C$26</f>
        <v>0</v>
      </c>
      <c r="J6" s="3" t="s">
        <v>334</v>
      </c>
      <c r="K6" s="298">
        <f>G6*I6/1000</f>
        <v>0</v>
      </c>
      <c r="L6" s="3" t="s">
        <v>36</v>
      </c>
      <c r="M6" s="107"/>
      <c r="N6" s="261">
        <f>K6</f>
        <v>0</v>
      </c>
      <c r="O6" s="3" t="s">
        <v>36</v>
      </c>
      <c r="P6" s="282">
        <v>0.01</v>
      </c>
      <c r="Q6" s="685">
        <v>1E-4</v>
      </c>
      <c r="R6" s="282"/>
      <c r="S6" s="431"/>
      <c r="T6" s="431"/>
      <c r="U6" s="431"/>
      <c r="V6" s="333">
        <f>$N6*P6</f>
        <v>0</v>
      </c>
      <c r="W6" s="333">
        <f>$N6*Q6</f>
        <v>0</v>
      </c>
      <c r="X6" s="333">
        <f>$N6*R6</f>
        <v>0</v>
      </c>
      <c r="Y6" s="200" t="s">
        <v>273</v>
      </c>
      <c r="Z6" s="200" t="s">
        <v>273</v>
      </c>
      <c r="AA6" s="200" t="s">
        <v>273</v>
      </c>
      <c r="AB6" s="76"/>
    </row>
    <row r="7" spans="1:28" s="55" customFormat="1" ht="13">
      <c r="A7" s="104"/>
      <c r="B7" s="104"/>
      <c r="C7" s="136"/>
      <c r="D7" s="111"/>
      <c r="E7" s="106"/>
      <c r="F7" s="104"/>
      <c r="G7" s="76"/>
      <c r="H7" s="104"/>
      <c r="I7" s="248"/>
      <c r="K7" s="194"/>
      <c r="L7" s="104"/>
      <c r="M7" s="107"/>
      <c r="N7" s="248"/>
      <c r="O7" s="104"/>
      <c r="P7" s="130"/>
      <c r="Q7" s="130"/>
      <c r="R7" s="130"/>
      <c r="S7" s="130"/>
      <c r="T7" s="130"/>
      <c r="U7" s="130"/>
      <c r="V7" s="201"/>
      <c r="W7" s="201"/>
      <c r="X7" s="201"/>
      <c r="Y7" s="201"/>
      <c r="Z7" s="201"/>
      <c r="AA7" s="201"/>
      <c r="AB7" s="76"/>
    </row>
    <row r="8" spans="1:28" ht="14">
      <c r="B8" s="3" t="s">
        <v>292</v>
      </c>
      <c r="C8" s="72" t="s">
        <v>283</v>
      </c>
      <c r="D8" s="193" t="s">
        <v>273</v>
      </c>
      <c r="E8" s="75" t="s">
        <v>273</v>
      </c>
      <c r="F8" s="75" t="s">
        <v>273</v>
      </c>
      <c r="G8" s="188" t="s">
        <v>273</v>
      </c>
      <c r="H8" s="75" t="s">
        <v>273</v>
      </c>
      <c r="I8" s="259"/>
      <c r="J8" s="75" t="s">
        <v>273</v>
      </c>
      <c r="K8" s="299" t="s">
        <v>273</v>
      </c>
      <c r="L8" s="75" t="s">
        <v>273</v>
      </c>
      <c r="M8" s="14"/>
      <c r="N8" s="259" t="s">
        <v>273</v>
      </c>
      <c r="O8" s="3"/>
      <c r="P8" s="188" t="s">
        <v>273</v>
      </c>
      <c r="Q8" s="188" t="s">
        <v>273</v>
      </c>
      <c r="R8" s="188" t="s">
        <v>273</v>
      </c>
      <c r="S8" s="188" t="s">
        <v>273</v>
      </c>
      <c r="T8" s="188" t="s">
        <v>273</v>
      </c>
      <c r="U8" s="188" t="s">
        <v>273</v>
      </c>
      <c r="V8" s="200" t="s">
        <v>273</v>
      </c>
      <c r="W8" s="200" t="s">
        <v>273</v>
      </c>
      <c r="X8" s="200" t="s">
        <v>273</v>
      </c>
      <c r="Y8" s="200" t="s">
        <v>273</v>
      </c>
      <c r="Z8" s="200" t="s">
        <v>273</v>
      </c>
      <c r="AA8" s="200" t="s">
        <v>273</v>
      </c>
      <c r="AB8" s="76"/>
    </row>
    <row r="9" spans="1:28" ht="13">
      <c r="A9" s="3"/>
      <c r="C9" s="74" t="s">
        <v>285</v>
      </c>
      <c r="D9" s="76"/>
      <c r="E9" s="18"/>
      <c r="F9" s="3"/>
      <c r="G9" s="76"/>
      <c r="H9" s="3"/>
      <c r="I9" s="248"/>
      <c r="J9" s="3"/>
      <c r="K9" s="194"/>
      <c r="L9" s="3"/>
      <c r="M9" s="15"/>
      <c r="N9" s="248"/>
      <c r="O9" s="3"/>
      <c r="P9" s="131"/>
      <c r="Q9" s="131"/>
      <c r="R9" s="131"/>
      <c r="S9" s="131"/>
      <c r="T9" s="131"/>
      <c r="U9" s="131"/>
      <c r="V9" s="201"/>
      <c r="W9" s="201"/>
      <c r="X9" s="201"/>
      <c r="Y9" s="201"/>
      <c r="Z9" s="201"/>
      <c r="AA9" s="201"/>
      <c r="AB9" s="76"/>
    </row>
    <row r="10" spans="1:28" s="55" customFormat="1" ht="13">
      <c r="A10" s="104"/>
      <c r="B10" s="104"/>
      <c r="C10" s="105"/>
      <c r="D10" s="76"/>
      <c r="E10" s="106"/>
      <c r="F10" s="104"/>
      <c r="G10" s="76"/>
      <c r="H10" s="104"/>
      <c r="I10" s="248"/>
      <c r="K10" s="194"/>
      <c r="L10" s="104"/>
      <c r="M10" s="107"/>
      <c r="N10" s="248"/>
      <c r="O10" s="104"/>
      <c r="P10" s="130"/>
      <c r="Q10" s="130"/>
      <c r="R10" s="130"/>
      <c r="S10" s="130"/>
      <c r="T10" s="130"/>
      <c r="U10" s="127"/>
      <c r="V10" s="201"/>
      <c r="W10" s="201"/>
      <c r="X10" s="201"/>
      <c r="Y10" s="201"/>
      <c r="Z10" s="201"/>
      <c r="AA10" s="201"/>
      <c r="AB10" s="76"/>
    </row>
    <row r="11" spans="1:28" ht="28">
      <c r="B11" s="3" t="s">
        <v>293</v>
      </c>
      <c r="C11" s="72" t="s">
        <v>286</v>
      </c>
      <c r="D11" s="111"/>
      <c r="E11" s="43" t="s">
        <v>273</v>
      </c>
      <c r="F11" s="47" t="s">
        <v>273</v>
      </c>
      <c r="G11" s="188" t="s">
        <v>273</v>
      </c>
      <c r="H11" s="47" t="s">
        <v>273</v>
      </c>
      <c r="I11" s="252"/>
      <c r="J11" s="47" t="s">
        <v>273</v>
      </c>
      <c r="K11" s="300" t="s">
        <v>273</v>
      </c>
      <c r="L11" s="47" t="s">
        <v>273</v>
      </c>
      <c r="M11" s="14"/>
      <c r="N11" s="248"/>
      <c r="O11" s="3" t="s">
        <v>36</v>
      </c>
      <c r="P11" s="131" t="s">
        <v>43</v>
      </c>
      <c r="Q11" s="131" t="s">
        <v>43</v>
      </c>
      <c r="R11" s="131" t="s">
        <v>43</v>
      </c>
      <c r="S11" s="192" t="s">
        <v>273</v>
      </c>
      <c r="T11" s="192" t="s">
        <v>273</v>
      </c>
      <c r="U11" s="192" t="s">
        <v>273</v>
      </c>
      <c r="V11" s="199" t="e">
        <f>$N11*P11</f>
        <v>#VALUE!</v>
      </c>
      <c r="W11" s="199" t="e">
        <f>$N11*Q11</f>
        <v>#VALUE!</v>
      </c>
      <c r="X11" s="199" t="e">
        <f>$N11*R11</f>
        <v>#VALUE!</v>
      </c>
      <c r="Y11" s="200" t="s">
        <v>273</v>
      </c>
      <c r="Z11" s="200" t="s">
        <v>273</v>
      </c>
      <c r="AA11" s="200" t="s">
        <v>273</v>
      </c>
      <c r="AB11" s="76"/>
    </row>
    <row r="12" spans="1:28" s="55" customFormat="1" ht="13">
      <c r="A12" s="104"/>
      <c r="B12" s="104"/>
      <c r="C12" s="136"/>
      <c r="D12" s="76"/>
      <c r="E12" s="106"/>
      <c r="F12" s="104"/>
      <c r="G12" s="76"/>
      <c r="H12" s="104"/>
      <c r="I12" s="248"/>
      <c r="K12" s="194"/>
      <c r="L12" s="104"/>
      <c r="M12" s="107"/>
      <c r="N12" s="248"/>
      <c r="O12" s="104"/>
      <c r="P12" s="130"/>
      <c r="Q12" s="130"/>
      <c r="R12" s="130"/>
      <c r="S12" s="130"/>
      <c r="T12" s="130"/>
      <c r="U12" s="127"/>
      <c r="V12" s="201"/>
      <c r="W12" s="201"/>
      <c r="X12" s="201"/>
      <c r="Y12" s="201"/>
      <c r="Z12" s="201"/>
      <c r="AA12" s="201"/>
      <c r="AB12" s="76"/>
    </row>
    <row r="13" spans="1:28" ht="28">
      <c r="A13" s="3"/>
      <c r="B13" s="3" t="s">
        <v>294</v>
      </c>
      <c r="C13" s="72" t="s">
        <v>320</v>
      </c>
      <c r="D13" s="76"/>
      <c r="E13" s="871" t="s">
        <v>1268</v>
      </c>
      <c r="F13" t="s">
        <v>333</v>
      </c>
      <c r="G13" s="76">
        <v>1</v>
      </c>
      <c r="H13" s="3" t="s">
        <v>333</v>
      </c>
      <c r="I13" s="248">
        <f>'Этап5-Обраб. отходов+перераб.'!C27</f>
        <v>0</v>
      </c>
      <c r="J13" s="3" t="s">
        <v>335</v>
      </c>
      <c r="K13" s="298">
        <f>G13*I13/1000</f>
        <v>0</v>
      </c>
      <c r="L13" s="3" t="s">
        <v>36</v>
      </c>
      <c r="M13" s="15"/>
      <c r="N13" s="248">
        <f>K13</f>
        <v>0</v>
      </c>
      <c r="O13" s="3" t="s">
        <v>36</v>
      </c>
      <c r="P13" s="282">
        <v>0.1</v>
      </c>
      <c r="Q13" s="282">
        <v>0.1</v>
      </c>
      <c r="R13" s="282">
        <v>0.8</v>
      </c>
      <c r="S13" s="431"/>
      <c r="T13" s="431"/>
      <c r="U13" s="431"/>
      <c r="V13" s="199">
        <f>$N13*P13</f>
        <v>0</v>
      </c>
      <c r="W13" s="199">
        <f>$N13*Q13</f>
        <v>0</v>
      </c>
      <c r="X13" s="199">
        <f>$N13*R13</f>
        <v>0</v>
      </c>
      <c r="Y13" s="200" t="s">
        <v>273</v>
      </c>
      <c r="Z13" s="200" t="s">
        <v>273</v>
      </c>
      <c r="AA13" s="200" t="s">
        <v>273</v>
      </c>
      <c r="AB13" s="76"/>
    </row>
    <row r="14" spans="1:28" s="55" customFormat="1" ht="13">
      <c r="A14" s="104"/>
      <c r="B14" s="104"/>
      <c r="C14" s="136"/>
      <c r="D14" s="111"/>
      <c r="E14" s="149"/>
      <c r="F14" s="104"/>
      <c r="G14" s="76"/>
      <c r="H14" s="104"/>
      <c r="I14" s="248"/>
      <c r="K14" s="194"/>
      <c r="L14" s="104"/>
      <c r="M14" s="138"/>
      <c r="N14" s="248"/>
      <c r="O14" s="104"/>
      <c r="P14" s="130"/>
      <c r="Q14" s="130"/>
      <c r="R14" s="130"/>
      <c r="S14" s="130"/>
      <c r="T14" s="130"/>
      <c r="U14" s="127"/>
      <c r="V14" s="201"/>
      <c r="W14" s="201"/>
      <c r="X14" s="201"/>
      <c r="Y14" s="201"/>
      <c r="Z14" s="201"/>
      <c r="AA14" s="201"/>
      <c r="AB14" s="76"/>
    </row>
    <row r="15" spans="1:28" ht="13">
      <c r="B15" s="3" t="s">
        <v>295</v>
      </c>
      <c r="C15" s="12" t="s">
        <v>287</v>
      </c>
      <c r="D15" s="111"/>
      <c r="F15" s="3"/>
      <c r="G15" s="76"/>
      <c r="H15" s="3"/>
      <c r="I15" s="247"/>
      <c r="K15" s="301"/>
      <c r="L15" s="3"/>
      <c r="M15" s="14"/>
      <c r="N15" s="247"/>
      <c r="O15" s="3"/>
      <c r="P15" s="127"/>
      <c r="Q15" s="127"/>
      <c r="R15" s="127"/>
      <c r="S15" s="127"/>
      <c r="T15" s="127"/>
      <c r="U15" s="127"/>
      <c r="V15" s="199">
        <f t="shared" ref="V15:AA15" si="0">SUM(V16:V19)</f>
        <v>0</v>
      </c>
      <c r="W15" s="199">
        <f t="shared" si="0"/>
        <v>0</v>
      </c>
      <c r="X15" s="199">
        <f t="shared" si="0"/>
        <v>0</v>
      </c>
      <c r="Y15" s="199">
        <f t="shared" si="0"/>
        <v>0</v>
      </c>
      <c r="Z15" s="199">
        <f t="shared" si="0"/>
        <v>0</v>
      </c>
      <c r="AA15" s="199">
        <f t="shared" si="0"/>
        <v>0</v>
      </c>
      <c r="AB15" s="76"/>
    </row>
    <row r="16" spans="1:28" ht="26">
      <c r="A16" s="3"/>
      <c r="D16" s="76"/>
      <c r="E16" s="6" t="s">
        <v>300</v>
      </c>
      <c r="F16" s="53" t="s">
        <v>302</v>
      </c>
      <c r="G16" s="76">
        <v>5.25</v>
      </c>
      <c r="H16" s="53" t="s">
        <v>302</v>
      </c>
      <c r="I16" s="248">
        <f>'Этап5-Обраб. отходов+перераб.'!C29</f>
        <v>0</v>
      </c>
      <c r="J16" s="3" t="s">
        <v>301</v>
      </c>
      <c r="K16" s="194">
        <f>G16*I16/1000000</f>
        <v>0</v>
      </c>
      <c r="L16" s="3" t="s">
        <v>36</v>
      </c>
      <c r="M16" s="15" t="s">
        <v>296</v>
      </c>
      <c r="N16" s="248">
        <f>$K$16*'Этап5-Обраб. отходов+перераб.'!G31/100</f>
        <v>0</v>
      </c>
      <c r="O16" s="3" t="s">
        <v>36</v>
      </c>
      <c r="P16" s="131"/>
      <c r="Q16" s="131">
        <v>1</v>
      </c>
      <c r="R16" s="131"/>
      <c r="S16" s="131"/>
      <c r="T16" s="131"/>
      <c r="U16" s="131"/>
      <c r="V16" s="201">
        <f t="shared" ref="V16:AA19" si="1">$N16*P16</f>
        <v>0</v>
      </c>
      <c r="W16" s="201">
        <f t="shared" si="1"/>
        <v>0</v>
      </c>
      <c r="X16" s="201">
        <f t="shared" si="1"/>
        <v>0</v>
      </c>
      <c r="Y16" s="201">
        <f t="shared" si="1"/>
        <v>0</v>
      </c>
      <c r="Z16" s="201">
        <f t="shared" si="1"/>
        <v>0</v>
      </c>
      <c r="AA16" s="201">
        <f t="shared" si="1"/>
        <v>0</v>
      </c>
      <c r="AB16" s="76"/>
    </row>
    <row r="17" spans="1:28" ht="13">
      <c r="A17" s="3"/>
      <c r="B17" s="3"/>
      <c r="D17" s="76"/>
      <c r="E17" s="6"/>
      <c r="F17" s="3"/>
      <c r="G17" s="76"/>
      <c r="H17" s="3"/>
      <c r="I17" s="248"/>
      <c r="K17" s="115"/>
      <c r="L17" s="3"/>
      <c r="M17" s="15" t="s">
        <v>297</v>
      </c>
      <c r="N17" s="248">
        <f>$K$16*'Этап5-Обраб. отходов+перераб.'!H31/100</f>
        <v>0</v>
      </c>
      <c r="O17" s="3" t="s">
        <v>36</v>
      </c>
      <c r="P17" s="131"/>
      <c r="Q17" s="131">
        <v>0.9</v>
      </c>
      <c r="R17" s="131"/>
      <c r="S17" s="131"/>
      <c r="T17" s="131">
        <v>0.1</v>
      </c>
      <c r="U17" s="131"/>
      <c r="V17" s="201">
        <f t="shared" si="1"/>
        <v>0</v>
      </c>
      <c r="W17" s="201">
        <f t="shared" si="1"/>
        <v>0</v>
      </c>
      <c r="X17" s="201">
        <f t="shared" si="1"/>
        <v>0</v>
      </c>
      <c r="Y17" s="201">
        <f t="shared" si="1"/>
        <v>0</v>
      </c>
      <c r="Z17" s="201">
        <f t="shared" si="1"/>
        <v>0</v>
      </c>
      <c r="AA17" s="201">
        <f t="shared" si="1"/>
        <v>0</v>
      </c>
      <c r="AB17" s="76"/>
    </row>
    <row r="18" spans="1:28" ht="39">
      <c r="A18" s="3"/>
      <c r="B18" s="3"/>
      <c r="D18" s="76"/>
      <c r="E18" s="6"/>
      <c r="F18" s="3"/>
      <c r="G18" s="76"/>
      <c r="H18" s="3"/>
      <c r="I18" s="248"/>
      <c r="K18" s="116"/>
      <c r="L18" s="3"/>
      <c r="M18" s="15" t="s">
        <v>298</v>
      </c>
      <c r="N18" s="248">
        <f>$K$16*'Этап5-Обраб. отходов+перераб.'!I31/100</f>
        <v>0</v>
      </c>
      <c r="O18" s="3" t="s">
        <v>36</v>
      </c>
      <c r="P18" s="131"/>
      <c r="Q18" s="131">
        <v>0.5</v>
      </c>
      <c r="R18" s="131"/>
      <c r="S18" s="131"/>
      <c r="T18" s="131">
        <v>0.3</v>
      </c>
      <c r="U18" s="131">
        <v>0.2</v>
      </c>
      <c r="V18" s="201">
        <f t="shared" si="1"/>
        <v>0</v>
      </c>
      <c r="W18" s="201">
        <f t="shared" si="1"/>
        <v>0</v>
      </c>
      <c r="X18" s="201">
        <f t="shared" si="1"/>
        <v>0</v>
      </c>
      <c r="Y18" s="201">
        <f t="shared" si="1"/>
        <v>0</v>
      </c>
      <c r="Z18" s="201">
        <f t="shared" si="1"/>
        <v>0</v>
      </c>
      <c r="AA18" s="201">
        <f t="shared" si="1"/>
        <v>0</v>
      </c>
      <c r="AB18" s="76"/>
    </row>
    <row r="19" spans="1:28" s="55" customFormat="1" ht="52">
      <c r="A19" s="104"/>
      <c r="B19" s="104"/>
      <c r="D19" s="76"/>
      <c r="E19" s="106"/>
      <c r="F19" s="104"/>
      <c r="G19" s="76"/>
      <c r="H19" s="104"/>
      <c r="I19" s="248"/>
      <c r="J19" s="445"/>
      <c r="K19" s="116"/>
      <c r="L19" s="104"/>
      <c r="M19" s="107" t="s">
        <v>299</v>
      </c>
      <c r="N19" s="248">
        <f>$K$16*'Этап5-Обраб. отходов+перераб.'!J31/100</f>
        <v>0</v>
      </c>
      <c r="O19" s="104" t="s">
        <v>36</v>
      </c>
      <c r="P19" s="131"/>
      <c r="Q19" s="131">
        <v>0.5</v>
      </c>
      <c r="R19" s="131">
        <v>0.2</v>
      </c>
      <c r="S19" s="131"/>
      <c r="T19" s="131">
        <v>0.15</v>
      </c>
      <c r="U19" s="131">
        <v>0.15</v>
      </c>
      <c r="V19" s="201">
        <f t="shared" si="1"/>
        <v>0</v>
      </c>
      <c r="W19" s="201">
        <f t="shared" si="1"/>
        <v>0</v>
      </c>
      <c r="X19" s="201">
        <f t="shared" si="1"/>
        <v>0</v>
      </c>
      <c r="Y19" s="201">
        <f t="shared" si="1"/>
        <v>0</v>
      </c>
      <c r="Z19" s="201">
        <f t="shared" si="1"/>
        <v>0</v>
      </c>
      <c r="AA19" s="201">
        <f t="shared" si="1"/>
        <v>0</v>
      </c>
      <c r="AB19" s="76"/>
    </row>
    <row r="20" spans="1:28" ht="13">
      <c r="C20" s="5"/>
      <c r="D20" s="5"/>
      <c r="G20" s="3"/>
      <c r="H20" s="3"/>
      <c r="I20" s="239"/>
      <c r="J20" s="3"/>
      <c r="K20" s="3"/>
      <c r="M20" s="32"/>
      <c r="N20" s="249"/>
      <c r="O20" s="3"/>
      <c r="P20" s="195"/>
      <c r="Q20" s="195"/>
      <c r="R20" s="195"/>
      <c r="S20" s="195"/>
      <c r="T20" s="195"/>
      <c r="U20" s="195"/>
      <c r="V20" s="195"/>
      <c r="W20" s="195"/>
      <c r="X20" s="195"/>
      <c r="Y20" s="195"/>
      <c r="Z20" s="195"/>
      <c r="AA20" s="195"/>
      <c r="AB20" s="3"/>
    </row>
    <row r="21" spans="1:28" ht="13">
      <c r="C21" s="5" t="s">
        <v>56</v>
      </c>
      <c r="G21" s="3"/>
      <c r="H21" s="3"/>
      <c r="I21" s="239"/>
      <c r="J21" s="3"/>
      <c r="K21" s="3"/>
      <c r="M21" s="32"/>
      <c r="N21" s="249"/>
      <c r="O21" s="3"/>
      <c r="P21" s="3"/>
      <c r="Q21" s="3"/>
      <c r="R21" s="3"/>
      <c r="S21" s="3"/>
      <c r="T21" s="3"/>
      <c r="U21" s="3"/>
      <c r="V21" s="3"/>
      <c r="W21" s="3"/>
      <c r="X21" s="3"/>
      <c r="Y21" s="3"/>
      <c r="Z21" s="3"/>
      <c r="AA21" s="3"/>
      <c r="AB21" s="3"/>
    </row>
    <row r="22" spans="1:28" ht="13">
      <c r="C22" s="8" t="s">
        <v>288</v>
      </c>
      <c r="G22" s="3"/>
      <c r="H22" s="3"/>
      <c r="I22" s="239"/>
      <c r="J22" s="3"/>
      <c r="K22" s="3"/>
      <c r="M22" s="32"/>
      <c r="N22" s="249"/>
      <c r="O22" s="3"/>
      <c r="P22" s="3"/>
      <c r="Q22" s="3"/>
      <c r="R22" s="3"/>
      <c r="S22" s="3"/>
      <c r="T22" s="3"/>
      <c r="U22" s="3"/>
      <c r="V22" s="196"/>
      <c r="W22" s="196"/>
      <c r="X22" s="196"/>
      <c r="Y22" s="196"/>
      <c r="Z22" s="196"/>
      <c r="AA22" s="196"/>
      <c r="AB22" s="3"/>
    </row>
    <row r="23" spans="1:28" s="48" customFormat="1" ht="13">
      <c r="C23" s="52" t="s">
        <v>289</v>
      </c>
      <c r="D23" s="37"/>
      <c r="G23" s="28"/>
      <c r="H23" s="28"/>
      <c r="I23" s="257"/>
      <c r="J23" s="28"/>
      <c r="K23" s="28"/>
      <c r="M23" s="34"/>
      <c r="N23" s="256"/>
      <c r="O23" s="17"/>
      <c r="P23" s="28"/>
      <c r="Q23" s="28"/>
      <c r="R23" s="28"/>
      <c r="S23" s="28"/>
      <c r="T23" s="28"/>
      <c r="U23" s="28"/>
      <c r="V23" s="197"/>
      <c r="W23" s="197"/>
      <c r="X23" s="197"/>
      <c r="Y23" s="197"/>
      <c r="Z23" s="197"/>
      <c r="AA23" s="197"/>
      <c r="AB23" s="28"/>
    </row>
    <row r="24" spans="1:28" s="48" customFormat="1" ht="13">
      <c r="C24" s="50"/>
      <c r="D24" s="50"/>
      <c r="G24" s="28"/>
      <c r="H24" s="28"/>
      <c r="I24" s="257"/>
      <c r="J24" s="28"/>
      <c r="K24" s="28"/>
      <c r="M24" s="34"/>
      <c r="N24" s="256"/>
      <c r="O24" s="28"/>
      <c r="P24" s="28"/>
      <c r="Q24" s="28"/>
      <c r="R24" s="28"/>
      <c r="S24" s="28"/>
      <c r="T24" s="28"/>
      <c r="U24" s="28"/>
      <c r="V24" s="197"/>
      <c r="W24" s="197"/>
      <c r="X24" s="197"/>
      <c r="Y24" s="197"/>
      <c r="Z24" s="197"/>
      <c r="AA24" s="197"/>
      <c r="AB24" s="28"/>
    </row>
    <row r="25" spans="1:28" s="48" customFormat="1" ht="13">
      <c r="C25" s="28"/>
      <c r="D25" s="28"/>
      <c r="G25" s="28"/>
      <c r="H25" s="28"/>
      <c r="I25" s="257"/>
      <c r="J25" s="28"/>
      <c r="K25" s="28"/>
      <c r="M25" s="32"/>
      <c r="N25" s="256"/>
      <c r="O25" s="28"/>
      <c r="P25" s="28"/>
      <c r="Q25" s="28"/>
      <c r="R25" s="28"/>
      <c r="S25" s="28"/>
      <c r="T25" s="28"/>
      <c r="U25" s="28"/>
      <c r="V25" s="198"/>
      <c r="W25" s="198"/>
      <c r="X25" s="198"/>
      <c r="Y25" s="198"/>
      <c r="Z25" s="198"/>
      <c r="AA25" s="198"/>
      <c r="AB25" s="28"/>
    </row>
    <row r="26" spans="1:28" s="48" customFormat="1" ht="13">
      <c r="C26" s="51"/>
      <c r="G26" s="28"/>
      <c r="H26" s="28"/>
      <c r="I26" s="257"/>
      <c r="J26" s="28"/>
      <c r="K26" s="28"/>
      <c r="M26" s="32"/>
      <c r="N26" s="256"/>
      <c r="O26" s="28"/>
      <c r="P26" s="28"/>
      <c r="Q26" s="28"/>
      <c r="R26" s="28"/>
      <c r="S26" s="28"/>
      <c r="T26" s="28"/>
      <c r="U26" s="28"/>
      <c r="V26" s="28"/>
      <c r="W26" s="28"/>
      <c r="X26" s="28"/>
      <c r="Y26" s="28"/>
      <c r="Z26" s="28"/>
      <c r="AA26" s="28"/>
      <c r="AB26" s="28"/>
    </row>
    <row r="27" spans="1:28" s="48" customFormat="1" ht="13">
      <c r="C27" s="35"/>
      <c r="G27" s="28"/>
      <c r="H27" s="28"/>
      <c r="I27" s="257"/>
      <c r="J27" s="28"/>
      <c r="K27" s="28"/>
      <c r="M27" s="34"/>
      <c r="N27" s="256"/>
      <c r="O27" s="17"/>
      <c r="P27" s="28"/>
      <c r="Q27" s="28"/>
      <c r="R27" s="28"/>
      <c r="S27" s="28"/>
      <c r="T27" s="28"/>
      <c r="U27" s="28"/>
      <c r="V27" s="28"/>
      <c r="W27" s="28"/>
      <c r="X27" s="28"/>
      <c r="Y27" s="28"/>
      <c r="Z27" s="28"/>
      <c r="AA27" s="28"/>
      <c r="AB27" s="28"/>
    </row>
    <row r="28" spans="1:28" s="48" customFormat="1" ht="13">
      <c r="C28" s="35"/>
      <c r="G28" s="28"/>
      <c r="H28" s="28"/>
      <c r="I28" s="257"/>
      <c r="J28" s="28"/>
      <c r="K28" s="28"/>
      <c r="M28" s="34"/>
      <c r="N28" s="257"/>
      <c r="O28" s="28"/>
      <c r="P28" s="28"/>
      <c r="Q28" s="28"/>
      <c r="R28" s="28"/>
      <c r="S28" s="28"/>
      <c r="T28" s="28"/>
      <c r="U28" s="28"/>
      <c r="V28" s="28"/>
      <c r="W28" s="28"/>
      <c r="X28" s="28"/>
      <c r="Y28" s="28"/>
      <c r="Z28" s="28"/>
      <c r="AA28" s="28"/>
      <c r="AB28" s="28"/>
    </row>
    <row r="29" spans="1:28" ht="13">
      <c r="C29" s="35"/>
      <c r="G29" s="3"/>
      <c r="H29" s="3"/>
      <c r="I29" s="239"/>
      <c r="J29" s="3"/>
      <c r="K29" s="3"/>
      <c r="M29" s="34"/>
      <c r="N29" s="239"/>
      <c r="O29" s="3"/>
      <c r="P29" s="3"/>
      <c r="Q29" s="3"/>
      <c r="R29" s="3"/>
      <c r="S29" s="3"/>
      <c r="T29" s="3"/>
      <c r="U29" s="3"/>
      <c r="V29" s="3"/>
      <c r="W29" s="3"/>
      <c r="X29" s="3"/>
      <c r="Y29" s="3"/>
      <c r="Z29" s="3"/>
      <c r="AA29" s="3"/>
      <c r="AB29" s="3"/>
    </row>
    <row r="30" spans="1:28" ht="13">
      <c r="C30" s="35"/>
      <c r="G30" s="3"/>
      <c r="H30" s="3"/>
      <c r="I30" s="239"/>
      <c r="J30" s="3"/>
      <c r="K30" s="3"/>
      <c r="M30" s="34"/>
      <c r="N30" s="239"/>
      <c r="O30" s="3"/>
      <c r="P30" s="3"/>
      <c r="Q30" s="3"/>
      <c r="R30" s="3"/>
      <c r="S30" s="3"/>
      <c r="T30" s="3"/>
      <c r="U30" s="3"/>
      <c r="V30" s="3"/>
      <c r="W30" s="3"/>
      <c r="X30" s="3"/>
      <c r="Y30" s="3"/>
      <c r="Z30" s="3"/>
      <c r="AA30" s="3"/>
      <c r="AB30" s="3"/>
    </row>
    <row r="31" spans="1:28" ht="13">
      <c r="G31" s="3"/>
      <c r="H31" s="3"/>
      <c r="I31" s="239"/>
      <c r="J31" s="3"/>
      <c r="K31" s="3"/>
      <c r="M31" s="34"/>
      <c r="N31" s="239"/>
      <c r="O31" s="3"/>
      <c r="P31" s="3"/>
      <c r="Q31" s="3"/>
      <c r="R31" s="3"/>
      <c r="S31" s="3"/>
      <c r="T31" s="3"/>
      <c r="U31" s="3"/>
      <c r="V31" s="3"/>
      <c r="W31" s="3"/>
      <c r="X31" s="3"/>
      <c r="Y31" s="3"/>
      <c r="Z31" s="3"/>
      <c r="AA31" s="3"/>
      <c r="AB31" s="3"/>
    </row>
    <row r="32" spans="1:28" ht="13">
      <c r="G32" s="3"/>
      <c r="H32" s="3"/>
      <c r="I32" s="239"/>
      <c r="J32" s="3"/>
      <c r="K32" s="3"/>
      <c r="M32" s="16"/>
      <c r="N32" s="239"/>
      <c r="O32" s="3"/>
      <c r="P32" s="3"/>
      <c r="Q32" s="3"/>
      <c r="R32" s="3"/>
      <c r="S32" s="3"/>
      <c r="T32" s="3"/>
      <c r="U32" s="3"/>
      <c r="V32" s="3"/>
      <c r="W32" s="3"/>
      <c r="X32" s="3"/>
      <c r="Y32" s="3"/>
      <c r="Z32" s="3"/>
      <c r="AA32" s="3"/>
      <c r="AB32" s="3"/>
    </row>
    <row r="33" spans="4:28" ht="13">
      <c r="G33" s="3"/>
      <c r="H33" s="3"/>
      <c r="I33" s="239"/>
      <c r="J33" s="3"/>
      <c r="K33" s="3"/>
      <c r="M33" s="16"/>
      <c r="N33" s="239"/>
      <c r="O33" s="3"/>
      <c r="P33" s="3"/>
      <c r="Q33" s="3"/>
      <c r="R33" s="3"/>
      <c r="S33" s="3"/>
      <c r="T33" s="3"/>
      <c r="U33" s="3"/>
      <c r="V33" s="3"/>
      <c r="W33" s="3"/>
      <c r="X33" s="3"/>
      <c r="Y33" s="3"/>
      <c r="Z33" s="3"/>
      <c r="AA33" s="3"/>
      <c r="AB33" s="3"/>
    </row>
    <row r="34" spans="4:28" ht="13">
      <c r="G34" s="3"/>
      <c r="H34" s="3"/>
      <c r="I34" s="239"/>
      <c r="J34" s="3"/>
      <c r="K34" s="3"/>
      <c r="M34" s="16"/>
      <c r="N34" s="239"/>
      <c r="O34" s="3"/>
      <c r="P34" s="3"/>
      <c r="Q34" s="3"/>
      <c r="R34" s="3"/>
      <c r="S34" s="3"/>
      <c r="T34" s="3"/>
      <c r="U34" s="3"/>
      <c r="V34" s="3"/>
      <c r="W34" s="3"/>
      <c r="X34" s="3"/>
      <c r="Y34" s="3"/>
      <c r="Z34" s="3"/>
      <c r="AA34" s="3"/>
      <c r="AB34" s="3"/>
    </row>
    <row r="35" spans="4:28" ht="13">
      <c r="G35" s="3"/>
      <c r="H35" s="3"/>
      <c r="I35" s="239"/>
      <c r="J35" s="3"/>
      <c r="K35" s="3"/>
      <c r="M35" s="16"/>
      <c r="N35" s="239"/>
      <c r="O35" s="3"/>
      <c r="P35" s="3"/>
      <c r="Q35" s="3"/>
      <c r="R35" s="3"/>
      <c r="S35" s="3"/>
      <c r="T35" s="3"/>
      <c r="U35" s="3"/>
      <c r="V35" s="3"/>
      <c r="W35" s="3"/>
      <c r="X35" s="3"/>
      <c r="Y35" s="3"/>
      <c r="Z35" s="3"/>
      <c r="AA35" s="3"/>
      <c r="AB35" s="3"/>
    </row>
    <row r="36" spans="4:28" ht="13">
      <c r="G36" s="3"/>
      <c r="H36" s="3"/>
      <c r="I36" s="239"/>
      <c r="J36" s="3"/>
      <c r="K36" s="3"/>
      <c r="M36" s="15"/>
      <c r="N36" s="239"/>
      <c r="O36" s="3"/>
      <c r="P36" s="3"/>
      <c r="Q36" s="3"/>
      <c r="R36" s="3"/>
      <c r="S36" s="3"/>
      <c r="T36" s="3"/>
      <c r="U36" s="3"/>
      <c r="V36" s="3"/>
      <c r="W36" s="3"/>
      <c r="X36" s="3"/>
      <c r="Y36" s="3"/>
      <c r="Z36" s="3"/>
      <c r="AA36" s="3"/>
      <c r="AB36" s="3"/>
    </row>
    <row r="37" spans="4:28" ht="13">
      <c r="G37" s="3"/>
      <c r="H37" s="3"/>
      <c r="I37" s="239"/>
      <c r="J37" s="3"/>
      <c r="K37" s="3"/>
      <c r="M37" s="15"/>
      <c r="N37" s="239"/>
      <c r="O37" s="3"/>
      <c r="P37" s="3"/>
      <c r="Q37" s="3"/>
      <c r="R37" s="3"/>
      <c r="S37" s="3"/>
      <c r="T37" s="3"/>
      <c r="U37" s="3"/>
      <c r="V37" s="3"/>
      <c r="W37" s="3"/>
      <c r="X37" s="3"/>
      <c r="Y37" s="3"/>
      <c r="Z37" s="3"/>
      <c r="AA37" s="3"/>
      <c r="AB37" s="3"/>
    </row>
    <row r="38" spans="4:28" ht="13">
      <c r="G38" s="3"/>
      <c r="H38" s="3"/>
      <c r="I38" s="239"/>
      <c r="J38" s="3"/>
      <c r="K38" s="3"/>
      <c r="M38" s="15"/>
      <c r="N38" s="239"/>
      <c r="O38" s="3"/>
      <c r="P38" s="3"/>
      <c r="Q38" s="3"/>
      <c r="R38" s="3"/>
      <c r="S38" s="3"/>
      <c r="T38" s="3"/>
      <c r="U38" s="3"/>
      <c r="V38" s="3"/>
      <c r="W38" s="3"/>
      <c r="X38" s="3"/>
      <c r="Y38" s="3"/>
      <c r="Z38" s="3"/>
      <c r="AA38" s="3"/>
      <c r="AB38" s="3"/>
    </row>
    <row r="39" spans="4:28">
      <c r="G39" s="3"/>
      <c r="H39" s="3"/>
      <c r="I39" s="239"/>
      <c r="J39" s="3"/>
      <c r="K39" s="3"/>
      <c r="N39" s="239"/>
      <c r="O39" s="3"/>
      <c r="P39" s="3"/>
      <c r="Q39" s="3"/>
      <c r="R39" s="3"/>
      <c r="S39" s="3"/>
      <c r="T39" s="3"/>
      <c r="U39" s="3"/>
      <c r="V39" s="3"/>
      <c r="W39" s="3"/>
      <c r="X39" s="3"/>
      <c r="Y39" s="3"/>
      <c r="Z39" s="3"/>
      <c r="AA39" s="3"/>
      <c r="AB39" s="3"/>
    </row>
    <row r="40" spans="4:28">
      <c r="G40" s="3"/>
      <c r="H40" s="3"/>
      <c r="I40" s="239"/>
      <c r="J40" s="3"/>
      <c r="K40" s="3"/>
      <c r="N40" s="239"/>
      <c r="O40" s="3"/>
      <c r="P40" s="3"/>
      <c r="Q40" s="3"/>
      <c r="R40" s="3"/>
      <c r="S40" s="3"/>
      <c r="T40" s="3"/>
      <c r="U40" s="3"/>
      <c r="V40" s="3"/>
      <c r="W40" s="3"/>
      <c r="X40" s="3"/>
      <c r="Y40" s="3"/>
      <c r="Z40" s="3"/>
      <c r="AA40" s="3"/>
      <c r="AB40" s="3"/>
    </row>
    <row r="41" spans="4:28">
      <c r="G41" s="3"/>
      <c r="H41" s="3"/>
      <c r="I41" s="239"/>
      <c r="J41" s="3"/>
      <c r="K41" s="3"/>
      <c r="N41" s="239"/>
      <c r="O41" s="3"/>
      <c r="P41" s="3"/>
      <c r="Q41" s="3"/>
      <c r="R41" s="3"/>
      <c r="S41" s="3"/>
      <c r="T41" s="3"/>
      <c r="U41" s="3"/>
      <c r="V41" s="3"/>
      <c r="W41" s="3"/>
      <c r="X41" s="3"/>
      <c r="Y41" s="3"/>
      <c r="Z41" s="3"/>
      <c r="AA41" s="3"/>
      <c r="AB41" s="3"/>
    </row>
    <row r="42" spans="4:28" ht="13">
      <c r="G42" s="3"/>
      <c r="H42" s="3"/>
      <c r="I42" s="239"/>
      <c r="J42" s="3"/>
      <c r="K42" s="3"/>
      <c r="M42" s="14"/>
      <c r="N42" s="239"/>
      <c r="O42" s="3"/>
      <c r="P42" s="3"/>
      <c r="Q42" s="3"/>
      <c r="R42" s="3"/>
      <c r="S42" s="3"/>
      <c r="T42" s="3"/>
      <c r="U42" s="3"/>
      <c r="V42" s="3"/>
      <c r="W42" s="3"/>
      <c r="X42" s="3"/>
      <c r="Y42" s="3"/>
      <c r="Z42" s="3"/>
      <c r="AA42" s="3"/>
      <c r="AB42" s="3"/>
    </row>
    <row r="43" spans="4:28" ht="13">
      <c r="M43" s="14"/>
      <c r="N43" s="249"/>
      <c r="O43" s="3"/>
      <c r="P43" s="3"/>
      <c r="Q43" s="3"/>
      <c r="R43" s="3"/>
      <c r="S43" s="3"/>
      <c r="T43" s="3"/>
      <c r="U43" s="3"/>
      <c r="V43" s="3"/>
      <c r="W43" s="3"/>
      <c r="X43" s="3"/>
      <c r="Y43" s="3"/>
      <c r="Z43" s="3"/>
      <c r="AA43" s="3"/>
      <c r="AB43" s="3"/>
    </row>
    <row r="44" spans="4:28" ht="13">
      <c r="D44" s="5"/>
      <c r="N44" s="239"/>
      <c r="O44" s="3"/>
      <c r="P44" s="3"/>
      <c r="Q44" s="3"/>
      <c r="R44" s="3"/>
      <c r="S44" s="3"/>
      <c r="T44" s="3"/>
      <c r="U44" s="3"/>
      <c r="V44" s="3"/>
      <c r="W44" s="3"/>
      <c r="X44" s="3"/>
      <c r="Y44" s="3"/>
      <c r="Z44" s="3"/>
      <c r="AA44" s="3"/>
      <c r="AB44" s="3"/>
    </row>
    <row r="45" spans="4:28">
      <c r="N45" s="239"/>
      <c r="O45" s="3"/>
      <c r="P45" s="3"/>
      <c r="Q45" s="3"/>
      <c r="R45" s="3"/>
      <c r="S45" s="3"/>
      <c r="T45" s="3"/>
      <c r="U45" s="3"/>
      <c r="V45" s="3"/>
      <c r="W45" s="3"/>
      <c r="X45" s="3"/>
      <c r="Y45" s="3"/>
      <c r="Z45" s="3"/>
      <c r="AA45" s="3"/>
      <c r="AB45" s="3"/>
    </row>
    <row r="46" spans="4:28">
      <c r="N46" s="239"/>
      <c r="O46" s="3"/>
      <c r="P46" s="3"/>
      <c r="Q46" s="3"/>
      <c r="R46" s="3"/>
      <c r="S46" s="3"/>
      <c r="T46" s="3"/>
      <c r="U46" s="3"/>
      <c r="V46" s="3"/>
      <c r="W46" s="3"/>
      <c r="X46" s="3"/>
      <c r="Y46" s="3"/>
      <c r="Z46" s="3"/>
      <c r="AA46" s="3"/>
      <c r="AB46" s="3"/>
    </row>
    <row r="47" spans="4:28">
      <c r="N47" s="239"/>
      <c r="O47" s="3"/>
      <c r="P47" s="3"/>
      <c r="Q47" s="3"/>
      <c r="R47" s="3"/>
      <c r="S47" s="3"/>
      <c r="T47" s="3"/>
      <c r="U47" s="3"/>
      <c r="V47" s="3"/>
      <c r="W47" s="3"/>
      <c r="X47" s="3"/>
      <c r="Y47" s="3"/>
      <c r="Z47" s="3"/>
      <c r="AA47" s="3"/>
      <c r="AB47" s="3"/>
    </row>
    <row r="48" spans="4:28">
      <c r="N48" s="239"/>
      <c r="O48" s="3"/>
      <c r="P48" s="3"/>
      <c r="Q48" s="3"/>
      <c r="R48" s="3"/>
      <c r="S48" s="3"/>
      <c r="T48" s="3"/>
      <c r="U48" s="3"/>
      <c r="V48" s="3"/>
      <c r="W48" s="3"/>
      <c r="X48" s="3"/>
      <c r="Y48" s="3"/>
      <c r="Z48" s="3"/>
      <c r="AA48" s="3"/>
      <c r="AB48" s="3"/>
    </row>
    <row r="49" spans="14:28">
      <c r="N49" s="239"/>
      <c r="O49" s="3"/>
      <c r="P49" s="3"/>
      <c r="Q49" s="3"/>
      <c r="R49" s="3"/>
      <c r="S49" s="3"/>
      <c r="T49" s="3"/>
      <c r="U49" s="3"/>
      <c r="V49" s="3"/>
      <c r="W49" s="3"/>
      <c r="X49" s="3"/>
      <c r="Y49" s="3"/>
      <c r="Z49" s="3"/>
      <c r="AA49" s="3"/>
      <c r="AB49" s="3"/>
    </row>
    <row r="50" spans="14:28">
      <c r="N50" s="239"/>
      <c r="O50" s="3"/>
      <c r="P50" s="3"/>
      <c r="Q50" s="3"/>
      <c r="R50" s="3"/>
      <c r="S50" s="3"/>
      <c r="T50" s="3"/>
      <c r="U50" s="3"/>
      <c r="V50" s="3"/>
      <c r="W50" s="3"/>
      <c r="X50" s="3"/>
      <c r="Y50" s="3"/>
      <c r="Z50" s="3"/>
      <c r="AA50" s="3"/>
      <c r="AB50" s="3"/>
    </row>
    <row r="51" spans="14:28">
      <c r="N51" s="239"/>
      <c r="O51" s="3"/>
      <c r="P51" s="3"/>
      <c r="Q51" s="3"/>
      <c r="R51" s="3"/>
      <c r="S51" s="3"/>
      <c r="T51" s="3"/>
      <c r="U51" s="3"/>
      <c r="V51" s="3"/>
      <c r="W51" s="3"/>
      <c r="X51" s="3"/>
      <c r="Y51" s="3"/>
      <c r="Z51" s="3"/>
      <c r="AA51" s="3"/>
      <c r="AB51" s="3"/>
    </row>
    <row r="52" spans="14:28">
      <c r="N52" s="239"/>
      <c r="O52" s="3"/>
      <c r="P52" s="3"/>
      <c r="Q52" s="3"/>
      <c r="R52" s="3"/>
      <c r="S52" s="3"/>
      <c r="T52" s="3"/>
      <c r="U52" s="3"/>
      <c r="V52" s="3"/>
      <c r="W52" s="3"/>
      <c r="X52" s="3"/>
      <c r="Y52" s="3"/>
      <c r="Z52" s="3"/>
      <c r="AA52" s="3"/>
      <c r="AB52" s="3"/>
    </row>
    <row r="53" spans="14:28">
      <c r="N53" s="239"/>
      <c r="O53" s="3"/>
      <c r="P53" s="3"/>
      <c r="Q53" s="3"/>
      <c r="R53" s="3"/>
      <c r="S53" s="3"/>
      <c r="T53" s="3"/>
      <c r="U53" s="3"/>
      <c r="V53" s="3"/>
      <c r="W53" s="3"/>
      <c r="X53" s="3"/>
      <c r="Y53" s="3"/>
      <c r="Z53" s="3"/>
      <c r="AA53" s="3"/>
      <c r="AB53" s="3"/>
    </row>
    <row r="54" spans="14:28">
      <c r="N54" s="239"/>
      <c r="O54" s="3"/>
      <c r="P54" s="3"/>
      <c r="Q54" s="3"/>
      <c r="R54" s="3"/>
      <c r="S54" s="3"/>
      <c r="T54" s="3"/>
      <c r="U54" s="3"/>
      <c r="V54" s="3"/>
      <c r="W54" s="3"/>
      <c r="X54" s="3"/>
      <c r="Y54" s="3"/>
      <c r="Z54" s="3"/>
      <c r="AA54" s="3"/>
      <c r="AB54" s="3"/>
    </row>
    <row r="55" spans="14:28">
      <c r="N55" s="239"/>
      <c r="O55" s="3"/>
      <c r="P55" s="3"/>
      <c r="Q55" s="3"/>
      <c r="R55" s="3"/>
      <c r="S55" s="3"/>
      <c r="T55" s="3"/>
      <c r="U55" s="3"/>
      <c r="V55" s="3"/>
      <c r="W55" s="3"/>
      <c r="X55" s="3"/>
      <c r="Y55" s="3"/>
      <c r="Z55" s="3"/>
      <c r="AA55" s="3"/>
      <c r="AB55" s="3"/>
    </row>
    <row r="56" spans="14:28">
      <c r="N56" s="239"/>
      <c r="O56" s="3"/>
      <c r="P56" s="3"/>
      <c r="Q56" s="3"/>
      <c r="R56" s="3"/>
      <c r="S56" s="3"/>
      <c r="T56" s="3"/>
      <c r="U56" s="3"/>
      <c r="V56" s="3"/>
      <c r="W56" s="3"/>
      <c r="X56" s="3"/>
      <c r="Y56" s="3"/>
      <c r="Z56" s="3"/>
      <c r="AA56" s="3"/>
      <c r="AB56" s="3"/>
    </row>
    <row r="57" spans="14:28">
      <c r="N57" s="239"/>
      <c r="O57" s="3"/>
      <c r="P57" s="3"/>
      <c r="Q57" s="3"/>
      <c r="R57" s="3"/>
      <c r="S57" s="3"/>
      <c r="T57" s="3"/>
      <c r="U57" s="3"/>
      <c r="V57" s="3"/>
      <c r="W57" s="3"/>
      <c r="X57" s="3"/>
      <c r="Y57" s="3"/>
      <c r="Z57" s="3"/>
      <c r="AA57" s="3"/>
      <c r="AB57" s="3"/>
    </row>
    <row r="58" spans="14:28">
      <c r="N58" s="239"/>
      <c r="O58" s="3"/>
      <c r="P58" s="3"/>
      <c r="Q58" s="3"/>
      <c r="R58" s="3"/>
      <c r="S58" s="3"/>
      <c r="T58" s="3"/>
      <c r="U58" s="3"/>
      <c r="V58" s="3"/>
      <c r="W58" s="3"/>
      <c r="X58" s="3"/>
      <c r="Y58" s="3"/>
      <c r="Z58" s="3"/>
      <c r="AA58" s="3"/>
      <c r="AB58" s="3"/>
    </row>
    <row r="59" spans="14:28">
      <c r="N59" s="239"/>
      <c r="O59" s="3"/>
      <c r="P59" s="3"/>
      <c r="Q59" s="3"/>
      <c r="R59" s="3"/>
      <c r="S59" s="3"/>
      <c r="T59" s="3"/>
      <c r="U59" s="3"/>
      <c r="V59" s="3"/>
      <c r="W59" s="3"/>
      <c r="X59" s="3"/>
      <c r="Y59" s="3"/>
      <c r="Z59" s="3"/>
      <c r="AA59" s="3"/>
      <c r="AB59" s="3"/>
    </row>
    <row r="60" spans="14:28">
      <c r="N60" s="239"/>
      <c r="O60" s="3"/>
      <c r="P60" s="3"/>
      <c r="Q60" s="3"/>
      <c r="R60" s="3"/>
      <c r="S60" s="3"/>
      <c r="T60" s="3"/>
      <c r="U60" s="3"/>
      <c r="V60" s="3"/>
      <c r="W60" s="3"/>
      <c r="X60" s="3"/>
      <c r="Y60" s="3"/>
      <c r="Z60" s="3"/>
      <c r="AA60" s="3"/>
      <c r="AB60" s="3"/>
    </row>
    <row r="61" spans="14:28">
      <c r="N61" s="239"/>
      <c r="O61" s="3"/>
      <c r="P61" s="3"/>
      <c r="Q61" s="3"/>
      <c r="R61" s="3"/>
      <c r="S61" s="3"/>
      <c r="T61" s="3"/>
      <c r="U61" s="3"/>
      <c r="V61" s="3"/>
      <c r="W61" s="3"/>
      <c r="X61" s="3"/>
      <c r="Y61" s="3"/>
      <c r="Z61" s="3"/>
      <c r="AA61" s="3"/>
      <c r="AB61" s="3"/>
    </row>
  </sheetData>
  <sheetProtection algorithmName="SHA-512" hashValue="tcjx+OBGQxsK9+dv1p9xNSt4+1euylMW8fwKAWdn9lFo2R7jgsG0VSBZg73QZ40fe5Uz4gAvHEsLniI8Wv4B9Q==" saltValue="SvsMlCYT/x9YV493Dob3k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B74"/>
  <sheetViews>
    <sheetView zoomScale="70" zoomScaleNormal="70" workbookViewId="0">
      <selection activeCell="A6" sqref="A6"/>
    </sheetView>
  </sheetViews>
  <sheetFormatPr defaultColWidth="8.81640625" defaultRowHeight="12.5"/>
  <cols>
    <col min="1" max="1" width="3" customWidth="1"/>
    <col min="2" max="2" width="6.1796875" customWidth="1"/>
    <col min="3" max="3" width="32.453125" customWidth="1"/>
    <col min="4" max="4" width="7.36328125" customWidth="1"/>
    <col min="5" max="5" width="11" customWidth="1"/>
    <col min="6" max="6" width="12.36328125" customWidth="1"/>
    <col min="7" max="7" width="10.36328125" customWidth="1"/>
    <col min="8" max="8" width="16.81640625" customWidth="1"/>
    <col min="9" max="9" width="12.453125" style="240" customWidth="1"/>
    <col min="10" max="10" width="16" customWidth="1"/>
    <col min="11" max="11" width="11.36328125" customWidth="1"/>
    <col min="12" max="12" width="11.453125" customWidth="1"/>
    <col min="13" max="13" width="10.81640625" style="13" customWidth="1"/>
    <col min="14" max="14" width="9.1796875" style="240"/>
    <col min="15" max="15" width="8" customWidth="1"/>
    <col min="16" max="16" width="5.81640625" customWidth="1"/>
    <col min="17" max="17" width="6" customWidth="1"/>
    <col min="18" max="19" width="7.453125" customWidth="1"/>
    <col min="21" max="21" width="18.453125" customWidth="1"/>
    <col min="22" max="22" width="12.453125" customWidth="1"/>
    <col min="24" max="25" width="9.6328125" customWidth="1"/>
    <col min="26" max="26" width="11.453125" customWidth="1"/>
    <col min="27" max="27" width="18.453125" customWidth="1"/>
    <col min="28" max="28" width="63.453125" customWidth="1"/>
  </cols>
  <sheetData>
    <row r="1" spans="1:28" ht="18">
      <c r="A1" s="1" t="s">
        <v>34</v>
      </c>
      <c r="I1" s="231"/>
      <c r="N1" s="231"/>
    </row>
    <row r="2" spans="1:28" ht="14">
      <c r="A2" s="54" t="s">
        <v>313</v>
      </c>
      <c r="I2" s="231"/>
      <c r="N2" s="231"/>
    </row>
    <row r="3" spans="1:28" s="180" customFormat="1" ht="13">
      <c r="D3" s="181"/>
      <c r="E3" s="181"/>
      <c r="F3" s="181"/>
      <c r="G3" s="181"/>
      <c r="H3" s="181"/>
      <c r="I3" s="258"/>
      <c r="J3" s="181"/>
      <c r="K3" s="181"/>
      <c r="L3" s="181"/>
      <c r="M3" s="182"/>
      <c r="N3" s="258"/>
      <c r="O3" s="181"/>
      <c r="P3" s="111" t="s">
        <v>55</v>
      </c>
      <c r="Q3" s="111"/>
      <c r="R3" s="111"/>
      <c r="S3" s="111"/>
      <c r="T3" s="111"/>
      <c r="U3" s="111"/>
      <c r="V3" s="191" t="s">
        <v>54</v>
      </c>
      <c r="W3" s="56"/>
      <c r="X3" s="56"/>
      <c r="Y3" s="56"/>
      <c r="Z3" s="56"/>
      <c r="AA3" s="56"/>
      <c r="AB3" s="111"/>
    </row>
    <row r="4" spans="1:28" s="186" customFormat="1" ht="52">
      <c r="A4" s="186" t="s">
        <v>52</v>
      </c>
      <c r="B4" s="186" t="s">
        <v>50</v>
      </c>
      <c r="C4" s="136" t="s">
        <v>59</v>
      </c>
      <c r="D4" s="112" t="s">
        <v>153</v>
      </c>
      <c r="E4" s="136" t="s">
        <v>49</v>
      </c>
      <c r="F4" s="139" t="s">
        <v>35</v>
      </c>
      <c r="G4" s="112" t="s">
        <v>37</v>
      </c>
      <c r="H4" s="139" t="s">
        <v>35</v>
      </c>
      <c r="I4" s="245" t="s">
        <v>51</v>
      </c>
      <c r="J4" s="186" t="s">
        <v>35</v>
      </c>
      <c r="K4" s="84" t="s">
        <v>61</v>
      </c>
      <c r="L4" s="139" t="s">
        <v>35</v>
      </c>
      <c r="M4" s="156" t="s">
        <v>280</v>
      </c>
      <c r="N4" s="245" t="s">
        <v>92</v>
      </c>
      <c r="O4" s="139"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39">
      <c r="A5" s="129" t="s">
        <v>274</v>
      </c>
      <c r="C5" s="134" t="s">
        <v>276</v>
      </c>
      <c r="D5" s="111"/>
      <c r="F5" s="128"/>
      <c r="G5" s="76"/>
      <c r="H5" s="128"/>
      <c r="I5" s="247"/>
      <c r="K5" s="189"/>
      <c r="L5" s="128"/>
      <c r="M5" s="135"/>
      <c r="N5" s="247"/>
      <c r="O5" s="128"/>
      <c r="P5" s="127"/>
      <c r="Q5" s="127"/>
      <c r="R5" s="127"/>
      <c r="S5" s="127"/>
      <c r="T5" s="127"/>
      <c r="U5" s="127"/>
      <c r="V5" s="58"/>
      <c r="W5" s="58"/>
      <c r="X5" s="58"/>
      <c r="Y5" s="58"/>
      <c r="Z5" s="58"/>
      <c r="AA5" s="58"/>
      <c r="AB5" s="76"/>
    </row>
    <row r="6" spans="1:28" ht="26">
      <c r="B6" t="s">
        <v>275</v>
      </c>
      <c r="C6" s="12" t="s">
        <v>277</v>
      </c>
      <c r="D6" s="111"/>
      <c r="E6" s="45" t="s">
        <v>273</v>
      </c>
      <c r="F6" s="46" t="s">
        <v>273</v>
      </c>
      <c r="G6" s="188">
        <v>1.0045200000000001</v>
      </c>
      <c r="H6" s="297" t="s">
        <v>438</v>
      </c>
      <c r="I6" s="252">
        <f>'Этап5-Обраб. отходов+перераб.'!C9</f>
        <v>0</v>
      </c>
      <c r="J6" s="297" t="s">
        <v>392</v>
      </c>
      <c r="K6" s="189">
        <f>I6*G6</f>
        <v>0</v>
      </c>
      <c r="L6" s="7" t="s">
        <v>353</v>
      </c>
      <c r="M6" s="39" t="s">
        <v>355</v>
      </c>
      <c r="N6" s="440">
        <f>K6</f>
        <v>0</v>
      </c>
      <c r="O6" s="3" t="s">
        <v>36</v>
      </c>
      <c r="P6" s="131">
        <v>2E-3</v>
      </c>
      <c r="Q6" s="131">
        <v>2.3999999999999998E-3</v>
      </c>
      <c r="R6" s="131"/>
      <c r="S6" s="192" t="s">
        <v>273</v>
      </c>
      <c r="T6" s="131"/>
      <c r="U6" s="131">
        <v>1.2E-4</v>
      </c>
      <c r="V6" s="114">
        <f t="shared" ref="V6:AA6" si="0">$N6*P6</f>
        <v>0</v>
      </c>
      <c r="W6" s="114">
        <f t="shared" si="0"/>
        <v>0</v>
      </c>
      <c r="X6" s="114">
        <f t="shared" si="0"/>
        <v>0</v>
      </c>
      <c r="Y6" s="199" t="s">
        <v>273</v>
      </c>
      <c r="Z6" s="114">
        <f t="shared" si="0"/>
        <v>0</v>
      </c>
      <c r="AA6" s="114">
        <f t="shared" si="0"/>
        <v>0</v>
      </c>
      <c r="AB6" s="76"/>
    </row>
    <row r="7" spans="1:28" s="55" customFormat="1" ht="13">
      <c r="B7" s="104"/>
      <c r="C7" s="136"/>
      <c r="D7" s="76"/>
      <c r="G7" s="76"/>
      <c r="I7" s="247"/>
      <c r="K7" s="189"/>
      <c r="M7" s="107"/>
      <c r="N7" s="248"/>
      <c r="P7" s="127"/>
      <c r="Q7" s="127"/>
      <c r="R7" s="127"/>
      <c r="S7" s="127"/>
      <c r="T7" s="127"/>
      <c r="U7" s="127"/>
      <c r="V7" s="114"/>
      <c r="W7" s="114"/>
      <c r="X7" s="114"/>
      <c r="Y7" s="114"/>
      <c r="Z7" s="114"/>
      <c r="AA7" s="114"/>
      <c r="AB7" s="76"/>
    </row>
    <row r="8" spans="1:28" ht="26">
      <c r="A8" s="3"/>
      <c r="B8" s="3" t="s">
        <v>148</v>
      </c>
      <c r="C8" s="12" t="s">
        <v>278</v>
      </c>
      <c r="D8" s="111"/>
      <c r="E8" s="44" t="s">
        <v>430</v>
      </c>
      <c r="F8" s="44" t="s">
        <v>431</v>
      </c>
      <c r="G8" s="127">
        <v>1.1000000000000001</v>
      </c>
      <c r="H8" s="44" t="s">
        <v>431</v>
      </c>
      <c r="I8" s="252">
        <f>'Этап5-Обраб. отходов+перераб.'!C10</f>
        <v>0</v>
      </c>
      <c r="J8" s="297" t="s">
        <v>432</v>
      </c>
      <c r="K8" s="189">
        <f>I8*G8/1000</f>
        <v>0</v>
      </c>
      <c r="L8" s="3" t="s">
        <v>36</v>
      </c>
      <c r="M8" s="14"/>
      <c r="N8" s="248">
        <f>K8</f>
        <v>0</v>
      </c>
      <c r="O8" s="3" t="s">
        <v>36</v>
      </c>
      <c r="P8" s="282">
        <v>0.33</v>
      </c>
      <c r="Q8" s="282"/>
      <c r="R8" s="282">
        <v>0.34</v>
      </c>
      <c r="S8" s="282"/>
      <c r="T8" s="282">
        <v>0.33</v>
      </c>
      <c r="U8" s="282"/>
      <c r="V8" s="114">
        <f t="shared" ref="V8:AA8" si="1">$N8*P8</f>
        <v>0</v>
      </c>
      <c r="W8" s="114">
        <f t="shared" si="1"/>
        <v>0</v>
      </c>
      <c r="X8" s="114">
        <f t="shared" si="1"/>
        <v>0</v>
      </c>
      <c r="Y8" s="114">
        <f t="shared" si="1"/>
        <v>0</v>
      </c>
      <c r="Z8" s="114">
        <f t="shared" si="1"/>
        <v>0</v>
      </c>
      <c r="AA8" s="114">
        <f t="shared" si="1"/>
        <v>0</v>
      </c>
      <c r="AB8" s="76"/>
    </row>
    <row r="9" spans="1:28" s="55" customFormat="1" ht="13">
      <c r="A9" s="152"/>
      <c r="B9" s="104"/>
      <c r="C9" s="137"/>
      <c r="D9" s="111"/>
      <c r="E9" s="106"/>
      <c r="F9" s="104"/>
      <c r="G9" s="76"/>
      <c r="H9" s="104"/>
      <c r="I9" s="248"/>
      <c r="K9" s="190"/>
      <c r="L9" s="104"/>
      <c r="M9" s="162"/>
      <c r="N9" s="248"/>
      <c r="O9" s="104"/>
      <c r="P9" s="340"/>
      <c r="Q9" s="340"/>
      <c r="R9" s="340"/>
      <c r="S9" s="340"/>
      <c r="T9" s="340"/>
      <c r="U9" s="340"/>
      <c r="V9" s="114"/>
      <c r="W9" s="114"/>
      <c r="X9" s="114"/>
      <c r="Y9" s="114"/>
      <c r="Z9" s="114"/>
      <c r="AA9" s="114"/>
      <c r="AB9" s="76"/>
    </row>
    <row r="10" spans="1:28" s="128" customFormat="1" ht="13">
      <c r="B10" s="128" t="s">
        <v>148</v>
      </c>
      <c r="C10" s="134" t="s">
        <v>279</v>
      </c>
      <c r="D10" s="111"/>
      <c r="E10" s="187" t="s">
        <v>43</v>
      </c>
      <c r="F10" s="187" t="s">
        <v>43</v>
      </c>
      <c r="G10" s="340">
        <v>0.6</v>
      </c>
      <c r="H10" s="187" t="s">
        <v>43</v>
      </c>
      <c r="I10" s="252"/>
      <c r="J10" s="187" t="s">
        <v>43</v>
      </c>
      <c r="K10" s="189">
        <f>I10*G10/1000</f>
        <v>0</v>
      </c>
      <c r="L10" s="128" t="s">
        <v>36</v>
      </c>
      <c r="M10" s="135"/>
      <c r="N10" s="248">
        <f>K10</f>
        <v>0</v>
      </c>
      <c r="O10" s="128" t="s">
        <v>36</v>
      </c>
      <c r="P10" s="282">
        <v>0.3</v>
      </c>
      <c r="Q10" s="282">
        <v>0.1</v>
      </c>
      <c r="R10" s="282"/>
      <c r="S10" s="282"/>
      <c r="T10" s="282">
        <v>0.3</v>
      </c>
      <c r="U10" s="282">
        <v>0.3</v>
      </c>
      <c r="V10" s="114">
        <f t="shared" ref="V10:AA10" si="2">$N10*P10</f>
        <v>0</v>
      </c>
      <c r="W10" s="114">
        <f t="shared" si="2"/>
        <v>0</v>
      </c>
      <c r="X10" s="114">
        <f t="shared" si="2"/>
        <v>0</v>
      </c>
      <c r="Y10" s="114">
        <f t="shared" si="2"/>
        <v>0</v>
      </c>
      <c r="Z10" s="114">
        <f t="shared" si="2"/>
        <v>0</v>
      </c>
      <c r="AA10" s="114">
        <f t="shared" si="2"/>
        <v>0</v>
      </c>
      <c r="AB10" s="76"/>
    </row>
    <row r="11" spans="1:28" s="3" customFormat="1" ht="13">
      <c r="E11" s="11"/>
      <c r="I11" s="249"/>
      <c r="K11" s="21"/>
      <c r="M11" s="29"/>
      <c r="N11" s="256"/>
      <c r="O11" s="28"/>
      <c r="P11" s="23"/>
      <c r="Q11" s="23"/>
      <c r="R11" s="24"/>
      <c r="S11" s="24"/>
      <c r="T11" s="23"/>
      <c r="V11" s="25"/>
      <c r="W11" s="25"/>
      <c r="X11" s="25"/>
      <c r="Y11" s="25"/>
      <c r="Z11" s="25"/>
      <c r="AA11" s="25"/>
    </row>
    <row r="12" spans="1:28" s="3" customFormat="1" ht="13">
      <c r="C12" s="3" t="s">
        <v>281</v>
      </c>
      <c r="D12" s="3" t="s">
        <v>282</v>
      </c>
      <c r="E12" s="11"/>
      <c r="I12" s="249"/>
      <c r="K12" s="21"/>
      <c r="M12" s="28"/>
      <c r="N12" s="256"/>
      <c r="O12" s="28"/>
      <c r="P12" s="23"/>
      <c r="Q12" s="23"/>
      <c r="R12" s="24"/>
      <c r="S12" s="24"/>
      <c r="T12" s="23"/>
      <c r="V12" s="22"/>
      <c r="W12" s="22"/>
      <c r="X12" s="22"/>
      <c r="Y12" s="22"/>
      <c r="Z12" s="22"/>
      <c r="AA12" s="22"/>
    </row>
    <row r="13" spans="1:28" s="3" customFormat="1" ht="13">
      <c r="D13" s="3" t="s">
        <v>347</v>
      </c>
      <c r="E13" s="11"/>
      <c r="I13" s="249"/>
      <c r="K13" s="21"/>
      <c r="M13" s="28"/>
      <c r="N13" s="256"/>
      <c r="O13" s="28"/>
      <c r="P13" s="23"/>
      <c r="Q13" s="23"/>
      <c r="R13" s="24"/>
      <c r="S13" s="24"/>
      <c r="T13" s="23"/>
      <c r="V13" s="22"/>
      <c r="W13" s="22"/>
      <c r="X13" s="22"/>
      <c r="Y13" s="22"/>
      <c r="Z13" s="22"/>
      <c r="AA13" s="22"/>
    </row>
    <row r="14" spans="1:28" s="3" customFormat="1" ht="13">
      <c r="D14" s="36" t="s">
        <v>354</v>
      </c>
      <c r="E14" s="11"/>
      <c r="I14" s="249"/>
      <c r="K14" s="21"/>
      <c r="M14" s="30"/>
      <c r="N14" s="256"/>
      <c r="O14" s="28"/>
      <c r="P14" s="23"/>
      <c r="Q14" s="23"/>
      <c r="R14" s="24"/>
      <c r="S14" s="24"/>
      <c r="T14" s="23"/>
      <c r="V14" s="22"/>
      <c r="W14" s="22"/>
      <c r="X14" s="22"/>
      <c r="Y14" s="22"/>
      <c r="Z14" s="22"/>
      <c r="AA14" s="22"/>
    </row>
    <row r="15" spans="1:28" s="3" customFormat="1" ht="13">
      <c r="E15" s="11"/>
      <c r="I15" s="249"/>
      <c r="K15" s="21"/>
      <c r="M15" s="30"/>
      <c r="N15" s="256"/>
      <c r="O15" s="28"/>
      <c r="P15" s="23"/>
      <c r="Q15" s="23"/>
      <c r="R15" s="24"/>
      <c r="S15" s="24"/>
      <c r="T15" s="23"/>
      <c r="V15" s="22"/>
      <c r="W15" s="22"/>
      <c r="X15" s="22"/>
      <c r="Y15" s="22"/>
      <c r="Z15" s="22"/>
      <c r="AA15" s="22"/>
    </row>
    <row r="16" spans="1:28" s="3" customFormat="1" ht="13">
      <c r="E16" s="11"/>
      <c r="F16" s="441"/>
      <c r="G16" s="441"/>
      <c r="H16" s="443"/>
      <c r="I16" s="249"/>
      <c r="K16" s="21"/>
      <c r="M16" s="31"/>
      <c r="N16" s="256"/>
      <c r="O16" s="28"/>
      <c r="P16" s="23"/>
      <c r="Q16" s="23"/>
      <c r="R16" s="24"/>
      <c r="S16" s="24"/>
      <c r="T16" s="23"/>
      <c r="V16" s="22"/>
      <c r="W16" s="22"/>
      <c r="X16" s="22"/>
      <c r="Y16" s="22"/>
      <c r="Z16" s="22"/>
      <c r="AA16" s="22"/>
    </row>
    <row r="17" spans="3:27" s="3" customFormat="1" ht="13">
      <c r="C17" s="7"/>
      <c r="D17" s="7"/>
      <c r="E17" s="11"/>
      <c r="F17" s="441"/>
      <c r="G17" s="441"/>
      <c r="H17" s="443"/>
      <c r="I17" s="442"/>
      <c r="K17" s="21"/>
      <c r="M17" s="29"/>
      <c r="N17" s="256"/>
      <c r="O17" s="28"/>
      <c r="P17" s="23"/>
      <c r="Q17" s="23"/>
      <c r="R17" s="24"/>
      <c r="S17" s="24"/>
      <c r="T17" s="23"/>
      <c r="V17" s="25"/>
      <c r="W17" s="25"/>
      <c r="X17" s="25"/>
      <c r="Y17" s="25"/>
      <c r="Z17" s="25"/>
      <c r="AA17" s="25"/>
    </row>
    <row r="18" spans="3:27" s="3" customFormat="1" ht="13">
      <c r="C18" s="7"/>
      <c r="D18" s="7"/>
      <c r="E18" s="11"/>
      <c r="F18" s="441"/>
      <c r="G18" s="441"/>
      <c r="H18" s="443"/>
      <c r="I18" s="442"/>
      <c r="K18" s="21"/>
      <c r="M18" s="29"/>
      <c r="N18" s="256"/>
      <c r="O18" s="28"/>
      <c r="P18" s="23"/>
      <c r="Q18" s="23"/>
      <c r="R18" s="24"/>
      <c r="S18" s="24"/>
      <c r="T18" s="23"/>
      <c r="V18" s="22"/>
      <c r="W18" s="22"/>
      <c r="X18" s="22"/>
      <c r="Y18" s="22"/>
      <c r="Z18" s="22"/>
      <c r="AA18" s="22"/>
    </row>
    <row r="19" spans="3:27" s="3" customFormat="1" ht="13">
      <c r="C19" s="7"/>
      <c r="D19" s="7"/>
      <c r="E19" s="11"/>
      <c r="F19" s="441"/>
      <c r="G19" s="441"/>
      <c r="H19" s="443"/>
      <c r="I19" s="442"/>
      <c r="K19" s="22"/>
      <c r="M19" s="29"/>
      <c r="N19" s="256"/>
      <c r="O19" s="28"/>
      <c r="P19" s="23"/>
      <c r="Q19" s="23"/>
      <c r="R19" s="24"/>
      <c r="S19" s="24"/>
      <c r="T19" s="23"/>
      <c r="V19" s="22"/>
      <c r="W19" s="22"/>
      <c r="X19" s="22"/>
      <c r="Y19" s="22"/>
      <c r="Z19" s="22"/>
      <c r="AA19" s="22"/>
    </row>
    <row r="20" spans="3:27" s="3" customFormat="1" ht="13">
      <c r="E20" s="11"/>
      <c r="F20" s="441"/>
      <c r="G20" s="441"/>
      <c r="H20" s="443"/>
      <c r="I20" s="442"/>
      <c r="K20" s="22"/>
      <c r="M20" s="29"/>
      <c r="N20" s="256"/>
      <c r="O20" s="28"/>
      <c r="P20" s="23"/>
      <c r="Q20" s="23"/>
      <c r="R20" s="24"/>
      <c r="S20" s="24"/>
      <c r="T20" s="23"/>
      <c r="V20" s="22"/>
      <c r="W20" s="22"/>
      <c r="X20" s="22"/>
      <c r="Y20" s="22"/>
      <c r="Z20" s="22"/>
      <c r="AA20" s="22"/>
    </row>
    <row r="21" spans="3:27" s="3" customFormat="1" ht="13">
      <c r="E21" s="11"/>
      <c r="F21" s="441"/>
      <c r="G21" s="441"/>
      <c r="H21" s="441"/>
      <c r="I21" s="442"/>
      <c r="K21" s="22"/>
      <c r="M21" s="30"/>
      <c r="N21" s="256"/>
      <c r="O21" s="28"/>
      <c r="P21" s="23"/>
      <c r="Q21" s="23"/>
      <c r="R21" s="24"/>
      <c r="S21" s="24"/>
      <c r="T21" s="23"/>
      <c r="V21" s="22"/>
      <c r="W21" s="22"/>
      <c r="X21" s="22"/>
      <c r="Y21" s="22"/>
      <c r="Z21" s="22"/>
      <c r="AA21" s="22"/>
    </row>
    <row r="22" spans="3:27" s="3" customFormat="1" ht="13">
      <c r="E22" s="11"/>
      <c r="I22" s="249"/>
      <c r="K22" s="22"/>
      <c r="M22" s="30"/>
      <c r="N22" s="256"/>
      <c r="O22" s="28"/>
      <c r="P22" s="23"/>
      <c r="Q22" s="23"/>
      <c r="R22" s="24"/>
      <c r="S22" s="24"/>
      <c r="T22" s="23"/>
      <c r="V22" s="22"/>
      <c r="W22" s="22"/>
      <c r="X22" s="22"/>
      <c r="Y22" s="22"/>
      <c r="Z22" s="22"/>
      <c r="AA22" s="22"/>
    </row>
    <row r="23" spans="3:27" s="3" customFormat="1" ht="13">
      <c r="C23" s="7"/>
      <c r="D23" s="7"/>
      <c r="E23" s="11"/>
      <c r="I23" s="249"/>
      <c r="K23" s="22"/>
      <c r="M23" s="31"/>
      <c r="N23" s="256"/>
      <c r="O23" s="28"/>
      <c r="P23" s="23"/>
      <c r="Q23" s="23"/>
      <c r="R23" s="24"/>
      <c r="S23" s="24"/>
      <c r="T23" s="23"/>
      <c r="V23" s="22"/>
      <c r="W23" s="22"/>
      <c r="X23" s="22"/>
      <c r="Y23" s="22"/>
      <c r="Z23" s="22"/>
      <c r="AA23" s="22"/>
    </row>
    <row r="24" spans="3:27" s="3" customFormat="1" ht="13">
      <c r="C24" s="26"/>
      <c r="D24" s="26"/>
      <c r="E24" s="11"/>
      <c r="I24" s="249"/>
      <c r="K24" s="22"/>
      <c r="M24" s="29"/>
      <c r="N24" s="256"/>
      <c r="O24" s="28"/>
      <c r="P24" s="23"/>
      <c r="Q24" s="23"/>
      <c r="R24" s="24"/>
      <c r="S24" s="24"/>
      <c r="T24" s="23"/>
      <c r="V24" s="22"/>
      <c r="W24" s="22"/>
      <c r="X24" s="22"/>
      <c r="Y24" s="22"/>
      <c r="Z24" s="22"/>
      <c r="AA24" s="22"/>
    </row>
    <row r="25" spans="3:27" s="3" customFormat="1" ht="13">
      <c r="E25" s="11"/>
      <c r="I25" s="249"/>
      <c r="K25" s="22"/>
      <c r="M25" s="29"/>
      <c r="N25" s="256"/>
      <c r="O25" s="28"/>
      <c r="P25" s="23"/>
      <c r="Q25" s="23"/>
      <c r="R25" s="24"/>
      <c r="S25" s="24"/>
      <c r="T25" s="23"/>
      <c r="V25" s="22"/>
      <c r="W25" s="22"/>
      <c r="X25" s="22"/>
      <c r="Y25" s="22"/>
      <c r="Z25" s="22"/>
      <c r="AA25" s="22"/>
    </row>
    <row r="26" spans="3:27" s="3" customFormat="1" ht="13">
      <c r="E26" s="11"/>
      <c r="I26" s="249"/>
      <c r="K26" s="22"/>
      <c r="M26" s="29"/>
      <c r="N26" s="256"/>
      <c r="O26" s="28"/>
      <c r="P26" s="23"/>
      <c r="Q26" s="23"/>
      <c r="R26" s="24"/>
      <c r="S26" s="24"/>
      <c r="T26" s="23"/>
      <c r="V26" s="22"/>
      <c r="W26" s="22"/>
      <c r="X26" s="22"/>
      <c r="Y26" s="22"/>
      <c r="Z26" s="22"/>
      <c r="AA26" s="22"/>
    </row>
    <row r="27" spans="3:27" s="3" customFormat="1" ht="13">
      <c r="E27" s="11"/>
      <c r="I27" s="249"/>
      <c r="K27" s="22"/>
      <c r="M27" s="28"/>
      <c r="N27" s="256"/>
      <c r="O27" s="28"/>
      <c r="P27" s="23"/>
      <c r="Q27" s="23"/>
      <c r="R27" s="24"/>
      <c r="S27" s="24"/>
      <c r="T27" s="23"/>
      <c r="V27" s="22"/>
      <c r="W27" s="22"/>
      <c r="X27" s="22"/>
      <c r="Y27" s="22"/>
      <c r="Z27" s="22"/>
      <c r="AA27" s="22"/>
    </row>
    <row r="28" spans="3:27" s="3" customFormat="1" ht="13">
      <c r="E28" s="11"/>
      <c r="I28" s="249"/>
      <c r="K28" s="21"/>
      <c r="M28" s="29"/>
      <c r="N28" s="256"/>
      <c r="O28" s="28"/>
      <c r="P28" s="23"/>
      <c r="Q28" s="23"/>
      <c r="R28" s="24"/>
      <c r="S28" s="24"/>
      <c r="T28" s="23"/>
      <c r="V28" s="22"/>
      <c r="W28" s="22"/>
      <c r="X28" s="22"/>
      <c r="Y28" s="22"/>
      <c r="Z28" s="22"/>
      <c r="AA28" s="22"/>
    </row>
    <row r="29" spans="3:27" s="3" customFormat="1" ht="13">
      <c r="E29" s="11"/>
      <c r="I29" s="249"/>
      <c r="K29" s="21"/>
      <c r="M29" s="29"/>
      <c r="N29" s="256"/>
      <c r="O29" s="28"/>
      <c r="P29" s="23"/>
      <c r="Q29" s="23"/>
      <c r="R29" s="24"/>
      <c r="S29" s="24"/>
      <c r="T29" s="23"/>
      <c r="V29" s="22"/>
      <c r="W29" s="22"/>
      <c r="X29" s="22"/>
      <c r="Y29" s="22"/>
      <c r="Z29" s="22"/>
      <c r="AA29" s="22"/>
    </row>
    <row r="30" spans="3:27" s="3" customFormat="1" ht="13">
      <c r="C30" s="7"/>
      <c r="D30" s="7"/>
      <c r="E30" s="11"/>
      <c r="I30" s="249"/>
      <c r="K30" s="21"/>
      <c r="M30" s="29"/>
      <c r="N30" s="256"/>
      <c r="O30" s="28"/>
      <c r="P30" s="23"/>
      <c r="Q30" s="23"/>
      <c r="R30" s="24"/>
      <c r="S30" s="24"/>
      <c r="T30" s="23"/>
      <c r="V30" s="25"/>
      <c r="W30" s="25"/>
      <c r="X30" s="25"/>
      <c r="Y30" s="25"/>
      <c r="Z30" s="25"/>
      <c r="AA30" s="25"/>
    </row>
    <row r="31" spans="3:27" s="3" customFormat="1" ht="13">
      <c r="C31" s="7"/>
      <c r="D31" s="7"/>
      <c r="E31" s="11"/>
      <c r="I31" s="249"/>
      <c r="K31" s="21"/>
      <c r="M31" s="30"/>
      <c r="N31" s="256"/>
      <c r="O31" s="28"/>
      <c r="P31" s="23"/>
      <c r="Q31" s="23"/>
      <c r="R31" s="23"/>
      <c r="S31" s="23"/>
      <c r="T31" s="23"/>
      <c r="U31" s="23"/>
      <c r="V31" s="22"/>
      <c r="W31" s="22"/>
      <c r="X31" s="22"/>
      <c r="Y31" s="22"/>
      <c r="Z31" s="22"/>
      <c r="AA31" s="22"/>
    </row>
    <row r="32" spans="3:27" s="3" customFormat="1" ht="13">
      <c r="C32" s="7"/>
      <c r="D32" s="7"/>
      <c r="E32" s="11"/>
      <c r="I32" s="249"/>
      <c r="K32" s="21"/>
      <c r="M32" s="30"/>
      <c r="N32" s="256"/>
      <c r="O32" s="28"/>
      <c r="P32" s="23"/>
      <c r="Q32" s="23"/>
      <c r="R32" s="24"/>
      <c r="S32" s="24"/>
      <c r="T32" s="23"/>
      <c r="V32" s="22"/>
      <c r="W32" s="22"/>
      <c r="X32" s="22"/>
      <c r="Y32" s="22"/>
      <c r="Z32" s="22"/>
      <c r="AA32" s="22"/>
    </row>
    <row r="33" spans="3:27" s="3" customFormat="1" ht="13">
      <c r="C33" s="7"/>
      <c r="D33" s="7"/>
      <c r="E33" s="11"/>
      <c r="I33" s="249"/>
      <c r="K33" s="21"/>
      <c r="M33" s="29"/>
      <c r="N33" s="256"/>
      <c r="O33" s="28"/>
      <c r="P33" s="23"/>
      <c r="Q33" s="23"/>
      <c r="R33" s="24"/>
      <c r="S33" s="24"/>
      <c r="T33" s="23"/>
      <c r="V33" s="22"/>
      <c r="W33" s="22"/>
      <c r="X33" s="22"/>
      <c r="Y33" s="22"/>
      <c r="Z33" s="22"/>
      <c r="AA33" s="22"/>
    </row>
    <row r="34" spans="3:27" s="3" customFormat="1" ht="13">
      <c r="E34" s="11"/>
      <c r="I34" s="249"/>
      <c r="K34" s="21"/>
      <c r="M34" s="29"/>
      <c r="N34" s="256"/>
      <c r="O34" s="28"/>
      <c r="P34" s="23"/>
      <c r="Q34" s="23"/>
      <c r="R34" s="24"/>
      <c r="S34" s="24"/>
      <c r="T34" s="23"/>
      <c r="V34" s="22"/>
      <c r="W34" s="22"/>
      <c r="X34" s="22"/>
      <c r="Y34" s="22"/>
      <c r="Z34" s="22"/>
      <c r="AA34" s="22"/>
    </row>
    <row r="35" spans="3:27" s="3" customFormat="1" ht="13">
      <c r="E35" s="11"/>
      <c r="I35" s="249"/>
      <c r="K35" s="21"/>
      <c r="M35" s="29"/>
      <c r="N35" s="256"/>
      <c r="O35" s="28"/>
      <c r="P35" s="23"/>
      <c r="Q35" s="23"/>
      <c r="R35" s="24"/>
      <c r="S35" s="24"/>
      <c r="T35" s="23"/>
      <c r="V35" s="22"/>
      <c r="W35" s="22"/>
      <c r="X35" s="22"/>
      <c r="Y35" s="22"/>
      <c r="Z35" s="22"/>
      <c r="AA35" s="22"/>
    </row>
    <row r="36" spans="3:27" s="3" customFormat="1" ht="13">
      <c r="C36" s="7"/>
      <c r="D36" s="7"/>
      <c r="E36" s="11"/>
      <c r="I36" s="249"/>
      <c r="K36" s="21"/>
      <c r="M36" s="28"/>
      <c r="N36" s="256"/>
      <c r="O36" s="28"/>
      <c r="P36" s="23"/>
      <c r="Q36" s="23"/>
      <c r="R36" s="24"/>
      <c r="S36" s="24"/>
      <c r="T36" s="23"/>
      <c r="V36" s="25"/>
      <c r="W36" s="25"/>
      <c r="X36" s="25"/>
      <c r="Y36" s="25"/>
      <c r="Z36" s="25"/>
      <c r="AA36" s="25"/>
    </row>
    <row r="37" spans="3:27" s="3" customFormat="1" ht="13">
      <c r="C37" s="7"/>
      <c r="D37" s="7"/>
      <c r="E37" s="11"/>
      <c r="I37" s="249"/>
      <c r="K37" s="21"/>
      <c r="M37" s="28"/>
      <c r="N37" s="256"/>
      <c r="O37" s="28"/>
      <c r="P37" s="23"/>
      <c r="Q37" s="23"/>
      <c r="R37" s="24"/>
      <c r="S37" s="24"/>
      <c r="T37" s="23"/>
      <c r="V37" s="22"/>
      <c r="W37" s="22"/>
      <c r="X37" s="22"/>
      <c r="Y37" s="22"/>
      <c r="Z37" s="22"/>
      <c r="AA37" s="22"/>
    </row>
    <row r="38" spans="3:27" s="3" customFormat="1" ht="13">
      <c r="C38" s="7"/>
      <c r="D38" s="7"/>
      <c r="I38" s="239"/>
      <c r="M38" s="31"/>
      <c r="N38" s="256"/>
      <c r="O38" s="28"/>
      <c r="P38" s="23"/>
      <c r="Q38" s="23"/>
      <c r="R38" s="24"/>
      <c r="S38" s="24"/>
      <c r="T38" s="23"/>
      <c r="V38" s="22"/>
      <c r="W38" s="22"/>
      <c r="X38" s="22"/>
      <c r="Y38" s="22"/>
      <c r="Z38" s="22"/>
      <c r="AA38" s="22"/>
    </row>
    <row r="39" spans="3:27" s="3" customFormat="1" ht="13">
      <c r="C39" s="7"/>
      <c r="D39" s="7"/>
      <c r="I39" s="239"/>
      <c r="M39" s="29"/>
      <c r="N39" s="256"/>
      <c r="O39" s="28"/>
    </row>
    <row r="40" spans="3:27" s="3" customFormat="1" ht="13">
      <c r="I40" s="239"/>
      <c r="M40" s="29"/>
      <c r="N40" s="256"/>
      <c r="O40" s="28"/>
    </row>
    <row r="41" spans="3:27" s="3" customFormat="1" ht="13">
      <c r="I41" s="239"/>
      <c r="M41" s="29"/>
      <c r="N41" s="256"/>
      <c r="O41" s="28"/>
    </row>
    <row r="42" spans="3:27" s="3" customFormat="1" ht="13">
      <c r="C42" s="7"/>
      <c r="D42" s="7"/>
      <c r="I42" s="239"/>
      <c r="M42" s="28"/>
      <c r="N42" s="256"/>
      <c r="O42" s="28"/>
    </row>
    <row r="43" spans="3:27" s="3" customFormat="1">
      <c r="I43" s="239"/>
      <c r="M43" s="28"/>
      <c r="N43" s="256"/>
      <c r="O43" s="28"/>
    </row>
    <row r="44" spans="3:27" s="3" customFormat="1">
      <c r="I44" s="239"/>
      <c r="M44" s="28"/>
      <c r="N44" s="256"/>
      <c r="O44" s="28"/>
    </row>
    <row r="45" spans="3:27" s="3" customFormat="1" ht="13">
      <c r="I45" s="239"/>
      <c r="M45" s="30"/>
      <c r="N45" s="256"/>
      <c r="O45" s="28"/>
    </row>
    <row r="46" spans="3:27" s="3" customFormat="1" ht="13">
      <c r="C46" s="7"/>
      <c r="D46" s="7"/>
      <c r="I46" s="239"/>
      <c r="M46" s="30"/>
      <c r="N46" s="256"/>
      <c r="O46" s="28"/>
    </row>
    <row r="47" spans="3:27" s="3" customFormat="1" ht="13">
      <c r="I47" s="239"/>
      <c r="M47" s="31"/>
      <c r="N47" s="256"/>
      <c r="O47" s="28"/>
    </row>
    <row r="48" spans="3:27" s="3" customFormat="1" ht="13">
      <c r="I48" s="239"/>
      <c r="M48" s="31"/>
      <c r="N48" s="256"/>
      <c r="O48" s="28"/>
    </row>
    <row r="49" spans="9:15" s="3" customFormat="1" ht="13">
      <c r="I49" s="239"/>
      <c r="M49" s="30"/>
      <c r="N49" s="256"/>
      <c r="O49" s="28"/>
    </row>
    <row r="50" spans="9:15" s="3" customFormat="1" ht="13">
      <c r="I50" s="239"/>
      <c r="M50" s="30"/>
      <c r="N50" s="256"/>
      <c r="O50" s="28"/>
    </row>
    <row r="51" spans="9:15" s="3" customFormat="1" ht="13">
      <c r="I51" s="239"/>
      <c r="M51" s="31"/>
      <c r="N51" s="256"/>
      <c r="O51" s="17"/>
    </row>
    <row r="52" spans="9:15" s="3" customFormat="1" ht="13">
      <c r="I52" s="239"/>
      <c r="M52" s="31"/>
      <c r="N52" s="256"/>
      <c r="O52" s="28"/>
    </row>
    <row r="53" spans="9:15" s="3" customFormat="1" ht="13">
      <c r="I53" s="239"/>
      <c r="M53" s="30"/>
      <c r="N53" s="256"/>
      <c r="O53" s="28"/>
    </row>
    <row r="54" spans="9:15" s="3" customFormat="1" ht="13">
      <c r="I54" s="239"/>
      <c r="M54" s="30"/>
      <c r="N54" s="256"/>
      <c r="O54" s="28"/>
    </row>
    <row r="55" spans="9:15" s="3" customFormat="1" ht="13">
      <c r="I55" s="239"/>
      <c r="M55" s="31"/>
      <c r="N55" s="256"/>
      <c r="O55" s="17"/>
    </row>
    <row r="56" spans="9:15" s="3" customFormat="1" ht="13">
      <c r="I56" s="239"/>
      <c r="M56" s="31"/>
      <c r="N56" s="257"/>
      <c r="O56" s="28"/>
    </row>
    <row r="57" spans="9:15" s="3" customFormat="1" ht="13">
      <c r="I57" s="239"/>
      <c r="M57" s="31"/>
      <c r="N57" s="257"/>
      <c r="O57" s="28"/>
    </row>
    <row r="58" spans="9:15" s="3" customFormat="1" ht="13">
      <c r="I58" s="239"/>
      <c r="M58" s="31"/>
      <c r="N58" s="257"/>
      <c r="O58" s="28"/>
    </row>
    <row r="59" spans="9:15" s="3" customFormat="1" ht="13">
      <c r="I59" s="239"/>
      <c r="M59" s="31"/>
      <c r="N59" s="257"/>
      <c r="O59" s="28"/>
    </row>
    <row r="60" spans="9:15" s="3" customFormat="1" ht="13">
      <c r="I60" s="239"/>
      <c r="M60" s="31"/>
      <c r="N60" s="257"/>
      <c r="O60" s="28"/>
    </row>
    <row r="61" spans="9:15" s="3" customFormat="1" ht="13">
      <c r="I61" s="239"/>
      <c r="M61" s="31"/>
      <c r="N61" s="257"/>
      <c r="O61" s="28"/>
    </row>
    <row r="62" spans="9:15" s="3" customFormat="1" ht="13">
      <c r="I62" s="239"/>
      <c r="M62" s="31"/>
      <c r="N62" s="257"/>
      <c r="O62" s="28"/>
    </row>
    <row r="63" spans="9:15" s="3" customFormat="1" ht="13">
      <c r="I63" s="239"/>
      <c r="M63" s="31"/>
      <c r="N63" s="257"/>
      <c r="O63" s="28"/>
    </row>
    <row r="64" spans="9:15" s="3" customFormat="1" ht="13">
      <c r="I64" s="239"/>
      <c r="M64" s="29"/>
      <c r="N64" s="257"/>
      <c r="O64" s="28"/>
    </row>
    <row r="65" spans="3:15" s="3" customFormat="1" ht="13">
      <c r="I65" s="239"/>
      <c r="M65" s="29"/>
      <c r="N65" s="257"/>
      <c r="O65" s="28"/>
    </row>
    <row r="66" spans="3:15" s="3" customFormat="1" ht="13">
      <c r="C66" s="7"/>
      <c r="D66" s="7"/>
      <c r="I66" s="239"/>
      <c r="M66" s="29"/>
      <c r="N66" s="257"/>
      <c r="O66" s="28"/>
    </row>
    <row r="67" spans="3:15" s="3" customFormat="1">
      <c r="I67" s="239"/>
      <c r="M67" s="28"/>
      <c r="N67" s="257"/>
      <c r="O67" s="28"/>
    </row>
    <row r="68" spans="3:15" s="3" customFormat="1">
      <c r="I68" s="239"/>
      <c r="M68" s="28"/>
      <c r="N68" s="257"/>
      <c r="O68" s="28"/>
    </row>
    <row r="69" spans="3:15">
      <c r="M69" s="28"/>
      <c r="N69" s="257"/>
      <c r="O69" s="28"/>
    </row>
    <row r="70" spans="3:15" ht="13">
      <c r="M70" s="30"/>
      <c r="N70" s="257"/>
      <c r="O70" s="28"/>
    </row>
    <row r="71" spans="3:15" ht="13">
      <c r="M71" s="30"/>
      <c r="N71" s="256"/>
      <c r="O71" s="28"/>
    </row>
    <row r="72" spans="3:15">
      <c r="M72" s="28"/>
      <c r="N72" s="257"/>
      <c r="O72" s="28"/>
    </row>
    <row r="73" spans="3:15">
      <c r="M73" s="28"/>
      <c r="N73" s="257"/>
      <c r="O73" s="28"/>
    </row>
    <row r="74" spans="3:15">
      <c r="M74" s="28"/>
      <c r="N74" s="257"/>
      <c r="O74" s="28"/>
    </row>
  </sheetData>
  <sheetProtection algorithmName="SHA-512" hashValue="NratOqEs0+VgItuDDiuiZJRqXmtFML4KH+lYxtPzJsyu3z2e3Vrf0cNmyh6fhkbgCXfA5N39MPziu/pbaZhZQw==" saltValue="sQ/w3hzzDFbWlpAXRs3NA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P53"/>
  <sheetViews>
    <sheetView workbookViewId="0">
      <selection activeCell="B49" sqref="B49"/>
    </sheetView>
  </sheetViews>
  <sheetFormatPr defaultColWidth="9.1796875" defaultRowHeight="12.5"/>
  <cols>
    <col min="1" max="1" width="39.81640625" style="337" customWidth="1"/>
    <col min="2" max="2" width="11.81640625" style="357" customWidth="1"/>
    <col min="3" max="3" width="12.81640625" style="337" customWidth="1"/>
    <col min="4" max="4" width="29.36328125" style="358" customWidth="1"/>
    <col min="5" max="5" width="29.36328125" style="337" customWidth="1"/>
    <col min="6" max="6" width="15" style="402" customWidth="1"/>
    <col min="7" max="7" width="13.1796875" style="337" customWidth="1"/>
    <col min="8" max="8" width="13.36328125" style="337" customWidth="1"/>
    <col min="9" max="9" width="12.81640625" style="337" customWidth="1"/>
    <col min="10" max="11" width="14.453125" style="337" customWidth="1"/>
    <col min="12" max="12" width="16.1796875" style="337" customWidth="1"/>
    <col min="13" max="13" width="8" style="337" customWidth="1"/>
    <col min="14" max="14" width="9.1796875" style="337"/>
    <col min="15" max="15" width="9.1796875" style="337" hidden="1" customWidth="1"/>
    <col min="16" max="16384" width="9.1796875" style="337"/>
  </cols>
  <sheetData>
    <row r="1" spans="1:16" ht="13">
      <c r="A1" s="778" t="s">
        <v>982</v>
      </c>
      <c r="B1" s="480"/>
      <c r="D1" s="784"/>
    </row>
    <row r="2" spans="1:16" ht="30" customHeight="1">
      <c r="A2" s="884" t="str">
        <f>IF(ISNA(MATCH("n",O7:O48,0)),"",trans_warning)</f>
        <v/>
      </c>
      <c r="B2" s="885"/>
      <c r="C2" s="885"/>
      <c r="D2" s="885"/>
      <c r="E2" s="885"/>
      <c r="F2" s="885"/>
      <c r="G2" s="885"/>
      <c r="H2" s="885"/>
      <c r="I2" s="885"/>
      <c r="J2" s="885"/>
      <c r="K2" s="885"/>
      <c r="L2" s="885"/>
      <c r="M2" s="886"/>
    </row>
    <row r="3" spans="1:16" s="358" customFormat="1" ht="51" customHeight="1">
      <c r="A3" s="717" t="s">
        <v>868</v>
      </c>
      <c r="B3" s="719" t="s">
        <v>869</v>
      </c>
      <c r="C3" s="719" t="s">
        <v>870</v>
      </c>
      <c r="D3" s="717"/>
      <c r="E3" s="720"/>
      <c r="F3" s="727" t="s">
        <v>871</v>
      </c>
      <c r="G3" s="881" t="s">
        <v>872</v>
      </c>
      <c r="H3" s="882"/>
      <c r="I3" s="882"/>
      <c r="J3" s="882"/>
      <c r="K3" s="882"/>
      <c r="L3" s="883"/>
      <c r="M3" s="717"/>
    </row>
    <row r="4" spans="1:16" ht="65">
      <c r="A4" s="717"/>
      <c r="B4" s="724" t="str">
        <f>quest</f>
        <v>Да/Нет/?</v>
      </c>
      <c r="C4" s="719" t="s">
        <v>983</v>
      </c>
      <c r="D4" s="733" t="s">
        <v>875</v>
      </c>
      <c r="E4" s="722" t="s">
        <v>1187</v>
      </c>
      <c r="F4" s="728" t="s">
        <v>876</v>
      </c>
      <c r="G4" s="723" t="s">
        <v>877</v>
      </c>
      <c r="H4" s="723" t="s">
        <v>878</v>
      </c>
      <c r="I4" s="723" t="s">
        <v>879</v>
      </c>
      <c r="J4" s="733" t="s">
        <v>880</v>
      </c>
      <c r="K4" s="733" t="s">
        <v>881</v>
      </c>
      <c r="L4" s="733" t="s">
        <v>882</v>
      </c>
      <c r="M4" s="717" t="s">
        <v>883</v>
      </c>
      <c r="N4" s="321" t="s">
        <v>884</v>
      </c>
    </row>
    <row r="5" spans="1:16" ht="27.75" customHeight="1">
      <c r="A5" s="265"/>
      <c r="B5" s="342"/>
      <c r="C5" s="264"/>
      <c r="D5" s="706"/>
      <c r="E5" s="270"/>
      <c r="F5" s="892" t="s">
        <v>1258</v>
      </c>
      <c r="G5" s="894" t="str">
        <f>IF('Этап5-Обраб. отходов+перераб.'!B4=yes,trans1,IF('Этап5-Обраб. отходов+перераб.'!B4=no,trans2,trans3))</f>
        <v>Менее 2/3 (две трети; 67%) обычных отходов собранных и утилизированных на изолированных полигонах или сожженных с учетом мер по предотвращению загрязнений</v>
      </c>
      <c r="H5" s="895"/>
      <c r="I5" s="895"/>
      <c r="J5" s="895"/>
      <c r="K5" s="895"/>
      <c r="L5" s="895"/>
      <c r="M5" s="896"/>
      <c r="N5" s="789"/>
      <c r="O5" s="705"/>
      <c r="P5" s="232"/>
    </row>
    <row r="6" spans="1:16" ht="40.5" customHeight="1" thickBot="1">
      <c r="A6" s="265" t="s">
        <v>984</v>
      </c>
      <c r="B6" s="412"/>
      <c r="C6" s="394"/>
      <c r="D6" s="263"/>
      <c r="E6" s="343"/>
      <c r="F6" s="893"/>
      <c r="G6" s="894" t="str">
        <f>IF('Этап5-Обраб. отходов+перераб.'!E4=yes,trans4,IF('Этап5-Обраб. отходов+перераб.'!E4=no,trans5,trans3))</f>
        <v>Меньше чем 1/3 (одна треть = 33%) отходов продуктов, содержащих ртуть, безопасно собирается и обрабатывается отдельно</v>
      </c>
      <c r="H6" s="895"/>
      <c r="I6" s="895"/>
      <c r="J6" s="895"/>
      <c r="K6" s="895"/>
      <c r="L6" s="895"/>
      <c r="M6" s="896"/>
      <c r="N6" s="458"/>
      <c r="O6" s="321"/>
    </row>
    <row r="7" spans="1:16" ht="26.5" thickBot="1">
      <c r="A7" s="410" t="s">
        <v>985</v>
      </c>
      <c r="B7" s="413"/>
      <c r="C7" s="411"/>
      <c r="D7" s="365"/>
      <c r="E7" s="668"/>
      <c r="F7" s="456" t="str">
        <f>IF(AND($B7&lt;&gt;no,$B7&lt;&gt;yes,$B7&lt;&gt;que),pres,IF($B7=yes,'5-6 Other int use'!K7,IF($B7=no,"-",IF($B7=que,que,pres))))</f>
        <v>Присутствует?</v>
      </c>
      <c r="G7" s="714" t="str">
        <f>IF($F7=pres,pres,IF(OR('Этап5-Обраб. отходов+перераб.'!$B$4=yes,'Этап5-Обраб. отходов+перераб.'!$B$4=no),IF(OR($B7=yes,$B7=yes,$B7=yes,),'5-6 Other int use'!V6, IF(AND($B7=no,$B7=no,$B7=no),"-", IF(OR($B7=que,$B7=que,$B7=que),que, pres))),_SeF4))</f>
        <v>Присутствует?</v>
      </c>
      <c r="H7" s="714" t="str">
        <f>IF($F7=pres,pres,IF(OR('Этап5-Обраб. отходов+перераб.'!$B$4=yes,'Этап5-Обраб. отходов+перераб.'!$B$4=no),IF(OR($B7=yes,$B7=yes,$B7=yes,),'5-6 Other int use'!W6, IF(AND($B7=no,$B7=no,$B7=no),"-", IF(OR($B7=que,$B7=que,$B7=que),que, pres))),_SeF4))</f>
        <v>Присутствует?</v>
      </c>
      <c r="I7" s="714" t="str">
        <f>IF($F7=pres,pres,IF(OR('Этап5-Обраб. отходов+перераб.'!$B$4=yes,'Этап5-Обраб. отходов+перераб.'!$B$4=no),IF(OR($B7=yes,$B7=yes,$B7=yes,),'5-6 Other int use'!X6, IF(AND($B7=no,$B7=no,$B7=no),"-", IF(OR($B7=que,$B7=que,$B7=que),que, pres))),_SeF4))</f>
        <v>Присутствует?</v>
      </c>
      <c r="J7" s="714" t="str">
        <f>IF($F7=pres,pres,IF(OR('Этап5-Обраб. отходов+перераб.'!$B$4=yes,'Этап5-Обраб. отходов+перераб.'!$B$4=no),IF(OR($B7=yes,$B7=yes,$B7=yes,),'5-6 Other int use'!Y6, IF(AND($B7=no,$B7=no,$B7=no),"-", IF(OR($B7=que,$B7=que,$B7=que),que, pres))),_SeF4))</f>
        <v>Присутствует?</v>
      </c>
      <c r="K7" s="714" t="str">
        <f>IF($F7=pres,pres,IF(OR('Этап5-Обраб. отходов+перераб.'!$B$4=yes,'Этап5-Обраб. отходов+перераб.'!$B$4=no),IF(OR($B7=yes,$B7=yes,$B7=yes,),'5-6 Other int use'!Z6, IF(AND($B7=no,$B7=no,$B7=no),"-", IF(OR($B7=que,$B7=que,$B7=que),que, pres))),_SeF4))</f>
        <v>Присутствует?</v>
      </c>
      <c r="L7" s="714" t="str">
        <f>IF($F7=pres,pres,IF(OR('Этап5-Обраб. отходов+перераб.'!$B$4=yes,'Этап5-Обраб. отходов+перераб.'!$B$4=no),IF(OR($B7=yes,$B7=yes,$B7=yes,),'5-6 Other int use'!AA6, IF(AND($B7=no,$B7=no,$B7=no),"-", IF(OR($B7=que,$B7=que,$B7=que),que, pres))),_SeF4))</f>
        <v>Присутствует?</v>
      </c>
      <c r="M7" s="271" t="s">
        <v>212</v>
      </c>
      <c r="N7" s="458"/>
      <c r="O7" s="337" t="str">
        <f>INDEX('Range-thresholds'!$G$6:$G$73,MATCH(A7,'Range-thresholds'!$A$6:$A$73,0))</f>
        <v/>
      </c>
    </row>
    <row r="8" spans="1:16" ht="25">
      <c r="A8" s="365" t="s">
        <v>986</v>
      </c>
      <c r="B8" s="418"/>
      <c r="C8" s="419">
        <f>'Этап 1 - Информация о стране'!$B$6</f>
        <v>0</v>
      </c>
      <c r="D8" s="365" t="s">
        <v>989</v>
      </c>
      <c r="E8" s="271"/>
      <c r="F8" s="452"/>
      <c r="G8" s="405" t="str">
        <f>IF(OR('Этап5-Обраб. отходов+перераб.'!$B$4=yes,'Этап5-Обраб. отходов+перераб.'!$B$4=no),IF($B$7=yes,'5-6 Other int use'!V7, IF($B$7=no,"-", IF($B$7=que,que, pres))),_SeF4)</f>
        <v>Присутствует?</v>
      </c>
      <c r="H8" s="405" t="str">
        <f>IF(OR('Этап5-Обраб. отходов+перераб.'!$B$4=yes,'Этап5-Обраб. отходов+перераб.'!$B$4=no),IF($B$7=yes,'5-6 Other int use'!W7, IF($B$7=no,"-", IF($B$7=que,que, pres))),_SeF4)</f>
        <v>Присутствует?</v>
      </c>
      <c r="I8" s="405" t="str">
        <f>IF(OR('Этап5-Обраб. отходов+перераб.'!$B$4=yes,'Этап5-Обраб. отходов+перераб.'!$B$4=no),IF($B$7=yes,'5-6 Other int use'!X7, IF($B$7=no,"-", IF($B$7=que,que, pres))),_SeF4)</f>
        <v>Присутствует?</v>
      </c>
      <c r="J8" s="405" t="str">
        <f>IF(OR('Этап5-Обраб. отходов+перераб.'!$B$4=yes,'Этап5-Обраб. отходов+перераб.'!$B$4=no),IF($B$7=yes,'5-6 Other int use'!Y7, IF($B$7=no,"-", IF($B$7=que,que, pres))),_SeF4)</f>
        <v>Присутствует?</v>
      </c>
      <c r="K8" s="405" t="str">
        <f>IF(OR('Этап5-Обраб. отходов+перераб.'!$B$4=yes,'Этап5-Обраб. отходов+перераб.'!$B$4=no),IF($B$7=yes,'5-6 Other int use'!Z7, IF($B$7=no,"-", IF($B$7=que,que, pres))),_SeF4)</f>
        <v>Присутствует?</v>
      </c>
      <c r="L8" s="405" t="str">
        <f>IF(OR('Этап5-Обраб. отходов+перераб.'!$B$4=yes,'Этап5-Обраб. отходов+перераб.'!$B$4=no),IF($B$7=yes,'5-6 Other int use'!AA7, IF($B$7=no,"-", IF($B$7=que,que, pres))),_SeF4)</f>
        <v>Присутствует?</v>
      </c>
      <c r="M8" s="271"/>
      <c r="N8" s="458"/>
    </row>
    <row r="9" spans="1:16" ht="25">
      <c r="A9" s="365" t="s">
        <v>987</v>
      </c>
      <c r="B9" s="420"/>
      <c r="C9" s="419">
        <f>'Этап 1 - Информация о стране'!$B$6</f>
        <v>0</v>
      </c>
      <c r="D9" s="365" t="s">
        <v>989</v>
      </c>
      <c r="E9" s="271"/>
      <c r="F9" s="453"/>
      <c r="G9" s="405" t="str">
        <f>IF(OR('Этап5-Обраб. отходов+перераб.'!$B$4=yes,'Этап5-Обраб. отходов+перераб.'!$B$4=no),IF($B7=yes,'5-6 Other int use'!V8, IF($B7=no,"-", IF($B7=que,que, pres))),_SeF4)</f>
        <v>Присутствует?</v>
      </c>
      <c r="H9" s="405" t="str">
        <f>IF(OR('Этап5-Обраб. отходов+перераб.'!$B$4=yes,'Этап5-Обраб. отходов+перераб.'!$B$4=no),IF($B7=yes,'5-6 Other int use'!W8, IF($B7=no,"-", IF($B7=que,que, pres))),_SeF4)</f>
        <v>Присутствует?</v>
      </c>
      <c r="I9" s="405" t="str">
        <f>IF(OR('Этап5-Обраб. отходов+перераб.'!$B$4=yes,'Этап5-Обраб. отходов+перераб.'!$B$4=no),IF($B7=yes,'5-6 Other int use'!X8, IF($B7=no,"-", IF($B7=que,que, pres))),_SeF4)</f>
        <v>Присутствует?</v>
      </c>
      <c r="J9" s="405" t="str">
        <f>IF(OR('Этап5-Обраб. отходов+перераб.'!$B$4=yes,'Этап5-Обраб. отходов+перераб.'!$B$4=no),IF($B7=yes,'5-6 Other int use'!Y8, IF($B7=no,"-", IF($B7=que,que, pres))),_SeF4)</f>
        <v>Присутствует?</v>
      </c>
      <c r="K9" s="405" t="str">
        <f>IF(OR('Этап5-Обраб. отходов+перераб.'!$B$4=yes,'Этап5-Обраб. отходов+перераб.'!$B$4=no),IF($B7=yes,'5-6 Other int use'!Z8, IF($B7=no,"-", IF($B7=que,que, pres))),_SeF4)</f>
        <v>Присутствует?</v>
      </c>
      <c r="L9" s="405" t="str">
        <f>IF(OR('Этап5-Обраб. отходов+перераб.'!$B$4=yes,'Этап5-Обраб. отходов+перераб.'!$B$4=no),IF($B7=yes,'5-6 Other int use'!AA8, IF($B7=no,"-", IF($B7=que,que, pres))),_SeF4)</f>
        <v>Присутствует?</v>
      </c>
      <c r="M9" s="271"/>
      <c r="N9" s="458"/>
    </row>
    <row r="10" spans="1:16">
      <c r="A10" s="665" t="s">
        <v>988</v>
      </c>
      <c r="B10" s="420"/>
      <c r="C10" s="419">
        <f>'Этап 1 - Информация о стране'!$B$6</f>
        <v>0</v>
      </c>
      <c r="D10" s="365" t="s">
        <v>989</v>
      </c>
      <c r="E10" s="271"/>
      <c r="F10" s="452"/>
      <c r="G10" s="405" t="str">
        <f>IF(OR('Этап5-Обраб. отходов+перераб.'!$B$4=yes,'Этап5-Обраб. отходов+перераб.'!$B$4=no),IF($B7=yes,SUM('5-6 Other int use'!V10,'5-6 Other int use'!V11), IF($B7=no,"-", IF($B7=que,que, pres))),_SeF4)</f>
        <v>Присутствует?</v>
      </c>
      <c r="H10" s="405" t="str">
        <f>IF(OR('Этап5-Обраб. отходов+перераб.'!$B$4=yes,'Этап5-Обраб. отходов+перераб.'!$B$4=no),IF($B7=yes,SUM('5-6 Other int use'!W10,'5-6 Other int use'!W11), IF($B7=no,"-", IF($B7=que,que, pres))),_SeF4)</f>
        <v>Присутствует?</v>
      </c>
      <c r="I10" s="405" t="str">
        <f>IF(OR('Этап5-Обраб. отходов+перераб.'!$B$4=yes,'Этап5-Обраб. отходов+перераб.'!$B$4=no),IF($B7=yes,SUM('5-6 Other int use'!X10,'5-6 Other int use'!X11), IF($B7=no,"-", IF($B7=que,que, pres))),_SeF4)</f>
        <v>Присутствует?</v>
      </c>
      <c r="J10" s="405" t="str">
        <f>IF(OR('Этап5-Обраб. отходов+перераб.'!$B$4=yes,'Этап5-Обраб. отходов+перераб.'!$B$4=no),IF($B7=yes,SUM('5-6 Other int use'!Y10,'5-6 Other int use'!Y11), IF($B7=no,"-", IF($B7=que,que, pres))),_SeF4)</f>
        <v>Присутствует?</v>
      </c>
      <c r="K10" s="405" t="str">
        <f>IF(OR('Этап5-Обраб. отходов+перераб.'!$B$4=yes,'Этап5-Обраб. отходов+перераб.'!$B$4=no),IF($B7=yes,SUM('5-6 Other int use'!Z10,'5-6 Other int use'!Z11), IF($B7=no,"-", IF($B7=que,que, pres))),_SeF4)</f>
        <v>Присутствует?</v>
      </c>
      <c r="L10" s="405" t="str">
        <f>IF(OR('Этап5-Обраб. отходов+перераб.'!$B$4=yes,'Этап5-Обраб. отходов+перераб.'!$B$4=no),IF($B7=yes,SUM('5-6 Other int use'!AA10,'5-6 Other int use'!AA11), IF($B7=no,"-", IF($B7=que,que, pres))),_SeF4)</f>
        <v>Присутствует?</v>
      </c>
      <c r="M10" s="271"/>
      <c r="N10" s="458"/>
    </row>
    <row r="11" spans="1:16" ht="25">
      <c r="A11" s="365"/>
      <c r="B11" s="420"/>
      <c r="C11" s="485">
        <f>'Этап 1 - Информация о стране'!C23</f>
        <v>0.82919079065322876</v>
      </c>
      <c r="D11" s="533" t="s">
        <v>856</v>
      </c>
      <c r="E11" s="343"/>
      <c r="F11" s="454"/>
      <c r="G11" s="484"/>
      <c r="H11" s="484"/>
      <c r="I11" s="405"/>
      <c r="J11" s="405"/>
      <c r="K11" s="405"/>
      <c r="L11" s="405"/>
      <c r="M11" s="271"/>
      <c r="N11" s="458"/>
      <c r="O11" s="321"/>
    </row>
    <row r="12" spans="1:16" ht="100">
      <c r="A12" s="365"/>
      <c r="B12" s="420"/>
      <c r="C12" s="485"/>
      <c r="D12" s="533"/>
      <c r="E12" s="676" t="s">
        <v>1190</v>
      </c>
      <c r="F12" s="655"/>
      <c r="G12" s="657" t="s">
        <v>1234</v>
      </c>
      <c r="H12" s="838" t="s">
        <v>1235</v>
      </c>
      <c r="I12" s="278"/>
      <c r="J12" s="278"/>
      <c r="K12" s="278"/>
      <c r="L12" s="278"/>
      <c r="M12" s="271"/>
      <c r="N12" s="458"/>
      <c r="O12" s="321"/>
    </row>
    <row r="13" spans="1:16" ht="25">
      <c r="A13" s="365"/>
      <c r="B13" s="420"/>
      <c r="C13" s="485"/>
      <c r="D13" s="656" t="s">
        <v>1198</v>
      </c>
      <c r="E13" s="655" t="s">
        <v>1191</v>
      </c>
      <c r="F13" s="655"/>
      <c r="G13" s="658">
        <f>100-H13-I13-J13-K13-L13</f>
        <v>100</v>
      </c>
      <c r="H13" s="662"/>
      <c r="I13" s="278"/>
      <c r="J13" s="278"/>
      <c r="K13" s="278"/>
      <c r="L13" s="278"/>
      <c r="M13" s="701" t="s">
        <v>1257</v>
      </c>
      <c r="N13" s="459"/>
      <c r="O13" s="321"/>
    </row>
    <row r="14" spans="1:16">
      <c r="A14" s="365"/>
      <c r="B14" s="271"/>
      <c r="C14" s="352"/>
      <c r="D14" s="534"/>
      <c r="E14" s="352"/>
      <c r="F14" s="454"/>
      <c r="G14" s="352"/>
      <c r="H14" s="352"/>
      <c r="I14" s="486"/>
      <c r="J14" s="262"/>
      <c r="K14" s="409"/>
      <c r="L14" s="262"/>
      <c r="M14" s="271"/>
      <c r="N14" s="458"/>
      <c r="O14" s="321"/>
    </row>
    <row r="15" spans="1:16" s="321" customFormat="1" ht="13.5" thickBot="1">
      <c r="A15" s="403" t="s">
        <v>990</v>
      </c>
      <c r="B15" s="407" t="str">
        <f>IF(OR(AND(B16&lt;&gt;no,B16&lt;&gt;yes,B16&lt;&gt;que),AND(B17&lt;&gt;no,B17&lt;&gt;yes,B17&lt;&gt;que),AND(B18&lt;&gt;no,B18&lt;&gt;yes,B18&lt;&gt;que)),pres,IF(OR($B16=yes,$B17=yes,$B18=yes),yes,IF(AND($B16=no,$B17=no,$B18=no),no,IF(OR($B16=que,$B17=que,$B18=que),que,pres))))</f>
        <v>Присутствует?</v>
      </c>
      <c r="C15" s="408">
        <f>SUM(C16:C18)</f>
        <v>0</v>
      </c>
      <c r="D15" s="365"/>
      <c r="E15" s="271"/>
      <c r="F15" s="456" t="str">
        <f>IF(OR(AND(B16&lt;&gt;no,B16&lt;&gt;yes,B16&lt;&gt;que),AND(B17&lt;&gt;no,B17&lt;&gt;yes,B17&lt;&gt;que),AND(B18&lt;&gt;no,B18&lt;&gt;yes,B18&lt;&gt;que)),pres,IF(OR($B16=yes,$B17=yes,$B18=yes),'5-5 Cons prod'!K12,IF(AND($B16=no,$B17=no,$B18=no),"-",IF(OR($B16=que,$B17=que,$B18=que),que,pres))))</f>
        <v>Присутствует?</v>
      </c>
      <c r="G15" s="404" t="str">
        <f>IF($F15=pres,pres,IF(OR('Этап5-Обраб. отходов+перераб.'!$B$4=yes,'Этап5-Обраб. отходов+перераб.'!$B$4=no),IF(OR($B16=yes,$B17=yes,$B18=yes,),SUM('5-5 Cons prod'!V13:V15), IF(AND($B16=no,$B17=no,$B18=no),"-", IF(OR($B16=que,$B17=que,$B18=que),que, pres))),_SeF4))</f>
        <v>Присутствует?</v>
      </c>
      <c r="H15" s="404" t="str">
        <f>IF($F15=pres,pres,IF(OR('Этап5-Обраб. отходов+перераб.'!$B$4=yes,'Этап5-Обраб. отходов+перераб.'!$B$4=no),IF(OR($B16=yes,$B17=yes,$B18=yes,),SUM('5-5 Cons prod'!W13:W15), IF(AND($B16=no,$B17=no,$B18=no),"-", IF(OR($B16=que,$B17=que,$B18=que),que, pres))),_SeF4))</f>
        <v>Присутствует?</v>
      </c>
      <c r="I15" s="404" t="str">
        <f>IF($F15=pres,pres,IF(OR('Этап5-Обраб. отходов+перераб.'!$B$4=yes,'Этап5-Обраб. отходов+перераб.'!$B$4=no),IF(OR($B16=yes,$B17=yes,$B18=yes,),SUM('5-5 Cons prod'!X13:X15), IF(AND($B16=no,$B17=no,$B18=no),"-", IF(OR($B16=que,$B17=que,$B18=que),que, pres))),_SeF4))</f>
        <v>Присутствует?</v>
      </c>
      <c r="J15" s="404" t="str">
        <f>IF($F15=pres,pres,IF(OR('Этап5-Обраб. отходов+перераб.'!$B$4=yes,'Этап5-Обраб. отходов+перераб.'!$B$4=no),IF(OR($B16=yes,$B17=yes,$B18=yes,),SUM('5-5 Cons prod'!Y13:Y15), IF(AND($B16=no,$B17=no,$B18=no),"-", IF(OR($B16=que,$B17=que,$B18=que),que, pres))),_SeF4))</f>
        <v>Присутствует?</v>
      </c>
      <c r="K15" s="404" t="str">
        <f>IF($F15=pres,pres,IF(OR('Этап5-Обраб. отходов+перераб.'!$B$4=yes,'Этап5-Обраб. отходов+перераб.'!$B$4=no),IF(OR($B16=yes,$B17=yes,$B18=yes,),SUM('5-5 Cons prod'!Z13:Z15), IF(AND($B16=no,$B17=no,$B18=no),"-", IF(OR($B16=que,$B17=que,$B18=que),que, pres))),_SeF4))</f>
        <v>Присутствует?</v>
      </c>
      <c r="L15" s="404" t="str">
        <f>IF($F15=pres,pres,IF(OR('Этап5-Обраб. отходов+перераб.'!$B$4=yes,'Этап5-Обраб. отходов+перераб.'!$B$4=no),IF(OR($B16=yes,$B17=yes,$B18=yes,),SUM('5-5 Cons prod'!AA13:AA15), IF(AND($B16=no,$B17=no,$B18=no),"-", IF(OR($B16=que,$B17=que,$B18=que),que, pres))),_SeF4))</f>
        <v>Присутствует?</v>
      </c>
      <c r="M15" s="271" t="s">
        <v>89</v>
      </c>
      <c r="N15" s="458"/>
      <c r="O15" s="337" t="str">
        <f>INDEX('Range-thresholds'!$G$6:$G$73,MATCH(A15,'Range-thresholds'!$A$6:$A$73,0))</f>
        <v/>
      </c>
    </row>
    <row r="16" spans="1:16">
      <c r="A16" s="273" t="s">
        <v>991</v>
      </c>
      <c r="B16" s="382"/>
      <c r="C16" s="376"/>
      <c r="D16" s="765" t="s">
        <v>994</v>
      </c>
      <c r="E16" s="391"/>
      <c r="F16" s="453" t="str">
        <f>IF(OR($B16=yes,$B16=yes),'5-5 Cons prod'!K13, IF(OR($B16=no,$B16=no),"-", IF($B16=que,que, pres)))</f>
        <v>Присутствует?</v>
      </c>
      <c r="G16" s="278"/>
      <c r="H16" s="278"/>
      <c r="I16" s="278"/>
      <c r="J16" s="278"/>
      <c r="K16" s="278"/>
      <c r="L16" s="278"/>
      <c r="M16" s="271"/>
      <c r="N16" s="458"/>
    </row>
    <row r="17" spans="1:15" ht="37.5">
      <c r="A17" s="273" t="s">
        <v>992</v>
      </c>
      <c r="B17" s="616"/>
      <c r="C17" s="378"/>
      <c r="D17" s="765" t="s">
        <v>994</v>
      </c>
      <c r="E17" s="343"/>
      <c r="F17" s="452" t="str">
        <f>IF(OR($B17=yes,$B17=yes),'5-5 Cons prod'!K14+'5-5 Cons prod'!K16, IF(OR($B17=no,$B17=no),"-", IF($B17=que,que, pres)))</f>
        <v>Присутствует?</v>
      </c>
      <c r="G17" s="278"/>
      <c r="H17" s="278"/>
      <c r="I17" s="278"/>
      <c r="J17" s="278"/>
      <c r="K17" s="278"/>
      <c r="L17" s="278"/>
      <c r="M17" s="271"/>
      <c r="N17" s="458"/>
    </row>
    <row r="18" spans="1:15" ht="50.5" thickBot="1">
      <c r="A18" s="273" t="s">
        <v>993</v>
      </c>
      <c r="B18" s="380"/>
      <c r="C18" s="397"/>
      <c r="D18" s="765" t="s">
        <v>994</v>
      </c>
      <c r="E18" s="391"/>
      <c r="F18" s="453" t="str">
        <f>IF(OR($B18=yes,$B18=yes),'5-5 Cons prod'!K15, IF(OR($B18=no,$B18=no),"-", IF($B18=que,que, pres)))</f>
        <v>Присутствует?</v>
      </c>
      <c r="G18" s="278"/>
      <c r="H18" s="278"/>
      <c r="I18" s="278"/>
      <c r="J18" s="278"/>
      <c r="K18" s="278"/>
      <c r="L18" s="278"/>
      <c r="M18" s="271" t="s">
        <v>89</v>
      </c>
      <c r="N18" s="458"/>
    </row>
    <row r="19" spans="1:15" ht="13" thickBot="1">
      <c r="A19" s="365"/>
      <c r="B19" s="414"/>
      <c r="C19" s="415"/>
      <c r="D19" s="365"/>
      <c r="E19" s="271"/>
      <c r="F19" s="452"/>
      <c r="G19" s="278"/>
      <c r="H19" s="278"/>
      <c r="I19" s="278"/>
      <c r="J19" s="278"/>
      <c r="K19" s="278"/>
      <c r="L19" s="278"/>
      <c r="M19" s="271"/>
      <c r="N19" s="458"/>
    </row>
    <row r="20" spans="1:15" ht="25.5" thickBot="1">
      <c r="A20" s="737" t="s">
        <v>995</v>
      </c>
      <c r="B20" s="432"/>
      <c r="C20" s="419">
        <f>'Этап 1 - Информация о стране'!$B$6</f>
        <v>0</v>
      </c>
      <c r="D20" s="736" t="s">
        <v>989</v>
      </c>
      <c r="E20" s="271"/>
      <c r="F20" s="456" t="str">
        <f>IF(OR($B20=yes,$B20=yes),'5-5 Cons prod'!K20, IF(OR($B20=no,$B20=no),"-", IF($B20=que,que, pres)))</f>
        <v>Присутствует?</v>
      </c>
      <c r="G20" s="405" t="str">
        <f>IF(OR('Этап5-Обраб. отходов+перераб.'!$B$4=yes,'Этап5-Обраб. отходов+перераб.'!$B$4=no),IF($B20=yes,SUM('5-5 Cons prod'!V21:V23), IF($B20=no,"-", IF($B20=que,que, pres))),_SeF4)</f>
        <v>Присутствует?</v>
      </c>
      <c r="H20" s="405" t="str">
        <f>IF(OR('Этап5-Обраб. отходов+перераб.'!$B$4=yes,'Этап5-Обраб. отходов+перераб.'!$B$4=yes,'Этап5-Обраб. отходов+перераб.'!$B$4=no,'Этап5-Обраб. отходов+перераб.'!$B$4=no),IF($B20=yes,SUM('5-5 Cons prod'!W21:W23), IF($B20=no,"-", IF($B20=que,que, pres))),_SeF4)</f>
        <v>Присутствует?</v>
      </c>
      <c r="I20" s="405" t="str">
        <f>IF(OR('Этап5-Обраб. отходов+перераб.'!$B$4=yes,'Этап5-Обраб. отходов+перераб.'!$B$4=yes,'Этап5-Обраб. отходов+перераб.'!$B$4=no,'Этап5-Обраб. отходов+перераб.'!$B$4=no),IF($B20=yes,SUM('5-5 Cons prod'!X21:X23), IF($B20=no,"-", IF($B20=que,que, pres))),_SeF4)</f>
        <v>Присутствует?</v>
      </c>
      <c r="J20" s="405" t="str">
        <f>IF(OR('Этап5-Обраб. отходов+перераб.'!$B$4=yes,'Этап5-Обраб. отходов+перераб.'!$B$4=yes,'Этап5-Обраб. отходов+перераб.'!$B$4=no,'Этап5-Обраб. отходов+перераб.'!$B$4=no),IF($B20=yes,SUM('5-5 Cons prod'!Y21:Y23), IF($B20=no,"-", IF($B20=que,que, pres))),_SeF4)</f>
        <v>Присутствует?</v>
      </c>
      <c r="K20" s="405" t="str">
        <f>IF(OR('Этап5-Обраб. отходов+перераб.'!$B$4=yes,'Этап5-Обраб. отходов+перераб.'!$B$4=yes,'Этап5-Обраб. отходов+перераб.'!$B$4=no,'Этап5-Обраб. отходов+перераб.'!$B$4=no),IF($B20=yes,SUM('5-5 Cons prod'!Z21:Z23), IF($B20=no,"-", IF($B20=que,que, pres))),_SeF4)</f>
        <v>Присутствует?</v>
      </c>
      <c r="L20" s="405" t="str">
        <f>IF(OR('Этап5-Обраб. отходов+перераб.'!$B$4=yes,'Этап5-Обраб. отходов+перераб.'!$B$4=yes,'Этап5-Обраб. отходов+перераб.'!$B$4=no,'Этап5-Обраб. отходов+перераб.'!$B$4=no),IF($B20=yes,SUM('5-5 Cons prod'!AA21:AA23), IF($B20=no,"-", IF($B20=que,que, pres))),_SeF4)</f>
        <v>Присутствует?</v>
      </c>
      <c r="M20" s="271" t="s">
        <v>114</v>
      </c>
      <c r="N20" s="458"/>
      <c r="O20" s="337" t="str">
        <f>INDEX('Range-thresholds'!$G$6:$G$73,MATCH(A20,'Range-thresholds'!$A$6:$A$73,0))</f>
        <v/>
      </c>
    </row>
    <row r="21" spans="1:15" ht="25">
      <c r="A21" s="273"/>
      <c r="B21" s="273"/>
      <c r="C21" s="487">
        <f>'Этап 1 - Информация о стране'!$D$23</f>
        <v>100</v>
      </c>
      <c r="D21" s="765" t="s">
        <v>996</v>
      </c>
      <c r="E21" s="343"/>
      <c r="F21" s="455"/>
      <c r="G21" s="405"/>
      <c r="H21" s="405"/>
      <c r="I21" s="405"/>
      <c r="J21" s="405"/>
      <c r="K21" s="405"/>
      <c r="L21" s="405"/>
      <c r="M21" s="271"/>
      <c r="N21" s="458"/>
    </row>
    <row r="22" spans="1:15">
      <c r="A22" s="365"/>
      <c r="B22" s="409"/>
      <c r="C22" s="374"/>
      <c r="D22" s="365"/>
      <c r="E22" s="271"/>
      <c r="F22" s="452"/>
      <c r="G22" s="278"/>
      <c r="H22" s="278"/>
      <c r="I22" s="278"/>
      <c r="J22" s="278"/>
      <c r="K22" s="278"/>
      <c r="L22" s="278"/>
      <c r="M22" s="271"/>
      <c r="N22" s="458"/>
    </row>
    <row r="23" spans="1:15" ht="13.5" thickBot="1">
      <c r="A23" s="786" t="s">
        <v>997</v>
      </c>
      <c r="B23" s="407" t="s">
        <v>885</v>
      </c>
      <c r="C23" s="416">
        <f>SUM(C24:C26)</f>
        <v>0</v>
      </c>
      <c r="D23" s="765" t="s">
        <v>994</v>
      </c>
      <c r="E23" s="343"/>
      <c r="F23" s="456" t="str">
        <f>IF(OR(AND(B24&lt;&gt;no,B24&lt;&gt;yes,B24&lt;&gt;que),AND(B25&lt;&gt;no,B25&lt;&gt;yes,B25&lt;&gt;que),AND(B26&lt;&gt;no,B26&lt;&gt;yes,B26&lt;&gt;que)),pres,IF(OR($B24=yes,$B25=yes,$B26=yes),'5-5 Cons prod'!K27,IF(AND($B24=no,$B25=no,$B26=no),"-",IF(OR($B24=que,$B25=que,$B26=que),que,pres))))</f>
        <v>Присутствует?</v>
      </c>
      <c r="G23" s="404" t="str">
        <f>IF($F23=pres,pres,IF(OR('Этап5-Обраб. отходов+перераб.'!$B$4=yes,'Этап5-Обраб. отходов+перераб.'!$B$4=no),IF(OR($B24=yes,$B25=yes,$B26=yes,),SUM('5-5 Cons prod'!V28:V30), IF(AND($B24=no,$B25=no,$B26=no),"-", IF(OR($B24=que,$B25=que,$B26=que),que, pres))),_SeF4))</f>
        <v>Присутствует?</v>
      </c>
      <c r="H23" s="404" t="str">
        <f>IF($F23=pres,pres,IF(OR('Этап5-Обраб. отходов+перераб.'!$B$4=yes,'Этап5-Обраб. отходов+перераб.'!$B$4=no),IF(OR($B24=yes,$B25=yes,$B26=yes,),SUM('5-5 Cons prod'!W28:W30), IF(AND($B24=no,$B25=no,$B26=no),"-", IF(OR($B24=que,$B25=que,$B26=que),que, pres))),_SeF4))</f>
        <v>Присутствует?</v>
      </c>
      <c r="I23" s="404" t="str">
        <f>IF($F23=pres,pres,IF(OR('Этап5-Обраб. отходов+перераб.'!$B$4=yes,'Этап5-Обраб. отходов+перераб.'!$B$4=no),IF(OR($B24=yes,$B25=yes,$B26=yes,),SUM('5-5 Cons prod'!X28:X30), IF(AND($B24=no,$B25=no,$B26=no),"-", IF(OR($B24=que,$B25=que,$B26=que),que, pres))),_SeF4))</f>
        <v>Присутствует?</v>
      </c>
      <c r="J23" s="404" t="str">
        <f>IF($F23=pres,pres,IF(OR('Этап5-Обраб. отходов+перераб.'!$B$4=yes,'Этап5-Обраб. отходов+перераб.'!$B$4=no),IF(OR($B24=yes,$B25=yes,$B26=yes,),SUM('5-5 Cons prod'!Y28:Y30), IF(AND($B24=no,$B25=no,$B26=no),"-", IF(OR($B24=que,$B25=que,$B26=que),que, pres))),_SeF4))</f>
        <v>Присутствует?</v>
      </c>
      <c r="K23" s="404" t="str">
        <f>IF($F23=pres,pres,IF(OR('Этап5-Обраб. отходов+перераб.'!$B$4=yes,'Этап5-Обраб. отходов+перераб.'!$B$4=no),IF(OR($B24=yes,$B25=yes,$B26=yes,),SUM('5-5 Cons prod'!Z28:Z30), IF(AND($B24=no,$B25=no,$B26=no),"-", IF(OR($B24=que,$B25=que,$B26=que),que, pres))),_SeF4))</f>
        <v>Присутствует?</v>
      </c>
      <c r="L23" s="404" t="str">
        <f>IF($F23=pres,pres,IF(OR('Этап5-Обраб. отходов+перераб.'!$B$4=yes,'Этап5-Обраб. отходов+перераб.'!$B$4=no),IF(OR($B24=yes,$B25=yes,$B26=yes,),SUM('5-5 Cons prod'!AA28:AA30), IF(AND($B24=no,$B25=no,$B26=no),"-", IF(OR($B24=que,$B25=que,$B26=que),que, pres))),_SeF4))</f>
        <v>Присутствует?</v>
      </c>
      <c r="M23" s="271" t="s">
        <v>119</v>
      </c>
      <c r="N23" s="458"/>
      <c r="O23" s="337" t="str">
        <f>INDEX('Range-thresholds'!$G$6:$G$73,MATCH(A23,'Range-thresholds'!$A$6:$A$73,0))</f>
        <v/>
      </c>
    </row>
    <row r="24" spans="1:15">
      <c r="A24" s="737" t="s">
        <v>998</v>
      </c>
      <c r="B24" s="669"/>
      <c r="C24" s="376"/>
      <c r="D24" s="765" t="s">
        <v>994</v>
      </c>
      <c r="E24" s="343"/>
      <c r="F24" s="452" t="str">
        <f>IF(OR($B24=yes,$B24=yes),'5-5 Cons prod'!K28, IF(OR($B24=no,$B24=no),"-", IF($B24=que,que, pres)))</f>
        <v>Присутствует?</v>
      </c>
      <c r="G24" s="278"/>
      <c r="H24" s="278"/>
      <c r="I24" s="278"/>
      <c r="J24" s="278"/>
      <c r="K24" s="278"/>
      <c r="L24" s="278"/>
      <c r="M24" s="271"/>
      <c r="N24" s="458"/>
    </row>
    <row r="25" spans="1:15" ht="37.5">
      <c r="A25" s="737" t="s">
        <v>999</v>
      </c>
      <c r="B25" s="616"/>
      <c r="C25" s="378"/>
      <c r="D25" s="765" t="s">
        <v>994</v>
      </c>
      <c r="E25" s="391"/>
      <c r="F25" s="453" t="str">
        <f>IF(OR($B25=yes,$B25=yes),'5-5 Cons prod'!K29, IF(OR($B25=no,$B25=no),"-", IF($B25=que,que, pres)))</f>
        <v>Присутствует?</v>
      </c>
      <c r="G25" s="278"/>
      <c r="H25" s="278"/>
      <c r="I25" s="278"/>
      <c r="J25" s="278"/>
      <c r="K25" s="278"/>
      <c r="L25" s="278"/>
      <c r="M25" s="271"/>
      <c r="N25" s="458"/>
    </row>
    <row r="26" spans="1:15" ht="25.5" thickBot="1">
      <c r="A26" s="737" t="s">
        <v>1000</v>
      </c>
      <c r="B26" s="615"/>
      <c r="C26" s="397"/>
      <c r="D26" s="765" t="s">
        <v>994</v>
      </c>
      <c r="E26" s="343"/>
      <c r="F26" s="452" t="str">
        <f>IF(OR($B26=yes,$B26=yes),SUM('5-5 Cons prod'!K30:K33), IF(OR($B26=no,$B26=no),"-", IF($B26=que,que, pres)))</f>
        <v>Присутствует?</v>
      </c>
      <c r="G26" s="278"/>
      <c r="H26" s="278"/>
      <c r="I26" s="278"/>
      <c r="J26" s="278"/>
      <c r="K26" s="278"/>
      <c r="L26" s="278"/>
      <c r="M26" s="271"/>
      <c r="N26" s="458"/>
    </row>
    <row r="27" spans="1:15">
      <c r="A27" s="365"/>
      <c r="B27" s="409"/>
      <c r="C27" s="374"/>
      <c r="D27" s="365"/>
      <c r="E27" s="271"/>
      <c r="F27" s="452"/>
      <c r="G27" s="278"/>
      <c r="H27" s="278"/>
      <c r="I27" s="278"/>
      <c r="J27" s="278"/>
      <c r="K27" s="278"/>
      <c r="L27" s="278"/>
      <c r="M27" s="271"/>
      <c r="N27" s="458"/>
    </row>
    <row r="28" spans="1:15" ht="26.5" thickBot="1">
      <c r="A28" s="786" t="s">
        <v>1001</v>
      </c>
      <c r="B28" s="407" t="str">
        <f>IF(OR(AND(B29&lt;&gt;no,B29&lt;&gt;yes,B29&lt;&gt;que),AND(B30&lt;&gt;no,B30&lt;&gt;yes,B30&lt;&gt;que),AND(B31&lt;&gt;no,B31&lt;&gt;yes,B31&lt;&gt;que)),pres,IF(OR($B29=yes,$B30=yes,$B31=yes),yes,IF(AND($B29=no,$B30=no,$B31=no),no,IF(OR($B29=que,$B30=que,$B31=que),que,pres))))</f>
        <v>Присутствует?</v>
      </c>
      <c r="C28" s="408">
        <f>SUM(C29:C31)</f>
        <v>0</v>
      </c>
      <c r="D28" s="787" t="s">
        <v>1005</v>
      </c>
      <c r="E28" s="406"/>
      <c r="F28" s="456" t="str">
        <f>IF(OR(AND(B29&lt;&gt;no,B29&lt;&gt;yes,B29&lt;&gt;que),AND(B30&lt;&gt;no,B30&lt;&gt;yes,B30&lt;&gt;que),AND(B31&lt;&gt;no,B31&lt;&gt;yes,B31&lt;&gt;que)),pres,IF(OR($B29=yes,$B30=yes,$B31=yes),'5-5 Cons prod'!K42,IF(AND($B29=no,$B30=no,$B31=no),"-",IF(OR($B29=que,$B30=que,$B31=que),que,pres))))</f>
        <v>Присутствует?</v>
      </c>
      <c r="G28" s="404" t="str">
        <f>IF($F28=pres,pres,IF(OR('Этап5-Обраб. отходов+перераб.'!$B$4=yes,'Этап5-Обраб. отходов+перераб.'!$B$4=no),IF(OR($B29=yes,$B30=yes,$B31=yes,),SUM('5-5 Cons prod'!V43:V45), IF(AND($B29=no,$B30=no,$B31=no),"-", IF(OR($B29=que,$B30=que,$B31=que),que, pres))),_SeF4))</f>
        <v>Присутствует?</v>
      </c>
      <c r="H28" s="404" t="str">
        <f>IF($F28=pres,pres,IF(OR('Этап5-Обраб. отходов+перераб.'!$B$4=yes,'Этап5-Обраб. отходов+перераб.'!$B$4=no),IF(OR($B29=yes,$B30=yes,$B31=yes,),SUM('5-5 Cons prod'!W43:W45), IF(AND($B29=no,$B30=no,$B31=no),"-", IF(OR($B29=que,$B30=que,$B31=que),que, pres))),_SeF4))</f>
        <v>Присутствует?</v>
      </c>
      <c r="I28" s="404" t="str">
        <f>IF($F28=pres,pres,IF(OR('Этап5-Обраб. отходов+перераб.'!$B$4=yes,'Этап5-Обраб. отходов+перераб.'!$B$4=no),IF(OR($B29=yes,$B30=yes,$B31=yes,),SUM('5-5 Cons prod'!X43:X45), IF(AND($B29=no,$B30=no,$B31=no),"-", IF(OR($B29=que,$B30=que,$B31=que),que, pres))),_SeF4))</f>
        <v>Присутствует?</v>
      </c>
      <c r="J28" s="404" t="str">
        <f>IF($F28=pres,pres,IF(OR('Этап5-Обраб. отходов+перераб.'!$B$4=yes,'Этап5-Обраб. отходов+перераб.'!$B$4=no),IF(OR($B29=yes,$B30=yes,$B31=yes,),SUM('5-5 Cons prod'!Y43:Y45), IF(AND($B29=no,$B30=no,$B31=no),"-", IF(OR($B29=que,$B30=que,$B31=que),que, pres))),_SeF4))</f>
        <v>Присутствует?</v>
      </c>
      <c r="K28" s="404" t="str">
        <f>IF($F28=pres,pres,IF(OR('Этап5-Обраб. отходов+перераб.'!$B$4=yes,'Этап5-Обраб. отходов+перераб.'!$B$4=no),IF(OR($B29=yes,$B30=yes,$B31=yes,),SUM('5-5 Cons prod'!Z43:Z45), IF(AND($B29=no,$B30=no,$B31=no),"-", IF(OR($B29=que,$B30=que,$B31=que),que, pres))),_SeF4))</f>
        <v>Присутствует?</v>
      </c>
      <c r="L28" s="404" t="str">
        <f>IF($F28=pres,pres,IF(OR('Этап5-Обраб. отходов+перераб.'!$B$4=yes,'Этап5-Обраб. отходов+перераб.'!$B$4=no),IF(OR($B29=yes,$B30=yes,$B31=yes,),SUM('5-5 Cons prod'!AA43:AA45), IF(AND($B29=no,$B30=no,$B31=no),"-", IF(OR($B29=que,$B30=que,$B31=que),que, pres))),_SeF4))</f>
        <v>Присутствует?</v>
      </c>
      <c r="M28" s="271" t="s">
        <v>131</v>
      </c>
      <c r="N28" s="458"/>
      <c r="O28" s="337" t="str">
        <f>INDEX('Range-thresholds'!$G$6:$G$73,MATCH(A28,'Range-thresholds'!$A$6:$A$73,0))</f>
        <v/>
      </c>
    </row>
    <row r="29" spans="1:15" ht="37.5">
      <c r="A29" s="737" t="s">
        <v>1002</v>
      </c>
      <c r="B29" s="669"/>
      <c r="C29" s="376"/>
      <c r="D29" s="765" t="s">
        <v>1005</v>
      </c>
      <c r="E29" s="343"/>
      <c r="F29" s="452" t="str">
        <f>IF(OR($B29=yes,$B29=yes),'5-5 Cons prod'!K43, IF(OR($B29=no,$B29=no),"-", IF($B29=que,que, pres)))</f>
        <v>Присутствует?</v>
      </c>
      <c r="G29" s="278"/>
      <c r="H29" s="278"/>
      <c r="I29" s="278"/>
      <c r="J29" s="278"/>
      <c r="K29" s="278"/>
      <c r="L29" s="278"/>
      <c r="M29" s="271"/>
      <c r="N29" s="458"/>
    </row>
    <row r="30" spans="1:15" ht="50">
      <c r="A30" s="737" t="s">
        <v>1003</v>
      </c>
      <c r="B30" s="616"/>
      <c r="C30" s="378"/>
      <c r="D30" s="765" t="s">
        <v>1005</v>
      </c>
      <c r="E30" s="343"/>
      <c r="F30" s="452" t="str">
        <f>IF(OR($B30=yes,$B30=yes),SUM('5-5 Cons prod'!K44:K46), IF(OR($B30=no,$B30=no),"-", IF($B30=que,que, pres)))</f>
        <v>Присутствует?</v>
      </c>
      <c r="G30" s="278"/>
      <c r="H30" s="278"/>
      <c r="I30" s="278"/>
      <c r="J30" s="278"/>
      <c r="K30" s="278"/>
      <c r="L30" s="278"/>
      <c r="M30" s="271"/>
      <c r="N30" s="458"/>
    </row>
    <row r="31" spans="1:15" ht="38" thickBot="1">
      <c r="A31" s="737" t="s">
        <v>1004</v>
      </c>
      <c r="B31" s="615"/>
      <c r="C31" s="397"/>
      <c r="D31" s="765" t="s">
        <v>1005</v>
      </c>
      <c r="E31" s="343"/>
      <c r="F31" s="452" t="str">
        <f>IF(OR($B31=yes,$B31=yes),SUM('5-5 Cons prod'!K47), IF(OR($B31=no,$B31=no),"-", IF($B31=que,que, pres)))</f>
        <v>Присутствует?</v>
      </c>
      <c r="G31" s="278"/>
      <c r="H31" s="278"/>
      <c r="I31" s="278"/>
      <c r="J31" s="278"/>
      <c r="K31" s="278"/>
      <c r="L31" s="278"/>
      <c r="M31" s="271"/>
      <c r="N31" s="458"/>
    </row>
    <row r="32" spans="1:15" ht="13" thickBot="1">
      <c r="A32" s="365"/>
      <c r="B32" s="398"/>
      <c r="C32" s="417"/>
      <c r="D32" s="488"/>
      <c r="E32" s="391"/>
      <c r="F32" s="452"/>
      <c r="G32" s="278"/>
      <c r="H32" s="278"/>
      <c r="I32" s="278"/>
      <c r="J32" s="278"/>
      <c r="K32" s="278"/>
      <c r="L32" s="278"/>
      <c r="M32" s="271"/>
      <c r="N32" s="458"/>
    </row>
    <row r="33" spans="1:15" ht="25.5" thickBot="1">
      <c r="A33" s="737" t="s">
        <v>1006</v>
      </c>
      <c r="B33" s="670" t="s">
        <v>887</v>
      </c>
      <c r="C33" s="419">
        <f>'Этап 1 - Информация о стране'!$B$6</f>
        <v>0</v>
      </c>
      <c r="D33" s="764" t="s">
        <v>989</v>
      </c>
      <c r="E33" s="271"/>
      <c r="F33" s="456" t="str">
        <f>IF(OR($B33=yes,$B33=yes),'5-5 Cons prod'!K51, IF(OR($B33=no,$B33=no),"-", IF($B33=que,que, pres)))</f>
        <v>-</v>
      </c>
      <c r="G33" s="405" t="str">
        <f>IF(OR('Этап5-Обраб. отходов+перераб.'!$B$4=yes,'Этап5-Обраб. отходов+перераб.'!$B$4=no),IF($B33=yes,SUM('5-5 Cons prod'!V52:V53), IF($B33=no,"-", IF($B33=que,que, pres))),_SeF4)</f>
        <v>-</v>
      </c>
      <c r="H33" s="405" t="str">
        <f>IF(OR('Этап5-Обраб. отходов+перераб.'!$B$4=yes,'Этап5-Обраб. отходов+перераб.'!$B$4=no),IF($B33=yes,SUM('5-5 Cons prod'!W52:W53), IF($B33=no,"-", IF($B33=que,que, pres))),_SeF4)</f>
        <v>-</v>
      </c>
      <c r="I33" s="405" t="str">
        <f>IF(OR('Этап5-Обраб. отходов+перераб.'!$B$4=yes,'Этап5-Обраб. отходов+перераб.'!$B$4=no),IF($B33=yes,SUM('5-5 Cons prod'!X52:X53), IF($B33=no,"-", IF($B33=que,que, pres))),_SeF4)</f>
        <v>-</v>
      </c>
      <c r="J33" s="405" t="str">
        <f>IF(OR('Этап5-Обраб. отходов+перераб.'!$B$4=yes,'Этап5-Обраб. отходов+перераб.'!$B$4=no),IF($B33=yes,SUM('5-5 Cons prod'!Y52:Y53), IF($B33=no,"-", IF($B33=que,que, pres))),_SeF4)</f>
        <v>-</v>
      </c>
      <c r="K33" s="405" t="str">
        <f>IF(OR('Этап5-Обраб. отходов+перераб.'!$B$4=yes,'Этап5-Обраб. отходов+перераб.'!$B$4=no),IF($B33=yes,SUM('5-5 Cons prod'!Z52:Z53), IF($B33=no,"-", IF($B33=que,que, pres))),_SeF4)</f>
        <v>-</v>
      </c>
      <c r="L33" s="405" t="str">
        <f>IF(OR('Этап5-Обраб. отходов+перераб.'!$B$4=yes,'Этап5-Обраб. отходов+перераб.'!$B$4=no),IF($B33=yes,SUM('5-5 Cons prod'!AA52:AA53), IF($B33=no,"-", IF($B33=que,que, pres))),_SeF4)</f>
        <v>-</v>
      </c>
      <c r="M33" s="271" t="s">
        <v>402</v>
      </c>
      <c r="N33" s="458"/>
      <c r="O33" s="337" t="str">
        <f>INDEX('Range-thresholds'!$G$6:$G$73,MATCH(A33,'Range-thresholds'!$A$6:$A$73,0))</f>
        <v/>
      </c>
    </row>
    <row r="34" spans="1:15">
      <c r="A34" s="273"/>
      <c r="B34" s="273"/>
      <c r="C34" s="487">
        <f>'Этап 1 - Информация о стране'!$D$23</f>
        <v>100</v>
      </c>
      <c r="D34" s="763" t="s">
        <v>996</v>
      </c>
      <c r="E34" s="343"/>
      <c r="F34" s="455"/>
      <c r="G34" s="405"/>
      <c r="H34" s="405"/>
      <c r="I34" s="405"/>
      <c r="J34" s="405"/>
      <c r="K34" s="405"/>
      <c r="L34" s="405"/>
      <c r="M34" s="271"/>
      <c r="N34" s="458"/>
    </row>
    <row r="35" spans="1:15" ht="13" thickBot="1">
      <c r="A35" s="365"/>
      <c r="B35" s="398"/>
      <c r="C35" s="417"/>
      <c r="D35" s="488"/>
      <c r="E35" s="391"/>
      <c r="F35" s="452"/>
      <c r="G35" s="278"/>
      <c r="H35" s="278"/>
      <c r="I35" s="278"/>
      <c r="J35" s="278"/>
      <c r="K35" s="278"/>
      <c r="L35" s="278"/>
      <c r="M35" s="271"/>
      <c r="N35" s="458"/>
    </row>
    <row r="36" spans="1:15" ht="25.5" thickBot="1">
      <c r="A36" s="737" t="s">
        <v>1007</v>
      </c>
      <c r="B36" s="617"/>
      <c r="C36" s="400"/>
      <c r="D36" s="533" t="s">
        <v>1013</v>
      </c>
      <c r="E36" s="343"/>
      <c r="F36" s="456" t="str">
        <f>IF(OR($B36=yes,$B36=yes),'5-5 Cons prod'!K61, IF(OR($B36=no,$B36=no),"-", IF($B36=que,que, pres)))</f>
        <v>Присутствует?</v>
      </c>
      <c r="G36" s="405" t="str">
        <f>IF(OR('Этап5-Обраб. отходов+перераб.'!$B$4=yes,'Этап5-Обраб. отходов+перераб.'!$B$4=no),IF($B36=yes,'5-5 Cons prod'!V61, IF($B36=no,"-", IF($B36=que,que, pres))),_SeF4)</f>
        <v>Присутствует?</v>
      </c>
      <c r="H36" s="405" t="str">
        <f>IF(OR('Этап5-Обраб. отходов+перераб.'!$B$4=yes,'Этап5-Обраб. отходов+перераб.'!$B$4=no),IF($B36=yes,'5-5 Cons prod'!W61, IF($B36=no,"-", IF($B36=que,que, pres))),_SeF4)</f>
        <v>Присутствует?</v>
      </c>
      <c r="I36" s="405" t="str">
        <f>IF(OR('Этап5-Обраб. отходов+перераб.'!$B$4=yes,'Этап5-Обраб. отходов+перераб.'!$B$4=no),IF($B36=yes,'5-5 Cons prod'!X61, IF($B36=no,"-", IF($B36=que,que, pres))),_SeF4)</f>
        <v>Присутствует?</v>
      </c>
      <c r="J36" s="405" t="str">
        <f>IF(OR('Этап5-Обраб. отходов+перераб.'!$B$4=yes,'Этап5-Обраб. отходов+перераб.'!$B$4=no),IF($B36=yes,'5-5 Cons prod'!Y61, IF($B36=no,"-", IF($B36=que,que, pres))),_SeF4)</f>
        <v>Присутствует?</v>
      </c>
      <c r="K36" s="405" t="str">
        <f>IF(OR('Этап5-Обраб. отходов+перераб.'!$B$4=yes,'Этап5-Обраб. отходов+перераб.'!$B$4=no),IF($B36=yes,'5-5 Cons prod'!Z61, IF($B36=no,"-", IF($B36=que,que, pres))),_SeF4)</f>
        <v>Присутствует?</v>
      </c>
      <c r="L36" s="405" t="str">
        <f>IF(OR('Этап5-Обраб. отходов+перераб.'!$B$4=yes,'Этап5-Обраб. отходов+перераб.'!$B$4=no),IF($B36=yes,'5-5 Cons prod'!AA61, IF($B36=no,"-", IF($B36=que,que, pres))),_SeF4)</f>
        <v>Присутствует?</v>
      </c>
      <c r="M36" s="271" t="s">
        <v>374</v>
      </c>
      <c r="N36" s="458"/>
      <c r="O36" s="337" t="str">
        <f>INDEX('Range-thresholds'!$G$6:$G$73,MATCH(A36,'Range-thresholds'!$A$6:$A$73,0))</f>
        <v/>
      </c>
    </row>
    <row r="37" spans="1:15" ht="13" thickBot="1">
      <c r="A37" s="777"/>
      <c r="B37" s="398"/>
      <c r="C37" s="417"/>
      <c r="D37" s="365"/>
      <c r="E37" s="271"/>
      <c r="F37" s="452"/>
      <c r="G37" s="278"/>
      <c r="H37" s="278"/>
      <c r="I37" s="278"/>
      <c r="J37" s="278"/>
      <c r="K37" s="278"/>
      <c r="L37" s="278"/>
      <c r="M37" s="271"/>
      <c r="N37" s="458"/>
    </row>
    <row r="38" spans="1:15" ht="25.5" thickBot="1">
      <c r="A38" s="737" t="s">
        <v>1008</v>
      </c>
      <c r="B38" s="617"/>
      <c r="C38" s="591"/>
      <c r="D38" s="785" t="s">
        <v>1014</v>
      </c>
      <c r="E38" s="272"/>
      <c r="F38" s="456" t="str">
        <f>IF(OR($B38=yes,$B38=yes),'5-5 Cons prod'!K65, IF(OR($B38=no,$B38=no),"-", IF($B38=que,que, pres)))</f>
        <v>Присутствует?</v>
      </c>
      <c r="G38" s="405" t="str">
        <f>IF(OR('Этап5-Обраб. отходов+перераб.'!$B$4=yes,'Этап5-Обраб. отходов+перераб.'!$B$4=no),IF($B38=yes,'5-5 Cons prod'!V65, IF($B38=no,"-", IF($B38=que,que, pres))),_SeF4)</f>
        <v>Присутствует?</v>
      </c>
      <c r="H38" s="405" t="str">
        <f>IF(OR('Этап5-Обраб. отходов+перераб.'!$B$4=yes,'Этап5-Обраб. отходов+перераб.'!$B$4=no),IF($B38=yes,'5-5 Cons prod'!W65, IF($B38=no,"-", IF($B38=que,que, pres))),_SeF4)</f>
        <v>Присутствует?</v>
      </c>
      <c r="I38" s="405" t="str">
        <f>IF(OR('Этап5-Обраб. отходов+перераб.'!$B$4=yes,'Этап5-Обраб. отходов+перераб.'!$B$4=no),IF($B38=yes,'5-5 Cons prod'!X65, IF($B38=no,"-", IF($B38=que,que, pres))),_SeF4)</f>
        <v>Присутствует?</v>
      </c>
      <c r="J38" s="405" t="str">
        <f>IF(OR('Этап5-Обраб. отходов+перераб.'!$B$4=yes,'Этап5-Обраб. отходов+перераб.'!$B$4=no),IF($B38=yes,'5-5 Cons prod'!Y65, IF($B38=no,"-", IF($B38=que,que, pres))),_SeF4)</f>
        <v>Присутствует?</v>
      </c>
      <c r="K38" s="405" t="str">
        <f>IF(OR('Этап5-Обраб. отходов+перераб.'!$B$4=yes,'Этап5-Обраб. отходов+перераб.'!$B$4=no),IF($B38=yes,'5-5 Cons prod'!Z65, IF($B38=no,"-", IF($B38=que,que, pres))),_SeF4)</f>
        <v>Присутствует?</v>
      </c>
      <c r="L38" s="405" t="str">
        <f>IF(OR('Этап5-Обраб. отходов+перераб.'!$B$4=yes,'Этап5-Обраб. отходов+перераб.'!$B$4=no),IF($B38=yes,'5-5 Cons prod'!AA65, IF($B38=no,"-", IF($B38=que,que, pres))),_SeF4)</f>
        <v>Присутствует?</v>
      </c>
      <c r="M38" s="271" t="s">
        <v>401</v>
      </c>
      <c r="N38" s="458"/>
      <c r="O38" s="337" t="str">
        <f>INDEX('Range-thresholds'!$G$6:$G$73,MATCH(A38,'Range-thresholds'!$A$6:$A$73,0))</f>
        <v/>
      </c>
    </row>
    <row r="39" spans="1:15" ht="13" thickBot="1">
      <c r="A39" s="777"/>
      <c r="B39" s="398"/>
      <c r="C39" s="417"/>
      <c r="D39" s="365"/>
      <c r="E39" s="271"/>
      <c r="F39" s="452"/>
      <c r="G39" s="278"/>
      <c r="H39" s="278"/>
      <c r="I39" s="278"/>
      <c r="J39" s="278"/>
      <c r="K39" s="278"/>
      <c r="L39" s="278"/>
      <c r="M39" s="271"/>
      <c r="N39" s="458"/>
    </row>
    <row r="40" spans="1:15" ht="25.5" thickBot="1">
      <c r="A40" s="737" t="s">
        <v>1009</v>
      </c>
      <c r="B40" s="617"/>
      <c r="C40" s="400"/>
      <c r="D40" s="533" t="s">
        <v>994</v>
      </c>
      <c r="E40" s="343"/>
      <c r="F40" s="456" t="str">
        <f>IF(OR($B40=yes,$B40=yes),'5-6 Other int use'!K15, IF(OR($B40=no,$B40=no),"-", IF($B40=que,que, pres)))</f>
        <v>Присутствует?</v>
      </c>
      <c r="G40" s="405" t="str">
        <f>IF(OR('Этап5-Обраб. отходов+перераб.'!$B$4=yes,'Этап5-Обраб. отходов+перераб.'!$B$4=no),IF($B40=yes,'5-6 Other int use'!V15, IF($B40=no,"-", IF($B40=que,que, pres))),_SeF4)</f>
        <v>Присутствует?</v>
      </c>
      <c r="H40" s="405" t="str">
        <f>IF(OR('Этап5-Обраб. отходов+перераб.'!$B$4=yes,'Этап5-Обраб. отходов+перераб.'!$B$4=no),IF($B40=yes,'5-6 Other int use'!W15, IF($B40=no,"-", IF($B40=que,que, pres))),_SeF4)</f>
        <v>Присутствует?</v>
      </c>
      <c r="I40" s="405" t="str">
        <f>IF(OR('Этап5-Обраб. отходов+перераб.'!$B$4=yes,'Этап5-Обраб. отходов+перераб.'!$B$4=no),IF($B40=yes,'5-6 Other int use'!X15, IF($B40=no,"-", IF($B40=que,que, pres))),_SeF4)</f>
        <v>Присутствует?</v>
      </c>
      <c r="J40" s="405" t="str">
        <f>IF(OR('Этап5-Обраб. отходов+перераб.'!$B$4=yes,'Этап5-Обраб. отходов+перераб.'!$B$4=no),IF($B40=yes,'5-6 Other int use'!Y15, IF($B40=no,"-", IF($B40=que,que, pres))),_SeF4)</f>
        <v>Присутствует?</v>
      </c>
      <c r="K40" s="405" t="str">
        <f>IF(OR('Этап5-Обраб. отходов+перераб.'!$B$4=yes,'Этап5-Обраб. отходов+перераб.'!$B$4=no),IF($B40=yes,'5-6 Other int use'!Z15, IF($B40=no,"-", IF($B40=que,que, pres))),_SeF4)</f>
        <v>Присутствует?</v>
      </c>
      <c r="L40" s="405" t="str">
        <f>IF(OR('Этап5-Обраб. отходов+перераб.'!$B$4=yes,'Этап5-Обраб. отходов+перераб.'!$B$4=no),IF($B40=yes,'5-6 Other int use'!AA15, IF($B40=no,"-", IF($B40=que,que, pres))),_SeF4)</f>
        <v>Присутствует?</v>
      </c>
      <c r="M40" s="271" t="s">
        <v>226</v>
      </c>
      <c r="N40" s="458"/>
      <c r="O40" s="337" t="str">
        <f>INDEX('Range-thresholds'!$G$6:$G$73,MATCH(A40,'Range-thresholds'!$A$6:$A$73,0))</f>
        <v/>
      </c>
    </row>
    <row r="41" spans="1:15" ht="13" thickBot="1">
      <c r="A41" s="777"/>
      <c r="B41" s="398"/>
      <c r="C41" s="417"/>
      <c r="D41" s="365"/>
      <c r="E41" s="271"/>
      <c r="F41" s="452"/>
      <c r="G41" s="278"/>
      <c r="H41" s="278"/>
      <c r="I41" s="278"/>
      <c r="J41" s="278"/>
      <c r="K41" s="278"/>
      <c r="L41" s="278"/>
      <c r="M41" s="271"/>
      <c r="N41" s="458"/>
    </row>
    <row r="42" spans="1:15" ht="13" thickBot="1">
      <c r="A42" s="737" t="s">
        <v>1010</v>
      </c>
      <c r="B42" s="666"/>
      <c r="C42" s="419">
        <f>'Этап 1 - Информация о стране'!$B$6</f>
        <v>0</v>
      </c>
      <c r="D42" s="365" t="s">
        <v>989</v>
      </c>
      <c r="E42" s="271"/>
      <c r="F42" s="456" t="str">
        <f>IF(OR($B42=yes,$B42=yes),'5-6 Other int use'!K24, IF(OR($B42=no,$B42=no),"-", IF($B42=que,que, pres)))</f>
        <v>Присутствует?</v>
      </c>
      <c r="G42" s="405" t="str">
        <f>IF(OR('Этап5-Обраб. отходов+перераб.'!$B$4=yes,'Этап5-Обраб. отходов+перераб.'!$B$4=no),IF($B42=yes,'5-6 Other int use'!V24, IF($B42=no,"-", IF($B42=que,que, pres))),_SeF4)</f>
        <v>Присутствует?</v>
      </c>
      <c r="H42" s="405" t="str">
        <f>IF(OR('Этап5-Обраб. отходов+перераб.'!$B$4=yes,'Этап5-Обраб. отходов+перераб.'!$B$4=no),IF($B42=yes,'5-6 Other int use'!W24, IF($B42=no,"-", IF($B42=que,que, pres))),_SeF4)</f>
        <v>Присутствует?</v>
      </c>
      <c r="I42" s="405" t="str">
        <f>IF(OR('Этап5-Обраб. отходов+перераб.'!$B$4=yes,'Этап5-Обраб. отходов+перераб.'!$B$4=no),IF($B42=yes,'5-6 Other int use'!X24, IF($B42=no,"-", IF($B42=que,que, pres))),_SeF4)</f>
        <v>Присутствует?</v>
      </c>
      <c r="J42" s="405" t="str">
        <f>IF(OR('Этап5-Обраб. отходов+перераб.'!$B$4=yes,'Этап5-Обраб. отходов+перераб.'!$B$4=no),IF($B42=yes,'5-6 Other int use'!Y24, IF($B42=no,"-", IF($B42=que,que, pres))),_SeF4)</f>
        <v>Присутствует?</v>
      </c>
      <c r="K42" s="405" t="str">
        <f>IF(OR('Этап5-Обраб. отходов+перераб.'!$B$4=yes,'Этап5-Обраб. отходов+перераб.'!$B$4=no),IF($B42=yes,'5-6 Other int use'!Z24, IF($B42=no,"-", IF($B42=que,que, pres))),_SeF4)</f>
        <v>Присутствует?</v>
      </c>
      <c r="L42" s="405" t="str">
        <f>IF(OR('Этап5-Обраб. отходов+перераб.'!$B$4=yes,'Этап5-Обраб. отходов+перераб.'!$B$4=no),IF($B42=yes,'5-6 Other int use'!AA24, IF($B42=no,"-", IF($B42=que,que, pres))),_SeF4)</f>
        <v>Присутствует?</v>
      </c>
      <c r="M42" s="271" t="s">
        <v>226</v>
      </c>
      <c r="N42" s="458"/>
      <c r="O42" s="337" t="str">
        <f>INDEX('Range-thresholds'!$G$6:$G$73,MATCH(A42,'Range-thresholds'!$A$6:$A$73,0))</f>
        <v/>
      </c>
    </row>
    <row r="43" spans="1:15" ht="25">
      <c r="A43" s="788"/>
      <c r="B43" s="273"/>
      <c r="C43" s="487">
        <f>'Этап 1 - Информация о стране'!$D$23</f>
        <v>100</v>
      </c>
      <c r="D43" s="533" t="s">
        <v>996</v>
      </c>
      <c r="E43" s="343"/>
      <c r="F43" s="455"/>
      <c r="G43" s="405"/>
      <c r="H43" s="405"/>
      <c r="I43" s="405"/>
      <c r="J43" s="405"/>
      <c r="K43" s="405"/>
      <c r="L43" s="405"/>
      <c r="M43" s="271"/>
      <c r="N43" s="458"/>
    </row>
    <row r="44" spans="1:15" ht="13" thickBot="1">
      <c r="A44" s="788"/>
      <c r="B44" s="488"/>
      <c r="C44" s="487"/>
      <c r="D44" s="533"/>
      <c r="E44" s="343"/>
      <c r="F44" s="455"/>
      <c r="G44" s="405"/>
      <c r="H44" s="405"/>
      <c r="I44" s="405"/>
      <c r="J44" s="405"/>
      <c r="K44" s="405"/>
      <c r="L44" s="405"/>
      <c r="M44" s="271"/>
      <c r="N44" s="458"/>
    </row>
    <row r="45" spans="1:15" ht="13" thickBot="1">
      <c r="A45" s="737" t="s">
        <v>1011</v>
      </c>
      <c r="B45" s="666"/>
      <c r="C45" s="419">
        <f>'Этап 1 - Информация о стране'!$B$6</f>
        <v>0</v>
      </c>
      <c r="D45" s="365" t="s">
        <v>989</v>
      </c>
      <c r="E45" s="271"/>
      <c r="F45" s="456" t="str">
        <f>IF(OR($B45=yes,$B45=yes),'5-6 Other int use'!K37, IF(OR($B45=no,$B45=no),"-", IF($B45=que,que, pres)))</f>
        <v>Присутствует?</v>
      </c>
      <c r="G45" s="405" t="str">
        <f>IF(OR('Этап5-Обраб. отходов+перераб.'!$B$4=yes,'Этап5-Обраб. отходов+перераб.'!$B$4=no),IF($B45=yes,'5-6 Other int use'!V37, IF($B45=no,"-", IF($B45=que,que, pres))),_SeF4)</f>
        <v>Присутствует?</v>
      </c>
      <c r="H45" s="405" t="str">
        <f>IF(OR('Этап5-Обраб. отходов+перераб.'!$B$4=yes,'Этап5-Обраб. отходов+перераб.'!$B$4=no),IF($B45=yes,'5-6 Other int use'!W37, IF($B45=no,"-", IF($B45=que,que, pres))),_SeF4)</f>
        <v>Присутствует?</v>
      </c>
      <c r="I45" s="405" t="str">
        <f>IF(OR('Этап5-Обраб. отходов+перераб.'!$B$4=yes,'Этап5-Обраб. отходов+перераб.'!$B$4=no),IF($B45=yes,'5-6 Other int use'!X37, IF($B45=no,"-", IF($B45=que,que, pres))),_SeF4)</f>
        <v>Присутствует?</v>
      </c>
      <c r="J45" s="405" t="str">
        <f>IF(OR('Этап5-Обраб. отходов+перераб.'!$B$4=yes,'Этап5-Обраб. отходов+перераб.'!$B$4=no),IF($B45=yes,'5-6 Other int use'!Y37, IF($B45=no,"-", IF($B45=que,que, pres))),_SeF4)</f>
        <v>Присутствует?</v>
      </c>
      <c r="K45" s="405" t="str">
        <f>IF(OR('Этап5-Обраб. отходов+перераб.'!$B$4=yes,'Этап5-Обраб. отходов+перераб.'!$B$4=no),IF($B45=yes,'5-6 Other int use'!Z37, IF($B45=no,"-", IF($B45=que,que, pres))),_SeF4)</f>
        <v>Присутствует?</v>
      </c>
      <c r="L45" s="405" t="str">
        <f>IF(OR('Этап5-Обраб. отходов+перераб.'!$B$4=yes,'Этап5-Обраб. отходов+перераб.'!$B$4=no),IF($B45=yes,'5-6 Other int use'!AA37, IF($B45=no,"-", IF($B45=que,que, pres))),_SeF4)</f>
        <v>Присутствует?</v>
      </c>
      <c r="M45" s="271" t="s">
        <v>230</v>
      </c>
      <c r="N45" s="458"/>
      <c r="O45" s="337" t="str">
        <f>INDEX('Range-thresholds'!$G$6:$G$73,MATCH(A45,'Range-thresholds'!$A$6:$A$73,0))</f>
        <v/>
      </c>
    </row>
    <row r="46" spans="1:15" ht="25">
      <c r="A46" s="788"/>
      <c r="B46" s="273"/>
      <c r="C46" s="487">
        <f>'Этап 1 - Информация о стране'!$D$23</f>
        <v>100</v>
      </c>
      <c r="D46" s="533" t="s">
        <v>996</v>
      </c>
      <c r="E46" s="343"/>
      <c r="F46" s="455"/>
      <c r="G46" s="405"/>
      <c r="H46" s="405"/>
      <c r="I46" s="405"/>
      <c r="J46" s="405"/>
      <c r="K46" s="405"/>
      <c r="L46" s="405"/>
      <c r="M46" s="271"/>
      <c r="N46" s="458"/>
    </row>
    <row r="47" spans="1:15" ht="13" thickBot="1">
      <c r="A47" s="788"/>
      <c r="B47" s="488"/>
      <c r="C47" s="487"/>
      <c r="D47" s="533"/>
      <c r="E47" s="343"/>
      <c r="F47" s="455"/>
      <c r="G47" s="405"/>
      <c r="H47" s="405"/>
      <c r="I47" s="405"/>
      <c r="J47" s="405"/>
      <c r="K47" s="405"/>
      <c r="L47" s="405"/>
      <c r="M47" s="271"/>
      <c r="N47" s="458"/>
    </row>
    <row r="48" spans="1:15" ht="25.5" thickBot="1">
      <c r="A48" s="737" t="s">
        <v>1012</v>
      </c>
      <c r="B48" s="666"/>
      <c r="C48" s="419">
        <f>'Этап 1 - Информация о стране'!$B$6</f>
        <v>0</v>
      </c>
      <c r="D48" s="365" t="s">
        <v>989</v>
      </c>
      <c r="E48" s="271"/>
      <c r="F48" s="456" t="str">
        <f>IF(OR($B48=yes,$B48=yes),'5-6 Other int use'!K38, IF(OR($B48=no,$B48=no),"-", IF($B48=que,que, pres)))</f>
        <v>Присутствует?</v>
      </c>
      <c r="G48" s="405" t="str">
        <f>IF(OR('Этап5-Обраб. отходов+перераб.'!$B$4=yes,'Этап5-Обраб. отходов+перераб.'!$B$4=no),IF($B48=yes,'5-6 Other int use'!V38, IF($B48=no,"-", IF($B48=que,que, pres))),_SeF4)</f>
        <v>Присутствует?</v>
      </c>
      <c r="H48" s="405" t="str">
        <f>IF(OR('Этап5-Обраб. отходов+перераб.'!$B$4=yes,'Этап5-Обраб. отходов+перераб.'!$B$4=no),IF($B48=yes,'5-6 Other int use'!W38, IF($B48=no,"-", IF($B48=que,que, pres))),_SeF4)</f>
        <v>Присутствует?</v>
      </c>
      <c r="I48" s="405" t="str">
        <f>IF(OR('Этап5-Обраб. отходов+перераб.'!$B$4=yes,'Этап5-Обраб. отходов+перераб.'!$B$4=no),IF($B48=yes,'5-6 Other int use'!X38, IF($B48=no,"-", IF($B48=que,que, pres))),_SeF4)</f>
        <v>Присутствует?</v>
      </c>
      <c r="J48" s="405" t="str">
        <f>IF(OR('Этап5-Обраб. отходов+перераб.'!$B$4=yes,'Этап5-Обраб. отходов+перераб.'!$B$4=no),IF($B48=yes,'5-6 Other int use'!Y38, IF($B48=no,"-", IF($B48=que,que, pres))),_SeF4)</f>
        <v>Присутствует?</v>
      </c>
      <c r="K48" s="405" t="str">
        <f>IF(OR('Этап5-Обраб. отходов+перераб.'!$B$4=yes,'Этап5-Обраб. отходов+перераб.'!$B$4=no),IF($B48=yes,'5-6 Other int use'!Z38, IF($B48=no,"-", IF($B48=que,que, pres))),_SeF4)</f>
        <v>Присутствует?</v>
      </c>
      <c r="L48" s="405" t="str">
        <f>IF(OR('Этап5-Обраб. отходов+перераб.'!$B$4=yes,'Этап5-Обраб. отходов+перераб.'!$B$4=no),IF($B48=yes,'5-6 Other int use'!AA38, IF($B48=no,"-", IF($B48=que,que, pres))),_SeF4)</f>
        <v>Присутствует?</v>
      </c>
      <c r="M48" s="365" t="s">
        <v>375</v>
      </c>
      <c r="N48" s="458"/>
      <c r="O48" s="337" t="str">
        <f>INDEX('Range-thresholds'!$G$6:$G$73,MATCH(A48,'Range-thresholds'!$A$6:$A$73,0))</f>
        <v/>
      </c>
    </row>
    <row r="49" spans="1:14" ht="25">
      <c r="A49" s="273"/>
      <c r="B49" s="273"/>
      <c r="C49" s="487">
        <f>'Этап 1 - Информация о стране'!$D$23</f>
        <v>100</v>
      </c>
      <c r="D49" s="533" t="s">
        <v>996</v>
      </c>
      <c r="E49" s="343"/>
      <c r="F49" s="455"/>
      <c r="G49" s="405"/>
      <c r="H49" s="405"/>
      <c r="I49" s="405"/>
      <c r="J49" s="405"/>
      <c r="K49" s="405"/>
      <c r="L49" s="405"/>
      <c r="M49" s="271"/>
      <c r="N49" s="458"/>
    </row>
    <row r="51" spans="1:14">
      <c r="A51" s="595"/>
    </row>
    <row r="52" spans="1:14">
      <c r="A52" s="870"/>
    </row>
    <row r="53" spans="1:14">
      <c r="A53" s="593"/>
    </row>
  </sheetData>
  <sheetProtection algorithmName="SHA-512" hashValue="mdnBjwEiitLubiAK3Rb5HcGXu5qk8EtrExtplGEoP/ja0/a9BB2M024M15PDo7uV6OUZvYMe/FfUZtE9gwRZwQ==" saltValue="+GhKEKju+abJmNxZpFQodw==" spinCount="100000" sheet="1" objects="1" scenarios="1"/>
  <mergeCells count="5">
    <mergeCell ref="G3:L3"/>
    <mergeCell ref="A2:M2"/>
    <mergeCell ref="F5:F6"/>
    <mergeCell ref="G5:M5"/>
    <mergeCell ref="G6:M6"/>
  </mergeCells>
  <conditionalFormatting sqref="F7 F15 F20 F23 F28 F33 F36 F38 F40 F42 F45 F48">
    <cfRule type="expression" dxfId="16" priority="13" stopIfTrue="1">
      <formula>AND(B7="y",O7="n")</formula>
    </cfRule>
  </conditionalFormatting>
  <conditionalFormatting sqref="A2">
    <cfRule type="expression" dxfId="15" priority="12" stopIfTrue="1">
      <formula>$A$2&lt;&gt;""</formula>
    </cfRule>
  </conditionalFormatting>
  <conditionalFormatting sqref="E13:G13 E12:H12">
    <cfRule type="expression" dxfId="14" priority="5">
      <formula>OR($E$7="y", $E$7="s", $E$7="o", $E$7="Да")</formula>
    </cfRule>
  </conditionalFormatting>
  <conditionalFormatting sqref="H13">
    <cfRule type="expression" dxfId="13" priority="4">
      <formula>OR($E$7="y", $E$7="s", $E$7="o", $E$7="Да")</formula>
    </cfRule>
  </conditionalFormatting>
  <conditionalFormatting sqref="G13">
    <cfRule type="expression" dxfId="12" priority="3">
      <formula>$F$13&lt;0</formula>
    </cfRule>
  </conditionalFormatting>
  <conditionalFormatting sqref="D13">
    <cfRule type="expression" dxfId="11" priority="2">
      <formula>$G$13&lt;0</formula>
    </cfRule>
  </conditionalFormatting>
  <dataValidations count="7">
    <dataValidation type="list" allowBlank="1" showDropDown="1" showInputMessage="1" showErrorMessage="1" errorTitle="Input error" error="Enter only y, n or ? (or translation of these)" sqref="B19 B32 B34:B35 B37 B39 B41 B43:B44 B46:B47" xr:uid="{00000000-0002-0000-0C00-000000000000}">
      <formula1>yn?</formula1>
    </dataValidation>
    <dataValidation type="list" allowBlank="1" showInputMessage="1" showErrorMessage="1" errorTitle="Input error" error="Enter only y, n or ? (or translation of these)" sqref="B15 B28 B23" xr:uid="{00000000-0002-0000-0C00-000001000000}">
      <formula1>yn?</formula1>
    </dataValidation>
    <dataValidation type="list" allowBlank="1" showInputMessage="1" showErrorMessage="1" sqref="E7" xr:uid="{00000000-0002-0000-0C00-000002000000}">
      <formula1>yn</formula1>
    </dataValidation>
    <dataValidation allowBlank="1" showInputMessage="1" showErrorMessage="1" prompt="Чтобы вернуться к стандартным настройкам контроля, выберите стандартные настройки во вкладке «Стандартные настройки контроля» для соответствующей подкатегории." sqref="M13" xr:uid="{00000000-0002-0000-0C00-000003000000}"/>
    <dataValidation type="list" allowBlank="1" showInputMessage="1" showErrorMessage="1" error="Введите только да или нет" prompt="Впишите только да, нет или ?" sqref="B7 B16:B18 B20 B24:B26 B29:B31 B33 B36 B38 B40 B42 B45 B48" xr:uid="{00000000-0002-0000-0C00-000004000000}">
      <formula1>yn?</formula1>
    </dataValidation>
    <dataValidation type="decimal" allowBlank="1" showInputMessage="1" showErrorMessage="1" errorTitle="Input error" error="Use digits and decimal mark only." prompt="Используйте только цифры и десятичную метку" sqref="C16:C18 C24:C26 C29:C31 C36 C38 C40 C40" xr:uid="{00000000-0002-0000-0C00-000005000000}">
      <formula1>-9.99999999999999E+22</formula1>
      <formula2>9.99999999999999E+22</formula2>
    </dataValidation>
    <dataValidation allowBlank="1" showInputMessage="1" showErrorMessage="1" prompt="Укажите процент общего фактора входа, используемый на объектах с вышеуказанной конфигурацией системы контроля." sqref="H13" xr:uid="{00000000-0002-0000-0C00-000006000000}"/>
  </dataValidations>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7" id="{93A2D4A2-7FB4-4F36-8536-C9BBE7D0CD0D}">
            <xm:f>'Вставьте рез. яч. IL2 '!$K$51&lt;&gt;""</xm:f>
            <x14:dxf>
              <font>
                <color rgb="FFFF0000"/>
              </font>
            </x14:dxf>
          </x14:cfRule>
          <xm:sqref>A52</xm:sqref>
        </x14:conditionalFormatting>
        <x14:conditionalFormatting xmlns:xm="http://schemas.microsoft.com/office/excel/2006/main">
          <x14:cfRule type="expression" priority="1" id="{6D437C2E-AF25-4CE9-B5CF-BB145D0507B3}">
            <xm:f>OR($G$13&lt;&gt;'Controls defaults'!$C$56,$H$13&lt;&gt;'Controls defaults'!$D$56,$I$13&lt;&gt;'Controls defaults'!$E$56,$J$13&lt;&gt;'Controls defaults'!$F$56,$K$13&lt;&gt;'Controls defaults'!$G$56,$L$13&lt;&gt;'Controls defaults'!$H$56)</xm:f>
            <x14:dxf>
              <font>
                <color theme="1"/>
              </font>
              <fill>
                <patternFill>
                  <bgColor theme="8" tint="0.39994506668294322"/>
                </patternFill>
              </fill>
            </x14:dxf>
          </x14:cfRule>
          <xm:sqref>M13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K237"/>
  <sheetViews>
    <sheetView topLeftCell="A138" zoomScale="112" zoomScaleNormal="70" workbookViewId="0">
      <selection activeCell="I202" sqref="I202"/>
    </sheetView>
  </sheetViews>
  <sheetFormatPr defaultColWidth="8.81640625" defaultRowHeight="12.5"/>
  <cols>
    <col min="1" max="1" width="26" customWidth="1"/>
    <col min="2" max="2" width="14" customWidth="1"/>
    <col min="3" max="3" width="9.1796875" style="8"/>
    <col min="4" max="5" width="11.1796875" customWidth="1"/>
    <col min="6" max="6" width="10.1796875" customWidth="1"/>
    <col min="7" max="7" width="9.1796875" style="3"/>
    <col min="8" max="8" width="14.453125" customWidth="1"/>
    <col min="9" max="9" width="22.1796875" style="491" customWidth="1"/>
    <col min="10" max="10" width="18.453125" customWidth="1"/>
  </cols>
  <sheetData>
    <row r="1" spans="1:11" ht="13">
      <c r="A1" s="305" t="s">
        <v>686</v>
      </c>
      <c r="B1" s="8"/>
    </row>
    <row r="2" spans="1:11" ht="13">
      <c r="A2" s="5" t="s">
        <v>452</v>
      </c>
      <c r="B2" s="8"/>
    </row>
    <row r="3" spans="1:11" ht="13">
      <c r="A3" s="5" t="s">
        <v>453</v>
      </c>
      <c r="B3" s="8"/>
    </row>
    <row r="4" spans="1:11" ht="13">
      <c r="A4" s="5" t="s">
        <v>454</v>
      </c>
      <c r="B4" s="8"/>
    </row>
    <row r="6" spans="1:11">
      <c r="D6" s="3"/>
      <c r="E6" s="3"/>
      <c r="F6" s="3"/>
    </row>
    <row r="7" spans="1:11" ht="88">
      <c r="A7" s="125" t="s">
        <v>455</v>
      </c>
      <c r="B7" s="126" t="s">
        <v>571</v>
      </c>
      <c r="C7" s="126" t="s">
        <v>584</v>
      </c>
      <c r="D7" s="126" t="s">
        <v>668</v>
      </c>
      <c r="E7" s="126" t="s">
        <v>669</v>
      </c>
      <c r="F7" s="126" t="s">
        <v>670</v>
      </c>
      <c r="G7" s="66" t="s">
        <v>671</v>
      </c>
      <c r="K7" s="498"/>
    </row>
    <row r="8" spans="1:11" s="513" customFormat="1" ht="13">
      <c r="A8" s="818" t="s">
        <v>1180</v>
      </c>
      <c r="B8" s="508">
        <v>0</v>
      </c>
      <c r="C8" s="509">
        <v>100</v>
      </c>
      <c r="D8" s="510">
        <v>0.82919079065322876</v>
      </c>
      <c r="E8" s="510"/>
      <c r="F8" s="511"/>
      <c r="G8" s="3"/>
      <c r="H8" s="514"/>
    </row>
    <row r="9" spans="1:11" s="513" customFormat="1" ht="13">
      <c r="A9" s="859" t="s">
        <v>456</v>
      </c>
      <c r="B9" s="860">
        <v>33736494</v>
      </c>
      <c r="C9" s="861">
        <v>15.5</v>
      </c>
      <c r="D9" s="862">
        <f t="shared" ref="D9:D16" si="0">IF(E9&lt;$B$211,$B$211,E9)</f>
        <v>2.8528733178973198E-2</v>
      </c>
      <c r="E9" s="862">
        <v>2.8528733178973198E-2</v>
      </c>
      <c r="F9" s="863">
        <v>2001</v>
      </c>
      <c r="G9" s="3" t="s">
        <v>582</v>
      </c>
      <c r="H9" s="514"/>
    </row>
    <row r="10" spans="1:11">
      <c r="A10" s="864" t="s">
        <v>585</v>
      </c>
      <c r="B10" s="860">
        <v>2923352</v>
      </c>
      <c r="C10" s="861">
        <v>100</v>
      </c>
      <c r="D10" s="862">
        <f t="shared" si="0"/>
        <v>0.44522741436958313</v>
      </c>
      <c r="E10" s="862">
        <v>0.44522741436958313</v>
      </c>
      <c r="F10" s="863">
        <v>1998</v>
      </c>
      <c r="K10" s="48"/>
    </row>
    <row r="11" spans="1:11" ht="14.5">
      <c r="A11" s="859" t="s">
        <v>457</v>
      </c>
      <c r="B11" s="492">
        <v>39871528</v>
      </c>
      <c r="C11" s="861">
        <v>99.3</v>
      </c>
      <c r="D11" s="862">
        <f t="shared" si="0"/>
        <v>0.3055395781993866</v>
      </c>
      <c r="E11" s="862">
        <v>0.3055395781993866</v>
      </c>
      <c r="F11" s="863">
        <v>2002</v>
      </c>
      <c r="G11" s="3" t="s">
        <v>582</v>
      </c>
      <c r="K11" s="48"/>
    </row>
    <row r="12" spans="1:11" ht="14.5">
      <c r="A12" s="859" t="s">
        <v>586</v>
      </c>
      <c r="B12" s="492">
        <v>78014</v>
      </c>
      <c r="C12" s="861">
        <v>99.8</v>
      </c>
      <c r="D12" s="862">
        <f t="shared" si="0"/>
        <v>0.66666668653488159</v>
      </c>
      <c r="E12" s="862">
        <v>0.66666668653488159</v>
      </c>
      <c r="F12" s="863">
        <v>2003</v>
      </c>
      <c r="K12" s="48"/>
    </row>
    <row r="13" spans="1:11" ht="14.5">
      <c r="A13" s="864" t="s">
        <v>458</v>
      </c>
      <c r="B13" s="492">
        <v>27859305</v>
      </c>
      <c r="C13" s="861">
        <v>26.2</v>
      </c>
      <c r="D13" s="862">
        <f t="shared" si="0"/>
        <v>1.6919938474893571E-2</v>
      </c>
      <c r="E13" s="862">
        <v>1.7471826868131757E-4</v>
      </c>
      <c r="F13" s="863">
        <v>1997</v>
      </c>
      <c r="G13" s="3" t="s">
        <v>582</v>
      </c>
      <c r="K13" s="515"/>
    </row>
    <row r="14" spans="1:11" ht="14.5">
      <c r="A14" s="859" t="s">
        <v>587</v>
      </c>
      <c r="B14" s="492">
        <v>99923</v>
      </c>
      <c r="C14" s="861">
        <v>99.8</v>
      </c>
      <c r="D14" s="862">
        <f t="shared" si="0"/>
        <v>0.18840579688549042</v>
      </c>
      <c r="E14" s="862">
        <v>0.18840579688549042</v>
      </c>
      <c r="F14" s="863">
        <v>1997</v>
      </c>
      <c r="I14" s="493"/>
    </row>
    <row r="15" spans="1:11" ht="14.5">
      <c r="A15" s="859" t="s">
        <v>459</v>
      </c>
      <c r="B15" s="492">
        <v>43417765</v>
      </c>
      <c r="C15" s="861">
        <v>97.2</v>
      </c>
      <c r="D15" s="862">
        <f t="shared" si="0"/>
        <v>0.79938042163848877</v>
      </c>
      <c r="E15" s="862">
        <v>0.79938042163848877</v>
      </c>
      <c r="F15" s="863">
        <v>1998</v>
      </c>
      <c r="G15" s="36" t="s">
        <v>582</v>
      </c>
      <c r="I15" s="493"/>
    </row>
    <row r="16" spans="1:11" ht="14.5">
      <c r="A16" s="859" t="s">
        <v>460</v>
      </c>
      <c r="B16" s="492">
        <v>2916950</v>
      </c>
      <c r="C16" s="861">
        <v>99.8</v>
      </c>
      <c r="D16" s="862">
        <f t="shared" si="0"/>
        <v>0.26200586557388306</v>
      </c>
      <c r="E16" s="862">
        <v>0.26200586557388306</v>
      </c>
      <c r="F16" s="863">
        <v>2003</v>
      </c>
      <c r="I16" s="493"/>
    </row>
    <row r="17" spans="1:9" ht="14.5">
      <c r="A17" s="859" t="s">
        <v>588</v>
      </c>
      <c r="B17" s="492">
        <v>23799556</v>
      </c>
      <c r="C17" s="861">
        <v>99.8</v>
      </c>
      <c r="D17" s="862">
        <f>IF(E17&lt;$B$209,$B$209,E17)</f>
        <v>1.1004546880722046</v>
      </c>
      <c r="E17" s="862">
        <v>1.1004546880722046</v>
      </c>
      <c r="F17" s="863">
        <v>2001</v>
      </c>
      <c r="G17" s="36" t="s">
        <v>572</v>
      </c>
      <c r="I17" s="493"/>
    </row>
    <row r="18" spans="1:9" ht="14.5">
      <c r="A18" s="859" t="s">
        <v>461</v>
      </c>
      <c r="B18" s="492">
        <v>8678657</v>
      </c>
      <c r="C18" s="861">
        <v>100</v>
      </c>
      <c r="D18" s="862">
        <v>0.49741253256797791</v>
      </c>
      <c r="E18" s="862">
        <v>0.49741253256797791</v>
      </c>
      <c r="F18" s="863">
        <v>2003</v>
      </c>
      <c r="G18" s="36" t="s">
        <v>572</v>
      </c>
      <c r="I18" s="493"/>
    </row>
    <row r="19" spans="1:9" ht="14.5">
      <c r="A19" s="859" t="s">
        <v>589</v>
      </c>
      <c r="B19" s="492">
        <v>9617484</v>
      </c>
      <c r="C19" s="861">
        <v>100</v>
      </c>
      <c r="D19" s="862">
        <f t="shared" ref="D19:D24" si="1">IF(E19&lt;$B$211,$B$211,E19)</f>
        <v>0.271445631980896</v>
      </c>
      <c r="E19" s="862">
        <v>0.271445631980896</v>
      </c>
      <c r="F19" s="863">
        <v>2003</v>
      </c>
      <c r="I19" s="493"/>
    </row>
    <row r="20" spans="1:9" ht="14.5">
      <c r="A20" s="859" t="s">
        <v>590</v>
      </c>
      <c r="B20" s="492">
        <v>386838</v>
      </c>
      <c r="C20" s="861">
        <v>100</v>
      </c>
      <c r="D20" s="862">
        <f t="shared" si="1"/>
        <v>7.0945948362350464E-2</v>
      </c>
      <c r="E20" s="862">
        <v>7.0945948362350464E-2</v>
      </c>
      <c r="F20" s="863">
        <v>1998</v>
      </c>
      <c r="I20" s="493"/>
    </row>
    <row r="21" spans="1:9" ht="14.5">
      <c r="A21" s="859" t="s">
        <v>462</v>
      </c>
      <c r="B21" s="492">
        <v>1371855</v>
      </c>
      <c r="C21" s="861">
        <v>99.4</v>
      </c>
      <c r="D21" s="862">
        <f t="shared" si="1"/>
        <v>0.46278753876686096</v>
      </c>
      <c r="E21" s="862">
        <v>0.46278753876686096</v>
      </c>
      <c r="F21" s="863">
        <v>2004</v>
      </c>
      <c r="G21" s="36" t="s">
        <v>582</v>
      </c>
      <c r="I21" s="493"/>
    </row>
    <row r="22" spans="1:9" ht="14.5">
      <c r="A22" s="859" t="s">
        <v>463</v>
      </c>
      <c r="B22" s="492">
        <v>161200886</v>
      </c>
      <c r="C22" s="861">
        <v>41</v>
      </c>
      <c r="D22" s="862">
        <f t="shared" si="1"/>
        <v>1.69513039290905E-2</v>
      </c>
      <c r="E22" s="862">
        <v>1.69513039290905E-2</v>
      </c>
      <c r="F22" s="863">
        <v>2004</v>
      </c>
      <c r="G22" s="36" t="s">
        <v>582</v>
      </c>
      <c r="I22" s="493"/>
    </row>
    <row r="23" spans="1:9" ht="14.5">
      <c r="A23" s="859" t="s">
        <v>591</v>
      </c>
      <c r="B23" s="492">
        <v>284217</v>
      </c>
      <c r="C23" s="861">
        <v>100</v>
      </c>
      <c r="D23" s="862">
        <f t="shared" si="1"/>
        <v>0.23595505952835083</v>
      </c>
      <c r="E23" s="862">
        <v>0.23595505952835083</v>
      </c>
      <c r="F23" s="863">
        <v>1999</v>
      </c>
      <c r="I23" s="493"/>
    </row>
    <row r="24" spans="1:9" ht="14.5">
      <c r="A24" s="859" t="s">
        <v>592</v>
      </c>
      <c r="B24" s="492">
        <v>9485772</v>
      </c>
      <c r="C24" s="861">
        <v>78.3</v>
      </c>
      <c r="D24" s="862">
        <f t="shared" si="1"/>
        <v>0.43607881665229797</v>
      </c>
      <c r="E24" s="862">
        <v>0.43607881665229797</v>
      </c>
      <c r="F24" s="863">
        <v>2003</v>
      </c>
      <c r="I24" s="493"/>
    </row>
    <row r="25" spans="1:9" ht="14.5">
      <c r="A25" s="859" t="s">
        <v>464</v>
      </c>
      <c r="B25" s="492">
        <v>11287940</v>
      </c>
      <c r="C25" s="861">
        <v>100</v>
      </c>
      <c r="D25" s="862">
        <v>0.80827504396438599</v>
      </c>
      <c r="E25" s="862">
        <v>0.80827504396438599</v>
      </c>
      <c r="F25" s="863">
        <v>2002</v>
      </c>
      <c r="G25" s="36" t="s">
        <v>572</v>
      </c>
      <c r="I25" s="493"/>
    </row>
    <row r="26" spans="1:9" ht="14.5">
      <c r="A26" s="859" t="s">
        <v>593</v>
      </c>
      <c r="B26" s="492">
        <v>359288</v>
      </c>
      <c r="C26" s="861">
        <v>85</v>
      </c>
      <c r="D26" s="862">
        <f t="shared" ref="D26:D38" si="2">IF(E26&lt;$B$211,$B$211,E26)</f>
        <v>0.13333334028720856</v>
      </c>
      <c r="E26" s="862">
        <v>0.13333334028720856</v>
      </c>
      <c r="F26" s="863">
        <v>2000</v>
      </c>
      <c r="I26" s="493"/>
    </row>
    <row r="27" spans="1:9" ht="14.5">
      <c r="A27" s="859" t="s">
        <v>465</v>
      </c>
      <c r="B27" s="492">
        <v>10575952</v>
      </c>
      <c r="C27" s="861">
        <v>24.8</v>
      </c>
      <c r="D27" s="862">
        <f t="shared" si="2"/>
        <v>1.6919938474893571E-2</v>
      </c>
      <c r="E27" s="862">
        <v>1.7346054082736373E-3</v>
      </c>
      <c r="F27" s="863">
        <v>2004</v>
      </c>
      <c r="G27" s="3" t="s">
        <v>582</v>
      </c>
      <c r="I27" s="493"/>
    </row>
    <row r="28" spans="1:9" ht="14.5">
      <c r="A28" s="859" t="s">
        <v>594</v>
      </c>
      <c r="B28" s="492">
        <v>787386</v>
      </c>
      <c r="C28" s="861">
        <v>72</v>
      </c>
      <c r="D28" s="862">
        <f t="shared" si="2"/>
        <v>2.4946236982941628E-2</v>
      </c>
      <c r="E28" s="862">
        <v>2.4946236982941628E-2</v>
      </c>
      <c r="F28" s="863">
        <v>2004</v>
      </c>
      <c r="I28" s="493"/>
    </row>
    <row r="29" spans="1:9" ht="14.5">
      <c r="A29" s="859" t="s">
        <v>466</v>
      </c>
      <c r="B29" s="492">
        <v>10724705</v>
      </c>
      <c r="C29" s="861">
        <v>77.5</v>
      </c>
      <c r="D29" s="862">
        <f t="shared" si="2"/>
        <v>0.70710998773574829</v>
      </c>
      <c r="E29" s="862">
        <v>0.70710998773574829</v>
      </c>
      <c r="F29" s="863">
        <v>2001</v>
      </c>
      <c r="G29" s="3" t="s">
        <v>582</v>
      </c>
      <c r="I29" s="493"/>
    </row>
    <row r="30" spans="1:9" ht="14.5">
      <c r="A30" s="859" t="s">
        <v>595</v>
      </c>
      <c r="B30" s="492">
        <v>3535961</v>
      </c>
      <c r="C30" s="861">
        <v>98.5</v>
      </c>
      <c r="D30" s="862">
        <f t="shared" si="2"/>
        <v>0.16582551598548889</v>
      </c>
      <c r="E30" s="862">
        <v>0.16582551598548889</v>
      </c>
      <c r="F30" s="863">
        <v>2003</v>
      </c>
      <c r="I30" s="493"/>
    </row>
    <row r="31" spans="1:9" ht="14.5">
      <c r="A31" s="859" t="s">
        <v>467</v>
      </c>
      <c r="B31" s="492">
        <v>2209197</v>
      </c>
      <c r="C31" s="861">
        <v>45.4</v>
      </c>
      <c r="D31" s="862">
        <f t="shared" si="2"/>
        <v>2.1169915795326233E-2</v>
      </c>
      <c r="E31" s="862">
        <v>2.1169915795326233E-2</v>
      </c>
      <c r="F31" s="863">
        <v>2004</v>
      </c>
      <c r="G31" s="3" t="s">
        <v>582</v>
      </c>
      <c r="I31" s="493"/>
    </row>
    <row r="32" spans="1:9" ht="14.5">
      <c r="A32" s="859" t="s">
        <v>468</v>
      </c>
      <c r="B32" s="492">
        <v>205962108</v>
      </c>
      <c r="C32" s="861">
        <v>98.3</v>
      </c>
      <c r="D32" s="862">
        <f t="shared" si="2"/>
        <v>1.1085705757141113</v>
      </c>
      <c r="E32" s="862">
        <v>1.1085705757141113</v>
      </c>
      <c r="F32" s="863">
        <v>2000</v>
      </c>
      <c r="G32" s="3" t="s">
        <v>582</v>
      </c>
      <c r="I32" s="493"/>
    </row>
    <row r="33" spans="1:9" ht="14.5">
      <c r="A33" s="864" t="s">
        <v>469</v>
      </c>
      <c r="B33" s="492">
        <v>417542</v>
      </c>
      <c r="C33" s="861">
        <v>99.7</v>
      </c>
      <c r="D33" s="862">
        <f t="shared" si="2"/>
        <v>0.14371258020401001</v>
      </c>
      <c r="E33" s="862">
        <v>0.14371258020401001</v>
      </c>
      <c r="F33" s="863">
        <v>2000</v>
      </c>
      <c r="G33" s="3" t="s">
        <v>582</v>
      </c>
      <c r="I33" s="493"/>
    </row>
    <row r="34" spans="1:9" ht="14.5">
      <c r="A34" s="859" t="s">
        <v>596</v>
      </c>
      <c r="B34" s="492">
        <v>7177396</v>
      </c>
      <c r="C34" s="861">
        <v>99</v>
      </c>
      <c r="D34" s="862">
        <f t="shared" si="2"/>
        <v>0.81993162631988525</v>
      </c>
      <c r="E34" s="862">
        <v>0.81993162631988525</v>
      </c>
      <c r="F34" s="863">
        <v>2003</v>
      </c>
      <c r="G34" s="36"/>
      <c r="I34" s="493"/>
    </row>
    <row r="35" spans="1:9" ht="14.5">
      <c r="A35" s="859" t="s">
        <v>470</v>
      </c>
      <c r="B35" s="492">
        <v>18110624</v>
      </c>
      <c r="C35" s="861">
        <v>14.6</v>
      </c>
      <c r="D35" s="862">
        <f t="shared" si="2"/>
        <v>1.6919938474893571E-2</v>
      </c>
      <c r="E35" s="862">
        <v>4.3306206353008747E-3</v>
      </c>
      <c r="F35" s="863">
        <v>2004</v>
      </c>
      <c r="G35" s="36" t="s">
        <v>582</v>
      </c>
      <c r="I35" s="493"/>
    </row>
    <row r="36" spans="1:9" ht="14.5">
      <c r="A36" s="859" t="s">
        <v>597</v>
      </c>
      <c r="B36" s="492">
        <v>10199270</v>
      </c>
      <c r="C36" s="861">
        <v>3.9</v>
      </c>
      <c r="D36" s="862">
        <f t="shared" si="2"/>
        <v>1.6919938474893571E-2</v>
      </c>
      <c r="E36" s="862">
        <v>1.9807582721114159E-3</v>
      </c>
      <c r="F36" s="863">
        <v>2004</v>
      </c>
      <c r="I36" s="493"/>
    </row>
    <row r="37" spans="1:9" ht="14.5">
      <c r="A37" s="859" t="s">
        <v>471</v>
      </c>
      <c r="B37" s="492">
        <v>15517635</v>
      </c>
      <c r="C37" s="861">
        <v>24</v>
      </c>
      <c r="D37" s="862">
        <f t="shared" si="2"/>
        <v>1.6919938474893571E-2</v>
      </c>
      <c r="E37" s="862">
        <v>1.5897162258625031E-2</v>
      </c>
      <c r="F37" s="863">
        <v>2000</v>
      </c>
      <c r="G37" s="3" t="s">
        <v>582</v>
      </c>
      <c r="I37" s="493"/>
    </row>
    <row r="38" spans="1:9" ht="14.5">
      <c r="A38" s="859" t="s">
        <v>472</v>
      </c>
      <c r="B38" s="492">
        <v>22834522</v>
      </c>
      <c r="C38" s="861">
        <v>48.7</v>
      </c>
      <c r="D38" s="862">
        <f t="shared" si="2"/>
        <v>1.6919938474893571E-2</v>
      </c>
      <c r="E38" s="862">
        <v>9.020618163049221E-3</v>
      </c>
      <c r="F38" s="863">
        <v>2004</v>
      </c>
      <c r="G38" s="3" t="s">
        <v>582</v>
      </c>
      <c r="I38" s="493"/>
    </row>
    <row r="39" spans="1:9" ht="14.5">
      <c r="A39" s="859" t="s">
        <v>598</v>
      </c>
      <c r="B39" s="492">
        <v>35949709</v>
      </c>
      <c r="C39" s="861">
        <v>97.3</v>
      </c>
      <c r="D39" s="862">
        <v>0.58680844306945801</v>
      </c>
      <c r="E39" s="862">
        <v>0.58680844306945801</v>
      </c>
      <c r="F39" s="863">
        <v>2003</v>
      </c>
      <c r="G39" s="36" t="s">
        <v>572</v>
      </c>
      <c r="I39" s="493"/>
    </row>
    <row r="40" spans="1:9" ht="14.5">
      <c r="A40" s="859" t="s">
        <v>599</v>
      </c>
      <c r="B40" s="492">
        <v>532913</v>
      </c>
      <c r="C40" s="861">
        <v>67</v>
      </c>
      <c r="D40" s="862">
        <f>IF(E40&lt;$B$211,$B$211,E40)</f>
        <v>2.3255813866853714E-2</v>
      </c>
      <c r="E40" s="862">
        <v>2.3255813866853714E-2</v>
      </c>
      <c r="F40" s="863">
        <v>2004</v>
      </c>
      <c r="I40" s="493"/>
    </row>
    <row r="41" spans="1:9" ht="14.5">
      <c r="A41" s="864" t="s">
        <v>600</v>
      </c>
      <c r="B41" s="492">
        <v>4546100</v>
      </c>
      <c r="C41" s="861">
        <v>6</v>
      </c>
      <c r="D41" s="862">
        <f>IF(E41&lt;$B$211,$B$211,E41)</f>
        <v>1.6919938474893571E-2</v>
      </c>
      <c r="E41" s="862">
        <v>3.3231084235012531E-3</v>
      </c>
      <c r="F41" s="863">
        <v>2004</v>
      </c>
      <c r="I41" s="493"/>
    </row>
    <row r="42" spans="1:9" ht="14.5">
      <c r="A42" s="864" t="s">
        <v>601</v>
      </c>
      <c r="B42" s="492">
        <v>14009413</v>
      </c>
      <c r="C42" s="861">
        <v>3.5</v>
      </c>
      <c r="D42" s="862">
        <f>IF(E42&lt;$B$211,$B$211,E42)</f>
        <v>1.6919938474893571E-2</v>
      </c>
      <c r="E42" s="862">
        <v>1.6941495705395937E-3</v>
      </c>
      <c r="F42" s="863">
        <v>2004</v>
      </c>
      <c r="I42" s="493"/>
    </row>
    <row r="43" spans="1:9" ht="14.5">
      <c r="A43" s="859" t="s">
        <v>473</v>
      </c>
      <c r="B43" s="492">
        <v>17762681</v>
      </c>
      <c r="C43" s="861">
        <v>98.5</v>
      </c>
      <c r="D43" s="862">
        <v>0.42705300450325012</v>
      </c>
      <c r="E43" s="862">
        <v>0.42705300450325012</v>
      </c>
      <c r="F43" s="863">
        <v>2003</v>
      </c>
      <c r="G43" s="36" t="s">
        <v>583</v>
      </c>
      <c r="I43" s="493"/>
    </row>
    <row r="44" spans="1:9" ht="14.5">
      <c r="A44" s="859" t="s">
        <v>474</v>
      </c>
      <c r="B44" s="492">
        <v>1397028553</v>
      </c>
      <c r="C44" s="861">
        <v>99.4</v>
      </c>
      <c r="D44" s="862">
        <f t="shared" ref="D44:D53" si="3">IF(E44&lt;$B$211,$B$211,E44)</f>
        <v>0.10561773180961609</v>
      </c>
      <c r="E44" s="862">
        <v>0.10561773180961609</v>
      </c>
      <c r="F44" s="863">
        <v>2001</v>
      </c>
      <c r="G44" s="3" t="s">
        <v>582</v>
      </c>
    </row>
    <row r="45" spans="1:9" ht="14.5">
      <c r="A45" s="859" t="s">
        <v>673</v>
      </c>
      <c r="B45" s="492">
        <v>23485755</v>
      </c>
      <c r="C45" s="861">
        <v>99</v>
      </c>
      <c r="D45" s="862">
        <f t="shared" si="3"/>
        <v>0.40781129896640778</v>
      </c>
      <c r="E45" s="862">
        <f>($E$44+$E$95)/2</f>
        <v>0.40781129896640778</v>
      </c>
      <c r="F45" s="865"/>
    </row>
    <row r="46" spans="1:9" ht="14.5">
      <c r="A46" s="859" t="s">
        <v>475</v>
      </c>
      <c r="B46" s="492">
        <v>48228697</v>
      </c>
      <c r="C46" s="861">
        <v>93.6</v>
      </c>
      <c r="D46" s="862">
        <f t="shared" si="3"/>
        <v>0.78001654148101807</v>
      </c>
      <c r="E46" s="862">
        <v>0.78001654148101807</v>
      </c>
      <c r="F46" s="863">
        <v>2002</v>
      </c>
      <c r="G46" s="36" t="s">
        <v>582</v>
      </c>
    </row>
    <row r="47" spans="1:9" ht="14.5">
      <c r="A47" s="859" t="s">
        <v>602</v>
      </c>
      <c r="B47" s="492">
        <v>777424</v>
      </c>
      <c r="C47" s="861">
        <v>44.8</v>
      </c>
      <c r="D47" s="862">
        <f t="shared" si="3"/>
        <v>3.6708861589431763E-2</v>
      </c>
      <c r="E47" s="862">
        <v>3.6708861589431763E-2</v>
      </c>
      <c r="F47" s="863">
        <v>2004</v>
      </c>
    </row>
    <row r="48" spans="1:9" ht="14.5">
      <c r="A48" s="859" t="s">
        <v>604</v>
      </c>
      <c r="B48" s="492">
        <v>17449</v>
      </c>
      <c r="C48" s="861">
        <v>99</v>
      </c>
      <c r="D48" s="862">
        <f t="shared" si="3"/>
        <v>0.55555558204650879</v>
      </c>
      <c r="E48" s="862">
        <v>0.55555558204650879</v>
      </c>
      <c r="F48" s="863">
        <v>2001</v>
      </c>
    </row>
    <row r="49" spans="1:11" ht="14.5">
      <c r="A49" s="859" t="s">
        <v>476</v>
      </c>
      <c r="B49" s="492">
        <v>4807852</v>
      </c>
      <c r="C49" s="861">
        <v>99.3</v>
      </c>
      <c r="D49" s="862">
        <f t="shared" si="3"/>
        <v>0.48485618829727173</v>
      </c>
      <c r="E49" s="862">
        <v>0.48485618829727173</v>
      </c>
      <c r="F49" s="863">
        <v>2000</v>
      </c>
      <c r="G49" s="3" t="s">
        <v>582</v>
      </c>
    </row>
    <row r="50" spans="1:11" ht="14.5">
      <c r="A50" s="864" t="s">
        <v>477</v>
      </c>
      <c r="B50" s="492">
        <v>23108472</v>
      </c>
      <c r="C50" s="861">
        <v>47.3</v>
      </c>
      <c r="D50" s="862">
        <f t="shared" si="3"/>
        <v>2.0062733441591263E-2</v>
      </c>
      <c r="E50" s="862">
        <v>2.0062733441591263E-2</v>
      </c>
      <c r="F50" s="863">
        <v>2004</v>
      </c>
      <c r="G50" s="3" t="s">
        <v>582</v>
      </c>
    </row>
    <row r="51" spans="1:11" ht="14.5">
      <c r="A51" s="859" t="s">
        <v>605</v>
      </c>
      <c r="B51" s="492">
        <v>4236016</v>
      </c>
      <c r="C51" s="861">
        <v>99</v>
      </c>
      <c r="D51" s="862">
        <f t="shared" si="3"/>
        <v>0.69670277833938599</v>
      </c>
      <c r="E51" s="862">
        <v>0.69670277833938599</v>
      </c>
      <c r="F51" s="863">
        <v>2003</v>
      </c>
      <c r="G51" s="36"/>
      <c r="J51" s="494"/>
      <c r="K51" s="493"/>
    </row>
    <row r="52" spans="1:11" ht="14.5">
      <c r="A52" s="859" t="s">
        <v>478</v>
      </c>
      <c r="B52" s="492">
        <v>11461432</v>
      </c>
      <c r="C52" s="861">
        <v>97</v>
      </c>
      <c r="D52" s="862">
        <f t="shared" si="3"/>
        <v>0.87312573194503784</v>
      </c>
      <c r="E52" s="862">
        <v>0.87312573194503784</v>
      </c>
      <c r="F52" s="863">
        <v>2002</v>
      </c>
      <c r="G52" s="36" t="s">
        <v>582</v>
      </c>
      <c r="J52" s="494"/>
      <c r="K52" s="495"/>
    </row>
    <row r="53" spans="1:11" ht="14.5">
      <c r="A53" s="859" t="s">
        <v>606</v>
      </c>
      <c r="B53" s="492">
        <v>1160985</v>
      </c>
      <c r="C53" s="861">
        <v>99.5</v>
      </c>
      <c r="D53" s="862">
        <f t="shared" si="3"/>
        <v>0.81658291816711426</v>
      </c>
      <c r="E53" s="862">
        <v>0.81658291816711426</v>
      </c>
      <c r="F53" s="863">
        <v>2002</v>
      </c>
      <c r="J53" s="494"/>
      <c r="K53" s="495"/>
    </row>
    <row r="54" spans="1:11" ht="14.5">
      <c r="A54" s="859" t="s">
        <v>607</v>
      </c>
      <c r="B54" s="492">
        <v>10603762</v>
      </c>
      <c r="C54" s="861">
        <v>99</v>
      </c>
      <c r="D54" s="862">
        <v>0.65816724300384521</v>
      </c>
      <c r="E54" s="862">
        <v>0.65816724300384521</v>
      </c>
      <c r="F54" s="863">
        <v>2003</v>
      </c>
      <c r="G54" s="36" t="s">
        <v>572</v>
      </c>
      <c r="J54" s="494"/>
      <c r="K54" s="495"/>
    </row>
    <row r="55" spans="1:11" ht="14.5">
      <c r="A55" s="864" t="s">
        <v>479</v>
      </c>
      <c r="B55" s="492">
        <v>25243917</v>
      </c>
      <c r="C55" s="861">
        <v>26</v>
      </c>
      <c r="D55" s="862">
        <f>IF(E55&lt;$B$211,$B$211,E55)</f>
        <v>0.36688140034675598</v>
      </c>
      <c r="E55" s="862">
        <v>0.36688140034675598</v>
      </c>
      <c r="F55" s="863">
        <v>2003</v>
      </c>
      <c r="G55" s="36" t="s">
        <v>582</v>
      </c>
      <c r="J55" s="494"/>
      <c r="K55" s="493"/>
    </row>
    <row r="56" spans="1:11" ht="14.5">
      <c r="A56" s="864" t="s">
        <v>480</v>
      </c>
      <c r="B56" s="492">
        <v>76196619</v>
      </c>
      <c r="C56" s="861">
        <v>11.1</v>
      </c>
      <c r="D56" s="862">
        <f>IF(E56&lt;$B$211,$B$211,E56)</f>
        <v>1.6919938474893571E-2</v>
      </c>
      <c r="E56" s="862">
        <v>2.9218809213489294E-3</v>
      </c>
      <c r="F56" s="863">
        <v>2004</v>
      </c>
      <c r="G56" s="36" t="s">
        <v>582</v>
      </c>
      <c r="J56" s="494"/>
      <c r="K56" s="495"/>
    </row>
    <row r="57" spans="1:11">
      <c r="A57" s="859" t="s">
        <v>481</v>
      </c>
      <c r="B57" s="860">
        <v>5688695</v>
      </c>
      <c r="C57" s="861">
        <v>100</v>
      </c>
      <c r="D57" s="862">
        <v>0.82919079065322876</v>
      </c>
      <c r="E57" s="862">
        <v>0.82919079065322876</v>
      </c>
      <c r="F57" s="863">
        <v>2002</v>
      </c>
      <c r="G57" s="36" t="s">
        <v>572</v>
      </c>
      <c r="J57" s="494"/>
      <c r="K57" s="493"/>
    </row>
    <row r="58" spans="1:11">
      <c r="A58" s="864" t="s">
        <v>608</v>
      </c>
      <c r="B58" s="860">
        <v>927414</v>
      </c>
      <c r="C58" s="861">
        <v>62.2</v>
      </c>
      <c r="D58" s="862">
        <f t="shared" ref="D58:D69" si="4">IF(E58&lt;$B$211,$B$211,E58)</f>
        <v>1.6919938474893571E-2</v>
      </c>
      <c r="E58" s="862">
        <v>1.4044944196939468E-2</v>
      </c>
      <c r="F58" s="863">
        <v>2004</v>
      </c>
      <c r="G58" s="36"/>
      <c r="J58" s="494"/>
      <c r="K58" s="495"/>
    </row>
    <row r="59" spans="1:11">
      <c r="A59" s="864" t="s">
        <v>609</v>
      </c>
      <c r="B59" s="860">
        <v>73162</v>
      </c>
      <c r="C59" s="861">
        <v>87.7</v>
      </c>
      <c r="D59" s="862">
        <f t="shared" si="4"/>
        <v>5.2631579339504242E-2</v>
      </c>
      <c r="E59" s="862">
        <v>5.2631579339504242E-2</v>
      </c>
      <c r="F59" s="863">
        <v>1997</v>
      </c>
      <c r="G59" s="36"/>
      <c r="J59" s="494"/>
      <c r="K59" s="493"/>
    </row>
    <row r="60" spans="1:11" ht="14.5">
      <c r="A60" s="859" t="s">
        <v>482</v>
      </c>
      <c r="B60" s="492">
        <v>10528394</v>
      </c>
      <c r="C60" s="861">
        <v>95.9</v>
      </c>
      <c r="D60" s="862">
        <f t="shared" si="4"/>
        <v>0.83802229166030884</v>
      </c>
      <c r="E60" s="862">
        <v>0.83802229166030884</v>
      </c>
      <c r="F60" s="863">
        <v>2000</v>
      </c>
      <c r="G60" s="36" t="s">
        <v>582</v>
      </c>
      <c r="J60" s="494"/>
      <c r="K60" s="495"/>
    </row>
    <row r="61" spans="1:11" ht="14.5">
      <c r="A61" s="859" t="s">
        <v>483</v>
      </c>
      <c r="B61" s="492">
        <v>16144368</v>
      </c>
      <c r="C61" s="861">
        <v>92.2</v>
      </c>
      <c r="D61" s="862">
        <f t="shared" si="4"/>
        <v>0.16602253913879395</v>
      </c>
      <c r="E61" s="862">
        <v>0.16602253913879395</v>
      </c>
      <c r="F61" s="863">
        <v>2000</v>
      </c>
      <c r="G61" s="36" t="s">
        <v>582</v>
      </c>
      <c r="J61" s="494"/>
      <c r="K61" s="495"/>
    </row>
    <row r="62" spans="1:11" ht="14.5">
      <c r="A62" s="859" t="s">
        <v>484</v>
      </c>
      <c r="B62" s="492">
        <v>93778172</v>
      </c>
      <c r="C62" s="861">
        <v>99.6</v>
      </c>
      <c r="D62" s="862">
        <f t="shared" si="4"/>
        <v>0.13512739539146423</v>
      </c>
      <c r="E62" s="862">
        <v>0.13512739539146423</v>
      </c>
      <c r="F62" s="863">
        <v>2004</v>
      </c>
      <c r="G62" s="36" t="s">
        <v>582</v>
      </c>
      <c r="J62" s="494"/>
      <c r="K62" s="495"/>
    </row>
    <row r="63" spans="1:11" ht="14.5">
      <c r="A63" s="859" t="s">
        <v>485</v>
      </c>
      <c r="B63" s="492">
        <v>6312478</v>
      </c>
      <c r="C63" s="861">
        <v>86.4</v>
      </c>
      <c r="D63" s="862">
        <f t="shared" si="4"/>
        <v>0.54014027118682861</v>
      </c>
      <c r="E63" s="862">
        <v>0.54014027118682861</v>
      </c>
      <c r="F63" s="863">
        <v>2002</v>
      </c>
      <c r="G63" s="36" t="s">
        <v>582</v>
      </c>
      <c r="J63" s="494"/>
      <c r="K63" s="493"/>
    </row>
    <row r="64" spans="1:11" ht="14.5">
      <c r="A64" s="864" t="s">
        <v>675</v>
      </c>
      <c r="B64" s="492">
        <v>1175389</v>
      </c>
      <c r="C64" s="861">
        <f>C73</f>
        <v>34.299999999999997</v>
      </c>
      <c r="D64" s="862">
        <f t="shared" si="4"/>
        <v>2.958579920232296E-2</v>
      </c>
      <c r="E64" s="862">
        <v>2.958579920232296E-2</v>
      </c>
      <c r="F64" s="863">
        <v>2004</v>
      </c>
      <c r="J64" s="494"/>
      <c r="K64" s="493"/>
    </row>
    <row r="65" spans="1:11" ht="14.5">
      <c r="A65" s="864" t="s">
        <v>486</v>
      </c>
      <c r="B65" s="492">
        <v>4846976</v>
      </c>
      <c r="C65" s="861">
        <v>32</v>
      </c>
      <c r="D65" s="862">
        <f t="shared" si="4"/>
        <v>1.6919938474893571E-2</v>
      </c>
      <c r="E65" s="862">
        <v>3.7235280033200979E-3</v>
      </c>
      <c r="F65" s="863">
        <v>2004</v>
      </c>
      <c r="G65" s="3" t="s">
        <v>582</v>
      </c>
      <c r="J65" s="494"/>
      <c r="K65" s="495"/>
    </row>
    <row r="66" spans="1:11" ht="14.5">
      <c r="A66" s="859" t="s">
        <v>610</v>
      </c>
      <c r="B66" s="492">
        <v>1315321</v>
      </c>
      <c r="C66" s="861">
        <v>99</v>
      </c>
      <c r="D66" s="862">
        <f t="shared" si="4"/>
        <v>1.2779809236526489</v>
      </c>
      <c r="E66" s="862">
        <v>1.2779809236526489</v>
      </c>
      <c r="F66" s="863">
        <v>2000</v>
      </c>
      <c r="G66" s="36" t="s">
        <v>572</v>
      </c>
      <c r="J66" s="494"/>
      <c r="K66" s="495"/>
    </row>
    <row r="67" spans="1:11" ht="14.5">
      <c r="A67" s="859" t="s">
        <v>1179</v>
      </c>
      <c r="B67" s="492">
        <v>1319011</v>
      </c>
      <c r="C67" s="861">
        <v>27</v>
      </c>
      <c r="D67" s="862">
        <f t="shared" si="4"/>
        <v>2.9547553509473801E-2</v>
      </c>
      <c r="E67" s="862">
        <v>2.9547553509473801E-2</v>
      </c>
      <c r="F67" s="863">
        <v>2004</v>
      </c>
      <c r="G67" s="36"/>
      <c r="J67" s="494"/>
      <c r="K67" s="493"/>
    </row>
    <row r="68" spans="1:11" ht="14.5">
      <c r="A68" s="859" t="s">
        <v>678</v>
      </c>
      <c r="B68" s="866">
        <v>99873033</v>
      </c>
      <c r="C68" s="861">
        <v>41</v>
      </c>
      <c r="D68" s="862">
        <f t="shared" si="4"/>
        <v>1.6919938474893571E-2</v>
      </c>
      <c r="E68" s="862">
        <f>($E$65+$E$169)/2</f>
        <v>2.8280098340474069E-3</v>
      </c>
      <c r="F68" s="863"/>
      <c r="J68" s="494"/>
      <c r="K68" s="493"/>
    </row>
    <row r="69" spans="1:11" ht="14.5">
      <c r="A69" s="859" t="s">
        <v>487</v>
      </c>
      <c r="B69" s="492">
        <v>892149</v>
      </c>
      <c r="C69" s="861">
        <v>87</v>
      </c>
      <c r="D69" s="862">
        <f t="shared" si="4"/>
        <v>3.9751552045345306E-2</v>
      </c>
      <c r="E69" s="862">
        <v>3.9751552045345306E-2</v>
      </c>
      <c r="F69" s="863">
        <v>1999</v>
      </c>
      <c r="G69" s="36" t="s">
        <v>572</v>
      </c>
    </row>
    <row r="70" spans="1:11" ht="14.5">
      <c r="A70" s="859" t="s">
        <v>488</v>
      </c>
      <c r="B70" s="492">
        <v>5481966</v>
      </c>
      <c r="C70" s="861">
        <v>100</v>
      </c>
      <c r="D70" s="862">
        <v>1.2842024564743042</v>
      </c>
      <c r="E70" s="862">
        <v>1.2842024564743042</v>
      </c>
      <c r="F70" s="863">
        <v>2002</v>
      </c>
      <c r="G70" s="36" t="s">
        <v>572</v>
      </c>
    </row>
    <row r="71" spans="1:11" ht="14.5">
      <c r="A71" s="859" t="s">
        <v>489</v>
      </c>
      <c r="B71" s="492">
        <v>64457201</v>
      </c>
      <c r="C71" s="861">
        <v>100</v>
      </c>
      <c r="D71" s="862">
        <v>0.67683756351470947</v>
      </c>
      <c r="E71" s="862">
        <v>0.67683756351470947</v>
      </c>
      <c r="F71" s="863">
        <v>2004</v>
      </c>
      <c r="G71" s="36" t="s">
        <v>582</v>
      </c>
    </row>
    <row r="72" spans="1:11" ht="14.5">
      <c r="A72" s="864" t="s">
        <v>490</v>
      </c>
      <c r="B72" s="492">
        <v>1930175</v>
      </c>
      <c r="C72" s="861">
        <v>36.700000000000003</v>
      </c>
      <c r="D72" s="862">
        <f>IF(E72&lt;$B$211,$B$211,E72)</f>
        <v>4.8852700740098953E-2</v>
      </c>
      <c r="E72" s="862">
        <v>4.8852700740098953E-2</v>
      </c>
      <c r="F72" s="863">
        <v>2004</v>
      </c>
    </row>
    <row r="73" spans="1:11" ht="14.5">
      <c r="A73" s="864" t="s">
        <v>611</v>
      </c>
      <c r="B73" s="492">
        <v>1977590</v>
      </c>
      <c r="C73" s="861">
        <v>34.299999999999997</v>
      </c>
      <c r="D73" s="862">
        <f>IF(E73&lt;$B$211,$B$211,E73)</f>
        <v>3.0154278501868248E-2</v>
      </c>
      <c r="E73" s="862">
        <v>3.0154278501868248E-2</v>
      </c>
      <c r="F73" s="863">
        <v>2003</v>
      </c>
      <c r="G73" s="36"/>
    </row>
    <row r="74" spans="1:11" ht="14.5">
      <c r="A74" s="859" t="s">
        <v>612</v>
      </c>
      <c r="B74" s="492">
        <v>3951524</v>
      </c>
      <c r="C74" s="861">
        <v>99.9</v>
      </c>
      <c r="D74" s="862">
        <f>IF(E74&lt;$B$211,$B$211,E74)</f>
        <v>0.28053063154220581</v>
      </c>
      <c r="E74" s="862">
        <v>0.28053063154220581</v>
      </c>
      <c r="F74" s="863">
        <v>2003</v>
      </c>
      <c r="G74" s="36" t="s">
        <v>572</v>
      </c>
    </row>
    <row r="75" spans="1:11" ht="14.5">
      <c r="A75" s="859" t="s">
        <v>491</v>
      </c>
      <c r="B75" s="492">
        <v>81707789</v>
      </c>
      <c r="C75" s="861">
        <v>100</v>
      </c>
      <c r="D75" s="862">
        <v>0.78336727619171143</v>
      </c>
      <c r="E75" s="862">
        <v>0.78336727619171143</v>
      </c>
      <c r="F75" s="863">
        <v>2003</v>
      </c>
      <c r="G75" s="36" t="s">
        <v>582</v>
      </c>
    </row>
    <row r="76" spans="1:11" ht="14.5">
      <c r="A76" s="859" t="s">
        <v>492</v>
      </c>
      <c r="B76" s="492">
        <v>27582821</v>
      </c>
      <c r="C76" s="861">
        <v>60.5</v>
      </c>
      <c r="D76" s="862">
        <f>IF(E76&lt;$B$211,$B$211,E76)</f>
        <v>1.8384244292974472E-2</v>
      </c>
      <c r="E76" s="862">
        <v>1.8384244292974472E-2</v>
      </c>
      <c r="F76" s="863">
        <v>2004</v>
      </c>
      <c r="G76" s="36" t="s">
        <v>572</v>
      </c>
    </row>
    <row r="77" spans="1:11" ht="14.5">
      <c r="A77" s="859" t="s">
        <v>493</v>
      </c>
      <c r="B77" s="492">
        <v>11217800</v>
      </c>
      <c r="C77" s="861">
        <v>100</v>
      </c>
      <c r="D77" s="862">
        <v>1.1321823596954346</v>
      </c>
      <c r="E77" s="862">
        <v>1.1321823596954346</v>
      </c>
      <c r="F77" s="863">
        <v>2001</v>
      </c>
    </row>
    <row r="78" spans="1:11" ht="14.5">
      <c r="A78" s="864" t="s">
        <v>613</v>
      </c>
      <c r="B78" s="492">
        <v>106823</v>
      </c>
      <c r="C78" s="861">
        <v>99.5</v>
      </c>
      <c r="D78" s="862">
        <f t="shared" ref="D78:D84" si="5">IF(E78&lt;$B$211,$B$211,E78)</f>
        <v>8.5365854203701019E-2</v>
      </c>
      <c r="E78" s="862">
        <v>8.5365854203701019E-2</v>
      </c>
      <c r="F78" s="863">
        <v>1997</v>
      </c>
      <c r="G78" s="3" t="s">
        <v>582</v>
      </c>
    </row>
    <row r="79" spans="1:11" ht="14.5">
      <c r="A79" s="859" t="s">
        <v>494</v>
      </c>
      <c r="B79" s="492">
        <v>16252429</v>
      </c>
      <c r="C79" s="861">
        <v>80.5</v>
      </c>
      <c r="D79" s="862">
        <f t="shared" si="5"/>
        <v>0.18397626280784607</v>
      </c>
      <c r="E79" s="862">
        <v>0.18397626280784607</v>
      </c>
      <c r="F79" s="863">
        <v>1999</v>
      </c>
    </row>
    <row r="80" spans="1:11" ht="14.5">
      <c r="A80" s="859" t="s">
        <v>614</v>
      </c>
      <c r="B80" s="492">
        <v>12091533</v>
      </c>
      <c r="C80" s="861">
        <v>20.2</v>
      </c>
      <c r="D80" s="862">
        <f t="shared" si="5"/>
        <v>1.6919938474893571E-2</v>
      </c>
      <c r="E80" s="862">
        <v>6.9605568423867226E-3</v>
      </c>
      <c r="F80" s="863">
        <v>2004</v>
      </c>
    </row>
    <row r="81" spans="1:7" ht="14.5">
      <c r="A81" s="859" t="s">
        <v>615</v>
      </c>
      <c r="B81" s="492">
        <v>1770526</v>
      </c>
      <c r="C81" s="861">
        <v>53.5</v>
      </c>
      <c r="D81" s="862">
        <f t="shared" si="5"/>
        <v>1.6919938474893571E-2</v>
      </c>
      <c r="E81" s="862">
        <v>1.430429145693779E-2</v>
      </c>
      <c r="F81" s="863">
        <v>2004</v>
      </c>
    </row>
    <row r="82" spans="1:7" ht="14.5">
      <c r="A82" s="859" t="s">
        <v>616</v>
      </c>
      <c r="B82" s="492">
        <v>768514</v>
      </c>
      <c r="C82" s="861">
        <v>77.5</v>
      </c>
      <c r="D82" s="862">
        <f t="shared" si="5"/>
        <v>3.9525691419839859E-2</v>
      </c>
      <c r="E82" s="862">
        <v>3.9525691419839859E-2</v>
      </c>
      <c r="F82" s="863">
        <v>2000</v>
      </c>
      <c r="G82" s="3" t="s">
        <v>582</v>
      </c>
    </row>
    <row r="83" spans="1:7" ht="14.5">
      <c r="A83" s="859" t="s">
        <v>495</v>
      </c>
      <c r="B83" s="492">
        <v>10711061</v>
      </c>
      <c r="C83" s="861">
        <v>38.5</v>
      </c>
      <c r="D83" s="862">
        <f t="shared" si="5"/>
        <v>1.6919938474893571E-2</v>
      </c>
      <c r="E83" s="862">
        <v>1.2055918574333191E-2</v>
      </c>
      <c r="F83" s="863">
        <v>1998</v>
      </c>
      <c r="G83" s="3" t="s">
        <v>582</v>
      </c>
    </row>
    <row r="84" spans="1:7" ht="14.5">
      <c r="A84" s="859" t="s">
        <v>496</v>
      </c>
      <c r="B84" s="492">
        <v>8960829</v>
      </c>
      <c r="C84" s="861">
        <v>70.3</v>
      </c>
      <c r="D84" s="862">
        <f t="shared" si="5"/>
        <v>0.21232770383358002</v>
      </c>
      <c r="E84" s="862">
        <v>0.21232770383358002</v>
      </c>
      <c r="F84" s="863">
        <v>2000</v>
      </c>
      <c r="G84" s="36" t="s">
        <v>572</v>
      </c>
    </row>
    <row r="85" spans="1:7" ht="14.5">
      <c r="A85" s="859" t="s">
        <v>617</v>
      </c>
      <c r="B85" s="492">
        <v>9783925</v>
      </c>
      <c r="C85" s="861">
        <v>99</v>
      </c>
      <c r="D85" s="862">
        <v>0.54307985305786133</v>
      </c>
      <c r="E85" s="862">
        <v>0.54307985305786133</v>
      </c>
      <c r="F85" s="863">
        <v>2003</v>
      </c>
      <c r="G85" s="36" t="s">
        <v>572</v>
      </c>
    </row>
    <row r="86" spans="1:7" ht="14.5">
      <c r="A86" s="859" t="s">
        <v>497</v>
      </c>
      <c r="B86" s="492">
        <v>330243</v>
      </c>
      <c r="C86" s="861">
        <v>100</v>
      </c>
      <c r="D86" s="862">
        <v>1.0035461187362671</v>
      </c>
      <c r="E86" s="862">
        <v>1.0035461187362671</v>
      </c>
      <c r="F86" s="863">
        <v>2000</v>
      </c>
      <c r="G86" s="36" t="s">
        <v>582</v>
      </c>
    </row>
    <row r="87" spans="1:7" ht="14.5">
      <c r="A87" s="859" t="s">
        <v>498</v>
      </c>
      <c r="B87" s="492">
        <v>1309053980</v>
      </c>
      <c r="C87" s="861">
        <v>75</v>
      </c>
      <c r="D87" s="862">
        <f>IF(E87&lt;$B$211,$B$211,E87)</f>
        <v>5.6809425354003906E-2</v>
      </c>
      <c r="E87" s="862">
        <v>5.6809425354003906E-2</v>
      </c>
      <c r="F87" s="863">
        <v>2004</v>
      </c>
      <c r="G87" s="36" t="s">
        <v>582</v>
      </c>
    </row>
    <row r="88" spans="1:7" ht="14.5">
      <c r="A88" s="859" t="s">
        <v>499</v>
      </c>
      <c r="B88" s="492">
        <v>258162113</v>
      </c>
      <c r="C88" s="861">
        <v>64.5</v>
      </c>
      <c r="D88" s="862">
        <f>IF(E88&lt;$B$211,$B$211,E88)</f>
        <v>3.1362134963274002E-2</v>
      </c>
      <c r="E88" s="862">
        <v>3.1362134963274002E-2</v>
      </c>
      <c r="F88" s="863">
        <v>2003</v>
      </c>
      <c r="G88" s="36" t="s">
        <v>582</v>
      </c>
    </row>
    <row r="89" spans="1:7" ht="14.5">
      <c r="A89" s="859" t="s">
        <v>500</v>
      </c>
      <c r="B89" s="492">
        <v>79360487</v>
      </c>
      <c r="C89" s="861">
        <v>98.4</v>
      </c>
      <c r="D89" s="862">
        <f>IF(E89&lt;$B$211,$B$211,E89)</f>
        <v>9.438449889421463E-2</v>
      </c>
      <c r="E89" s="862">
        <v>9.438449889421463E-2</v>
      </c>
      <c r="F89" s="863">
        <v>2004</v>
      </c>
      <c r="G89" s="36" t="s">
        <v>582</v>
      </c>
    </row>
    <row r="90" spans="1:7" ht="14.5">
      <c r="A90" s="864" t="s">
        <v>501</v>
      </c>
      <c r="B90" s="492">
        <v>36115649</v>
      </c>
      <c r="C90" s="861">
        <v>86</v>
      </c>
      <c r="D90" s="862">
        <f>IF(E90&lt;$B$211,$B$211,E90)</f>
        <v>0.44434559345245361</v>
      </c>
      <c r="E90" s="862">
        <v>0.44434559345245361</v>
      </c>
      <c r="F90" s="863">
        <v>2004</v>
      </c>
      <c r="G90" s="36" t="s">
        <v>572</v>
      </c>
    </row>
    <row r="91" spans="1:7" ht="14.5">
      <c r="A91" s="859" t="s">
        <v>502</v>
      </c>
      <c r="B91" s="492">
        <v>4700107</v>
      </c>
      <c r="C91" s="861">
        <v>100</v>
      </c>
      <c r="D91" s="862">
        <v>0.55938982963562012</v>
      </c>
      <c r="E91" s="862">
        <v>0.55938982963562012</v>
      </c>
      <c r="F91" s="863">
        <v>2004</v>
      </c>
      <c r="G91" s="36" t="s">
        <v>583</v>
      </c>
    </row>
    <row r="92" spans="1:7" ht="14.5">
      <c r="A92" s="859" t="s">
        <v>503</v>
      </c>
      <c r="B92" s="492">
        <v>8064547</v>
      </c>
      <c r="C92" s="861">
        <v>99.7</v>
      </c>
      <c r="D92" s="862">
        <v>1.1674180030822754</v>
      </c>
      <c r="E92" s="862">
        <v>1.1674180030822754</v>
      </c>
      <c r="F92" s="863">
        <v>2003</v>
      </c>
      <c r="G92" s="36" t="s">
        <v>572</v>
      </c>
    </row>
    <row r="93" spans="1:7" ht="14.5">
      <c r="A93" s="859" t="s">
        <v>504</v>
      </c>
      <c r="B93" s="492">
        <v>59504212</v>
      </c>
      <c r="C93" s="861">
        <v>100</v>
      </c>
      <c r="D93" s="862">
        <v>0.5754542350769043</v>
      </c>
      <c r="E93" s="862">
        <v>0.5754542350769043</v>
      </c>
      <c r="F93" s="863">
        <v>2004</v>
      </c>
      <c r="G93" s="36" t="s">
        <v>582</v>
      </c>
    </row>
    <row r="94" spans="1:7" ht="14.5">
      <c r="A94" s="859" t="s">
        <v>505</v>
      </c>
      <c r="B94" s="492">
        <v>2871934</v>
      </c>
      <c r="C94" s="861">
        <v>92</v>
      </c>
      <c r="D94" s="862">
        <f>IF(E94&lt;$B$211,$B$211,E94)</f>
        <v>7.9969823360443115E-2</v>
      </c>
      <c r="E94" s="862">
        <v>7.9969823360443115E-2</v>
      </c>
      <c r="F94" s="863">
        <v>2003</v>
      </c>
      <c r="G94" s="36" t="s">
        <v>572</v>
      </c>
    </row>
    <row r="95" spans="1:7" ht="14.5">
      <c r="A95" s="859" t="s">
        <v>618</v>
      </c>
      <c r="B95" s="492">
        <v>127974958</v>
      </c>
      <c r="C95" s="861">
        <v>100</v>
      </c>
      <c r="D95" s="862">
        <v>0.71000486612319946</v>
      </c>
      <c r="E95" s="862">
        <v>0.71000486612319946</v>
      </c>
      <c r="F95" s="863">
        <v>2002</v>
      </c>
      <c r="G95" s="36" t="s">
        <v>582</v>
      </c>
    </row>
    <row r="96" spans="1:7" ht="14.5">
      <c r="A96" s="859" t="s">
        <v>506</v>
      </c>
      <c r="B96" s="492">
        <v>9159302</v>
      </c>
      <c r="C96" s="861">
        <v>99.9</v>
      </c>
      <c r="D96" s="862">
        <f t="shared" ref="D96:D108" si="6">IF(E96&lt;$B$211,$B$211,E96)</f>
        <v>1.2949768304824829</v>
      </c>
      <c r="E96" s="862">
        <v>1.2949768304824829</v>
      </c>
      <c r="F96" s="863">
        <v>2004</v>
      </c>
    </row>
    <row r="97" spans="1:7" ht="14.5">
      <c r="A97" s="859" t="s">
        <v>619</v>
      </c>
      <c r="B97" s="492">
        <v>17749648</v>
      </c>
      <c r="C97" s="861">
        <v>72.7</v>
      </c>
      <c r="D97" s="862">
        <f t="shared" si="6"/>
        <v>0.33791226148605347</v>
      </c>
      <c r="E97" s="862">
        <v>0.33791226148605347</v>
      </c>
      <c r="F97" s="863">
        <v>2003</v>
      </c>
      <c r="G97" s="3" t="s">
        <v>582</v>
      </c>
    </row>
    <row r="98" spans="1:7" ht="14.5">
      <c r="A98" s="859" t="s">
        <v>507</v>
      </c>
      <c r="B98" s="492">
        <v>47236259</v>
      </c>
      <c r="C98" s="861">
        <v>16.100000000000001</v>
      </c>
      <c r="D98" s="862">
        <f t="shared" si="6"/>
        <v>4.1332509368658066E-2</v>
      </c>
      <c r="E98" s="862">
        <v>4.1332509368658066E-2</v>
      </c>
      <c r="F98" s="863">
        <v>2004</v>
      </c>
    </row>
    <row r="99" spans="1:7" ht="14.5">
      <c r="A99" s="864" t="s">
        <v>676</v>
      </c>
      <c r="B99" s="492">
        <v>112407</v>
      </c>
      <c r="C99" s="861">
        <f>C120</f>
        <v>95</v>
      </c>
      <c r="D99" s="862">
        <f t="shared" si="6"/>
        <v>4.9382716417312622E-2</v>
      </c>
      <c r="E99" s="862">
        <v>4.9382716417312622E-2</v>
      </c>
      <c r="F99" s="863">
        <v>1998</v>
      </c>
      <c r="G99" s="36" t="s">
        <v>582</v>
      </c>
    </row>
    <row r="100" spans="1:7" ht="14.5">
      <c r="A100" s="859" t="s">
        <v>508</v>
      </c>
      <c r="B100" s="492">
        <v>3935794</v>
      </c>
      <c r="C100" s="861">
        <v>100</v>
      </c>
      <c r="D100" s="862">
        <f t="shared" si="6"/>
        <v>0.28601783514022827</v>
      </c>
      <c r="E100" s="862">
        <v>0.28601783514022827</v>
      </c>
      <c r="F100" s="863">
        <v>2001</v>
      </c>
    </row>
    <row r="101" spans="1:7" ht="14.5">
      <c r="A101" s="859" t="s">
        <v>509</v>
      </c>
      <c r="B101" s="492">
        <v>5865401</v>
      </c>
      <c r="C101" s="861">
        <v>100</v>
      </c>
      <c r="D101" s="862">
        <f t="shared" si="6"/>
        <v>0.19307123124599457</v>
      </c>
      <c r="E101" s="862">
        <v>0.19307123124599457</v>
      </c>
      <c r="F101" s="863">
        <v>2003</v>
      </c>
      <c r="G101" s="3" t="s">
        <v>582</v>
      </c>
    </row>
    <row r="102" spans="1:7" ht="14.5">
      <c r="A102" s="859" t="s">
        <v>510</v>
      </c>
      <c r="B102" s="492">
        <v>6663967</v>
      </c>
      <c r="C102" s="861">
        <v>55</v>
      </c>
      <c r="D102" s="862">
        <f t="shared" si="6"/>
        <v>4.0824826806783676E-2</v>
      </c>
      <c r="E102" s="862">
        <v>4.0824826806783676E-2</v>
      </c>
      <c r="F102" s="863">
        <v>1996</v>
      </c>
      <c r="G102" s="36"/>
    </row>
    <row r="103" spans="1:7" ht="14.5">
      <c r="A103" s="859" t="s">
        <v>620</v>
      </c>
      <c r="B103" s="492">
        <v>1992663</v>
      </c>
      <c r="C103" s="861">
        <v>98</v>
      </c>
      <c r="D103" s="862">
        <f t="shared" si="6"/>
        <v>0.55786734819412231</v>
      </c>
      <c r="E103" s="862">
        <v>0.55786734819412231</v>
      </c>
      <c r="F103" s="863">
        <v>2003</v>
      </c>
      <c r="G103" s="3" t="s">
        <v>582</v>
      </c>
    </row>
    <row r="104" spans="1:7" ht="14.5">
      <c r="A104" s="864" t="s">
        <v>511</v>
      </c>
      <c r="B104" s="492">
        <v>5851479</v>
      </c>
      <c r="C104" s="861">
        <v>99.9</v>
      </c>
      <c r="D104" s="862">
        <f t="shared" si="6"/>
        <v>1.2109131813049316</v>
      </c>
      <c r="E104" s="862">
        <v>1.2109131813049316</v>
      </c>
      <c r="F104" s="863">
        <v>2001</v>
      </c>
      <c r="G104" s="3" t="s">
        <v>582</v>
      </c>
    </row>
    <row r="105" spans="1:7" ht="14.5">
      <c r="A105" s="859" t="s">
        <v>512</v>
      </c>
      <c r="B105" s="492">
        <v>2174645</v>
      </c>
      <c r="C105" s="861">
        <v>16</v>
      </c>
      <c r="D105" s="862">
        <f t="shared" si="6"/>
        <v>1.6919938474893571E-2</v>
      </c>
      <c r="E105" s="862">
        <v>8.8790236040949821E-3</v>
      </c>
      <c r="F105" s="863">
        <v>2003</v>
      </c>
    </row>
    <row r="106" spans="1:7" ht="14.5">
      <c r="A106" s="864" t="s">
        <v>621</v>
      </c>
      <c r="B106" s="492">
        <v>4499621</v>
      </c>
      <c r="C106" s="861">
        <v>1.9</v>
      </c>
      <c r="D106" s="862">
        <f t="shared" si="6"/>
        <v>1.6919938474893571E-2</v>
      </c>
      <c r="E106" s="862">
        <v>3.7281331606209278E-3</v>
      </c>
      <c r="F106" s="863">
        <v>2004</v>
      </c>
      <c r="G106" s="3" t="s">
        <v>582</v>
      </c>
    </row>
    <row r="107" spans="1:7" ht="14.5">
      <c r="A107" s="864" t="s">
        <v>513</v>
      </c>
      <c r="B107" s="492">
        <v>6234955</v>
      </c>
      <c r="C107" s="861">
        <v>99.8</v>
      </c>
      <c r="D107" s="862">
        <f t="shared" si="6"/>
        <v>0.14031180739402771</v>
      </c>
      <c r="E107" s="862">
        <v>0.14031180739402771</v>
      </c>
      <c r="F107" s="863">
        <v>1997</v>
      </c>
      <c r="G107" s="36"/>
    </row>
    <row r="108" spans="1:7" ht="14.5">
      <c r="A108" s="859" t="s">
        <v>622</v>
      </c>
      <c r="B108" s="492">
        <v>2931926</v>
      </c>
      <c r="C108" s="861">
        <v>99</v>
      </c>
      <c r="D108" s="862">
        <f t="shared" si="6"/>
        <v>0.68873405456542969</v>
      </c>
      <c r="E108" s="862">
        <v>0.68873405456542969</v>
      </c>
      <c r="F108" s="863">
        <v>2003</v>
      </c>
      <c r="G108" s="36" t="s">
        <v>572</v>
      </c>
    </row>
    <row r="109" spans="1:7" ht="14.5">
      <c r="A109" s="859" t="s">
        <v>514</v>
      </c>
      <c r="B109" s="492">
        <v>566741</v>
      </c>
      <c r="C109" s="861">
        <v>100</v>
      </c>
      <c r="D109" s="862">
        <v>0.71302425861358643</v>
      </c>
      <c r="E109" s="862">
        <v>0.71302425861358643</v>
      </c>
      <c r="F109" s="863">
        <v>2003</v>
      </c>
      <c r="G109" s="36" t="s">
        <v>582</v>
      </c>
    </row>
    <row r="110" spans="1:7" ht="14.5">
      <c r="A110" s="859" t="s">
        <v>515</v>
      </c>
      <c r="B110" s="492">
        <v>24234088</v>
      </c>
      <c r="C110" s="861">
        <v>19</v>
      </c>
      <c r="D110" s="862">
        <f t="shared" ref="D110:D118" si="7">IF(E110&lt;$B$211,$B$211,E110)</f>
        <v>2.2903747856616974E-2</v>
      </c>
      <c r="E110" s="862">
        <v>2.2903747856616974E-2</v>
      </c>
      <c r="F110" s="863">
        <v>2004</v>
      </c>
      <c r="G110" s="36" t="s">
        <v>582</v>
      </c>
    </row>
    <row r="111" spans="1:7" ht="14.5">
      <c r="A111" s="859" t="s">
        <v>683</v>
      </c>
      <c r="B111" s="492">
        <v>17573607</v>
      </c>
      <c r="C111" s="861">
        <v>9</v>
      </c>
      <c r="D111" s="862">
        <f t="shared" si="7"/>
        <v>1.6919938474893571E-2</v>
      </c>
      <c r="E111" s="862">
        <f>$E$125</f>
        <v>8.2890205085277557E-3</v>
      </c>
      <c r="F111" s="867"/>
      <c r="G111" s="36" t="s">
        <v>582</v>
      </c>
    </row>
    <row r="112" spans="1:7" ht="14.5">
      <c r="A112" s="859" t="s">
        <v>516</v>
      </c>
      <c r="B112" s="492">
        <v>30723155</v>
      </c>
      <c r="C112" s="861">
        <v>99.4</v>
      </c>
      <c r="D112" s="862">
        <f t="shared" si="7"/>
        <v>9.3213342130184174E-2</v>
      </c>
      <c r="E112" s="862">
        <v>9.3213342130184174E-2</v>
      </c>
      <c r="F112" s="863">
        <v>2000</v>
      </c>
    </row>
    <row r="113" spans="1:11" ht="14.5">
      <c r="A113" s="859" t="s">
        <v>623</v>
      </c>
      <c r="B113" s="492">
        <v>418403</v>
      </c>
      <c r="C113" s="861">
        <v>99.8</v>
      </c>
      <c r="D113" s="862">
        <f t="shared" si="7"/>
        <v>4.268292710185051E-2</v>
      </c>
      <c r="E113" s="862">
        <v>4.268292710185051E-2</v>
      </c>
      <c r="F113" s="863">
        <v>2004</v>
      </c>
    </row>
    <row r="114" spans="1:11" ht="14.5">
      <c r="A114" s="864" t="s">
        <v>624</v>
      </c>
      <c r="B114" s="492">
        <v>17467905</v>
      </c>
      <c r="C114" s="861">
        <v>16.600000000000001</v>
      </c>
      <c r="D114" s="862">
        <f t="shared" si="7"/>
        <v>1.6919938474893571E-2</v>
      </c>
      <c r="E114" s="862">
        <v>6.2644490972161293E-3</v>
      </c>
      <c r="F114" s="863">
        <v>2004</v>
      </c>
      <c r="G114" s="36"/>
      <c r="J114" s="494"/>
      <c r="K114" s="495"/>
    </row>
    <row r="115" spans="1:11" ht="14.5">
      <c r="A115" s="859" t="s">
        <v>517</v>
      </c>
      <c r="B115" s="492">
        <v>427616</v>
      </c>
      <c r="C115" s="861">
        <v>100</v>
      </c>
      <c r="D115" s="862">
        <f t="shared" si="7"/>
        <v>0.42385786771774292</v>
      </c>
      <c r="E115" s="862">
        <v>0.42385786771774292</v>
      </c>
      <c r="F115" s="863">
        <v>2003</v>
      </c>
      <c r="J115" s="494"/>
      <c r="K115" s="495"/>
    </row>
    <row r="116" spans="1:11" ht="14.5">
      <c r="A116" s="859" t="s">
        <v>625</v>
      </c>
      <c r="B116" s="492">
        <v>52994</v>
      </c>
      <c r="C116" s="861">
        <v>68.5</v>
      </c>
      <c r="D116" s="862">
        <f t="shared" si="7"/>
        <v>7.8431375324726105E-2</v>
      </c>
      <c r="E116" s="862">
        <v>7.8431375324726105E-2</v>
      </c>
      <c r="F116" s="863">
        <v>2000</v>
      </c>
      <c r="J116" s="494"/>
      <c r="K116" s="495"/>
    </row>
    <row r="117" spans="1:11" ht="14.5">
      <c r="A117" s="859" t="s">
        <v>626</v>
      </c>
      <c r="B117" s="492">
        <v>4182341.0000000005</v>
      </c>
      <c r="C117" s="861">
        <v>19</v>
      </c>
      <c r="D117" s="862">
        <f t="shared" si="7"/>
        <v>2.1476510912179947E-2</v>
      </c>
      <c r="E117" s="862">
        <v>2.1476510912179947E-2</v>
      </c>
      <c r="F117" s="863">
        <v>2004</v>
      </c>
      <c r="G117" s="3" t="s">
        <v>582</v>
      </c>
      <c r="J117" s="494"/>
      <c r="K117" s="493"/>
    </row>
    <row r="118" spans="1:11" ht="14.5">
      <c r="A118" s="859" t="s">
        <v>518</v>
      </c>
      <c r="B118" s="492">
        <v>1259456</v>
      </c>
      <c r="C118" s="861">
        <v>99.4</v>
      </c>
      <c r="D118" s="862">
        <f t="shared" si="7"/>
        <v>0.18896998465061188</v>
      </c>
      <c r="E118" s="862">
        <v>0.18896998465061188</v>
      </c>
      <c r="F118" s="863">
        <v>2004</v>
      </c>
      <c r="G118" s="36" t="s">
        <v>572</v>
      </c>
      <c r="J118" s="494"/>
      <c r="K118" s="495"/>
    </row>
    <row r="119" spans="1:11" ht="14.5">
      <c r="A119" s="859" t="s">
        <v>627</v>
      </c>
      <c r="B119" s="492">
        <v>125890949</v>
      </c>
      <c r="C119" s="861">
        <v>97</v>
      </c>
      <c r="D119" s="862">
        <v>0.79125267267227173</v>
      </c>
      <c r="E119" s="862">
        <v>0.79125267267227173</v>
      </c>
      <c r="F119" s="863">
        <v>2000</v>
      </c>
      <c r="J119" s="494"/>
      <c r="K119" s="493"/>
    </row>
    <row r="120" spans="1:11" ht="14.5">
      <c r="A120" s="859" t="s">
        <v>628</v>
      </c>
      <c r="B120" s="492">
        <v>104433</v>
      </c>
      <c r="C120" s="861">
        <v>95</v>
      </c>
      <c r="D120" s="862">
        <f t="shared" ref="D120:D129" si="8">IF(E120&lt;$B$211,$B$211,E120)</f>
        <v>0.13084112107753754</v>
      </c>
      <c r="E120" s="862">
        <v>0.13084112107753754</v>
      </c>
      <c r="F120" s="863">
        <v>2000</v>
      </c>
      <c r="G120" s="36"/>
      <c r="J120" s="494"/>
      <c r="K120" s="493"/>
    </row>
    <row r="121" spans="1:11" ht="14.5">
      <c r="A121" s="864" t="s">
        <v>519</v>
      </c>
      <c r="B121" s="492">
        <v>38307</v>
      </c>
      <c r="C121" s="861">
        <v>100</v>
      </c>
      <c r="D121" s="862">
        <f t="shared" si="8"/>
        <v>1.0625</v>
      </c>
      <c r="E121" s="862">
        <v>1.0625</v>
      </c>
      <c r="F121" s="863">
        <v>1995</v>
      </c>
      <c r="G121" s="3" t="s">
        <v>582</v>
      </c>
      <c r="J121" s="494"/>
      <c r="K121" s="495"/>
    </row>
    <row r="122" spans="1:11" ht="14.5">
      <c r="A122" s="859" t="s">
        <v>629</v>
      </c>
      <c r="B122" s="492">
        <v>2976877</v>
      </c>
      <c r="C122" s="861">
        <v>87.5</v>
      </c>
      <c r="D122" s="862">
        <f t="shared" si="8"/>
        <v>0.1316920667886734</v>
      </c>
      <c r="E122" s="862">
        <v>0.1316920667886734</v>
      </c>
      <c r="F122" s="863">
        <v>2002</v>
      </c>
      <c r="J122" s="494"/>
      <c r="K122" s="495"/>
    </row>
    <row r="123" spans="1:11" ht="14.5">
      <c r="A123" s="859" t="s">
        <v>579</v>
      </c>
      <c r="B123" s="492">
        <v>628178</v>
      </c>
      <c r="C123" s="861">
        <v>100</v>
      </c>
      <c r="D123" s="862">
        <f t="shared" si="8"/>
        <v>0.35994303226470947</v>
      </c>
      <c r="E123" s="862">
        <v>0.35994303226470947</v>
      </c>
      <c r="F123" s="863">
        <v>2002</v>
      </c>
      <c r="G123" s="3" t="s">
        <v>582</v>
      </c>
      <c r="J123" s="494"/>
      <c r="K123" s="495"/>
    </row>
    <row r="124" spans="1:11" ht="14.5">
      <c r="A124" s="859" t="s">
        <v>520</v>
      </c>
      <c r="B124" s="492">
        <v>34803322</v>
      </c>
      <c r="C124" s="861">
        <v>97</v>
      </c>
      <c r="D124" s="862">
        <f t="shared" si="8"/>
        <v>9.9504247307777405E-2</v>
      </c>
      <c r="E124" s="862">
        <v>9.9504247307777405E-2</v>
      </c>
      <c r="F124" s="863">
        <v>2004</v>
      </c>
      <c r="G124" s="3" t="s">
        <v>582</v>
      </c>
      <c r="J124" s="494"/>
      <c r="K124" s="493"/>
    </row>
    <row r="125" spans="1:11" ht="14.5">
      <c r="A125" s="859" t="s">
        <v>521</v>
      </c>
      <c r="B125" s="492">
        <v>28010691</v>
      </c>
      <c r="C125" s="861">
        <v>11.7</v>
      </c>
      <c r="D125" s="862">
        <f t="shared" si="8"/>
        <v>1.6919938474893571E-2</v>
      </c>
      <c r="E125" s="862">
        <v>8.2890205085277557E-3</v>
      </c>
      <c r="F125" s="863">
        <v>2004</v>
      </c>
      <c r="G125" s="3" t="s">
        <v>582</v>
      </c>
    </row>
    <row r="126" spans="1:11" ht="14.5">
      <c r="A126" s="864" t="s">
        <v>522</v>
      </c>
      <c r="B126" s="492">
        <v>52403669</v>
      </c>
      <c r="C126" s="861">
        <v>13</v>
      </c>
      <c r="D126" s="862">
        <f t="shared" si="8"/>
        <v>2.7863714843988419E-2</v>
      </c>
      <c r="E126" s="862">
        <v>2.7863714843988419E-2</v>
      </c>
      <c r="F126" s="863">
        <v>2004</v>
      </c>
      <c r="G126" s="3" t="s">
        <v>582</v>
      </c>
    </row>
    <row r="127" spans="1:11" ht="14.5">
      <c r="A127" s="859" t="s">
        <v>523</v>
      </c>
      <c r="B127" s="492">
        <v>2425561</v>
      </c>
      <c r="C127" s="861">
        <v>34</v>
      </c>
      <c r="D127" s="862">
        <f t="shared" si="8"/>
        <v>5.6190948933362961E-2</v>
      </c>
      <c r="E127" s="862">
        <v>5.6190948933362961E-2</v>
      </c>
      <c r="F127" s="863">
        <v>2004</v>
      </c>
    </row>
    <row r="128" spans="1:11" ht="14.5">
      <c r="A128" s="864" t="s">
        <v>682</v>
      </c>
      <c r="B128" s="492">
        <v>11260</v>
      </c>
      <c r="C128" s="861">
        <v>100</v>
      </c>
      <c r="D128" s="862">
        <f t="shared" si="8"/>
        <v>0.13084112107753754</v>
      </c>
      <c r="E128" s="862">
        <f>$E$120</f>
        <v>0.13084112107753754</v>
      </c>
      <c r="F128" s="867"/>
      <c r="G128" s="3" t="s">
        <v>582</v>
      </c>
    </row>
    <row r="129" spans="1:7" ht="14.5">
      <c r="A129" s="859" t="s">
        <v>524</v>
      </c>
      <c r="B129" s="492">
        <v>28656282</v>
      </c>
      <c r="C129" s="861">
        <v>43.6</v>
      </c>
      <c r="D129" s="862">
        <f t="shared" si="8"/>
        <v>1.6919938474893571E-2</v>
      </c>
      <c r="E129" s="862">
        <v>1.3955296017229557E-2</v>
      </c>
      <c r="F129" s="863">
        <v>2004</v>
      </c>
      <c r="G129" s="36" t="s">
        <v>572</v>
      </c>
    </row>
    <row r="130" spans="1:7" ht="14.5">
      <c r="A130" s="859" t="s">
        <v>525</v>
      </c>
      <c r="B130" s="492">
        <v>16938499</v>
      </c>
      <c r="C130" s="861">
        <v>100</v>
      </c>
      <c r="D130" s="862">
        <v>0.4804631769657135</v>
      </c>
      <c r="E130" s="862">
        <v>0.4804631769657135</v>
      </c>
      <c r="F130" s="863">
        <v>2003</v>
      </c>
      <c r="G130" s="36" t="s">
        <v>572</v>
      </c>
    </row>
    <row r="131" spans="1:7" ht="14.5">
      <c r="A131" s="859" t="s">
        <v>630</v>
      </c>
      <c r="B131" s="492">
        <v>4614532</v>
      </c>
      <c r="C131" s="861">
        <v>87</v>
      </c>
      <c r="D131" s="862">
        <v>0.67785060405731201</v>
      </c>
      <c r="E131" s="862">
        <v>0.67785060405731201</v>
      </c>
      <c r="F131" s="863">
        <v>2001</v>
      </c>
      <c r="G131" s="36" t="s">
        <v>582</v>
      </c>
    </row>
    <row r="132" spans="1:7" ht="14.5">
      <c r="A132" s="859" t="s">
        <v>526</v>
      </c>
      <c r="B132" s="492">
        <v>6082035</v>
      </c>
      <c r="C132" s="861">
        <v>72.099999999999994</v>
      </c>
      <c r="D132" s="862">
        <f>IF(E132&lt;$B$211,$B$211,E132)</f>
        <v>4.4456642121076584E-2</v>
      </c>
      <c r="E132" s="862">
        <v>4.4456642121076584E-2</v>
      </c>
      <c r="F132" s="863">
        <v>2003</v>
      </c>
    </row>
    <row r="133" spans="1:7" ht="14.5">
      <c r="A133" s="859" t="s">
        <v>631</v>
      </c>
      <c r="B133" s="492">
        <v>19896965</v>
      </c>
      <c r="C133" s="861">
        <v>9.3000000000000007</v>
      </c>
      <c r="D133" s="862">
        <f>IF(E133&lt;$B$211,$B$211,E133)</f>
        <v>1.6919938474893571E-2</v>
      </c>
      <c r="E133" s="862">
        <v>1.2082158355042338E-3</v>
      </c>
      <c r="F133" s="863">
        <v>2004</v>
      </c>
      <c r="G133" s="3" t="s">
        <v>582</v>
      </c>
    </row>
    <row r="134" spans="1:7" ht="14.5">
      <c r="A134" s="864" t="s">
        <v>527</v>
      </c>
      <c r="B134" s="492">
        <v>181181744</v>
      </c>
      <c r="C134" s="861">
        <v>50.6</v>
      </c>
      <c r="D134" s="862">
        <f>IF(E134&lt;$B$211,$B$211,E134)</f>
        <v>2.0014677196741104E-2</v>
      </c>
      <c r="E134" s="862">
        <v>2.0014677196741104E-2</v>
      </c>
      <c r="F134" s="863">
        <v>2003</v>
      </c>
    </row>
    <row r="135" spans="1:7" ht="14.5">
      <c r="A135" s="859" t="s">
        <v>632</v>
      </c>
      <c r="B135" s="492">
        <v>1629</v>
      </c>
      <c r="C135" s="861">
        <v>97</v>
      </c>
      <c r="D135" s="862">
        <f>IF(E135&lt;$B$211,$B$211,E135)</f>
        <v>1</v>
      </c>
      <c r="E135" s="862">
        <v>1</v>
      </c>
      <c r="F135" s="863">
        <v>1996</v>
      </c>
      <c r="G135" s="36" t="s">
        <v>572</v>
      </c>
    </row>
    <row r="136" spans="1:7" ht="14.5">
      <c r="A136" s="859" t="s">
        <v>528</v>
      </c>
      <c r="B136" s="492">
        <v>5199836</v>
      </c>
      <c r="C136" s="861">
        <v>100</v>
      </c>
      <c r="D136" s="862">
        <v>0.82351642847061157</v>
      </c>
      <c r="E136" s="862">
        <v>0.82351642847061157</v>
      </c>
      <c r="F136" s="863">
        <v>2003</v>
      </c>
      <c r="G136" s="36" t="s">
        <v>582</v>
      </c>
    </row>
    <row r="137" spans="1:7" ht="14.5">
      <c r="A137" s="859" t="s">
        <v>529</v>
      </c>
      <c r="B137" s="492">
        <v>4199810</v>
      </c>
      <c r="C137" s="861">
        <v>98</v>
      </c>
      <c r="D137" s="862">
        <f t="shared" ref="D137:D144" si="9">IF(E137&lt;$B$211,$B$211,E137)</f>
        <v>0.1853492259979248</v>
      </c>
      <c r="E137" s="862">
        <v>0.1853492259979248</v>
      </c>
      <c r="F137" s="863">
        <v>2004</v>
      </c>
      <c r="G137" s="36" t="s">
        <v>582</v>
      </c>
    </row>
    <row r="138" spans="1:7" ht="14.5">
      <c r="A138" s="864" t="s">
        <v>530</v>
      </c>
      <c r="B138" s="492">
        <v>189380513</v>
      </c>
      <c r="C138" s="861">
        <v>62.4</v>
      </c>
      <c r="D138" s="862">
        <f t="shared" si="9"/>
        <v>4.9976162612438202E-2</v>
      </c>
      <c r="E138" s="862">
        <v>4.9976162612438202E-2</v>
      </c>
      <c r="F138" s="863">
        <v>2004</v>
      </c>
    </row>
    <row r="139" spans="1:7" ht="14.5">
      <c r="A139" s="864" t="s">
        <v>633</v>
      </c>
      <c r="B139" s="492">
        <v>21288</v>
      </c>
      <c r="C139" s="861">
        <v>97</v>
      </c>
      <c r="D139" s="862">
        <f t="shared" si="9"/>
        <v>0.1111111119389534</v>
      </c>
      <c r="E139" s="862">
        <v>0.1111111119389534</v>
      </c>
      <c r="F139" s="863">
        <v>1998</v>
      </c>
      <c r="G139" s="36" t="s">
        <v>582</v>
      </c>
    </row>
    <row r="140" spans="1:7" ht="14.5">
      <c r="A140" s="859" t="s">
        <v>531</v>
      </c>
      <c r="B140" s="492">
        <v>3969249</v>
      </c>
      <c r="C140" s="861">
        <v>88.1</v>
      </c>
      <c r="D140" s="862">
        <f t="shared" si="9"/>
        <v>0.75627118349075317</v>
      </c>
      <c r="E140" s="862">
        <v>0.75627118349075317</v>
      </c>
      <c r="F140" s="863">
        <v>2000</v>
      </c>
    </row>
    <row r="141" spans="1:7" ht="14.5">
      <c r="A141" s="864" t="s">
        <v>634</v>
      </c>
      <c r="B141" s="492">
        <v>7919825</v>
      </c>
      <c r="C141" s="861">
        <v>11</v>
      </c>
      <c r="D141" s="862">
        <f t="shared" si="9"/>
        <v>1.6919938474893571E-2</v>
      </c>
      <c r="E141" s="862">
        <v>1.6872890293598175E-2</v>
      </c>
      <c r="F141" s="863">
        <v>2000</v>
      </c>
      <c r="G141" s="3" t="s">
        <v>582</v>
      </c>
    </row>
    <row r="142" spans="1:7" ht="14.5">
      <c r="A142" s="859" t="s">
        <v>532</v>
      </c>
      <c r="B142" s="492">
        <v>6639119</v>
      </c>
      <c r="C142" s="861">
        <v>96.7</v>
      </c>
      <c r="D142" s="862">
        <f t="shared" si="9"/>
        <v>0.55435538291931152</v>
      </c>
      <c r="E142" s="862">
        <v>0.55435538291931152</v>
      </c>
      <c r="F142" s="863">
        <v>2002</v>
      </c>
      <c r="G142" s="36" t="s">
        <v>582</v>
      </c>
    </row>
    <row r="143" spans="1:7" ht="14.5">
      <c r="A143" s="859" t="s">
        <v>533</v>
      </c>
      <c r="B143" s="492">
        <v>31376671</v>
      </c>
      <c r="C143" s="861">
        <v>85.7</v>
      </c>
      <c r="D143" s="862">
        <f t="shared" si="9"/>
        <v>0.11000587791204453</v>
      </c>
      <c r="E143" s="862">
        <v>0.11000587791204453</v>
      </c>
      <c r="F143" s="863">
        <v>1999</v>
      </c>
      <c r="G143" s="36" t="s">
        <v>582</v>
      </c>
    </row>
    <row r="144" spans="1:7" ht="14.5">
      <c r="A144" s="859" t="s">
        <v>534</v>
      </c>
      <c r="B144" s="492">
        <v>101716359</v>
      </c>
      <c r="C144" s="861">
        <v>89.7</v>
      </c>
      <c r="D144" s="862">
        <f t="shared" si="9"/>
        <v>0.11311434209346771</v>
      </c>
      <c r="E144" s="862">
        <v>0.11311434209346771</v>
      </c>
      <c r="F144" s="863">
        <v>2000</v>
      </c>
      <c r="G144" s="36" t="s">
        <v>572</v>
      </c>
    </row>
    <row r="145" spans="1:11" ht="14.5">
      <c r="A145" s="859" t="s">
        <v>635</v>
      </c>
      <c r="B145" s="492">
        <v>38265226</v>
      </c>
      <c r="C145" s="861">
        <v>100</v>
      </c>
      <c r="D145" s="862">
        <v>0.29675796627998352</v>
      </c>
      <c r="E145" s="862">
        <v>0.29675796627998352</v>
      </c>
      <c r="F145" s="863">
        <v>2003</v>
      </c>
      <c r="G145" s="36" t="s">
        <v>572</v>
      </c>
    </row>
    <row r="146" spans="1:11" ht="14.5">
      <c r="A146" s="859" t="s">
        <v>535</v>
      </c>
      <c r="B146" s="492">
        <v>10418473</v>
      </c>
      <c r="C146" s="861">
        <v>100</v>
      </c>
      <c r="D146" s="862">
        <v>0.54765927791595459</v>
      </c>
      <c r="E146" s="862">
        <v>0.54765927791595459</v>
      </c>
      <c r="F146" s="863">
        <v>2003</v>
      </c>
      <c r="G146" s="36" t="s">
        <v>582</v>
      </c>
    </row>
    <row r="147" spans="1:11" ht="14.5">
      <c r="A147" s="859" t="s">
        <v>536</v>
      </c>
      <c r="B147" s="492">
        <v>2481539</v>
      </c>
      <c r="C147" s="861">
        <v>98.7</v>
      </c>
      <c r="D147" s="862">
        <f>IF(E147&lt;$B$211,$B$211,E147)</f>
        <v>0.37225043773651123</v>
      </c>
      <c r="E147" s="862">
        <v>0.37225043773651123</v>
      </c>
      <c r="F147" s="863">
        <v>2001</v>
      </c>
      <c r="G147" s="36" t="s">
        <v>572</v>
      </c>
    </row>
    <row r="148" spans="1:11" ht="14.5">
      <c r="A148" s="859" t="s">
        <v>636</v>
      </c>
      <c r="B148" s="492">
        <v>50593662</v>
      </c>
      <c r="C148" s="861">
        <v>100</v>
      </c>
      <c r="D148" s="862">
        <v>0.33612158894538879</v>
      </c>
      <c r="E148" s="862">
        <v>0.33612158894538879</v>
      </c>
      <c r="F148" s="863">
        <v>2003</v>
      </c>
    </row>
    <row r="149" spans="1:11" ht="14.5">
      <c r="A149" s="859" t="s">
        <v>637</v>
      </c>
      <c r="B149" s="492">
        <v>4065980</v>
      </c>
      <c r="C149" s="861">
        <v>98.6</v>
      </c>
      <c r="D149" s="862">
        <f t="shared" ref="D149:D165" si="10">IF(E149&lt;$B$211,$B$211,E149)</f>
        <v>0.3288024365901947</v>
      </c>
      <c r="E149" s="862">
        <v>0.3288024365901947</v>
      </c>
      <c r="F149" s="863">
        <v>2003</v>
      </c>
      <c r="G149" s="3" t="s">
        <v>582</v>
      </c>
    </row>
    <row r="150" spans="1:11" ht="14.5">
      <c r="A150" s="864" t="s">
        <v>603</v>
      </c>
      <c r="B150" s="492">
        <v>4995648</v>
      </c>
      <c r="C150" s="861">
        <v>37.1</v>
      </c>
      <c r="D150" s="862">
        <f t="shared" si="10"/>
        <v>1.6919938474893571E-2</v>
      </c>
      <c r="E150" s="862">
        <v>3.1430067028850317E-3</v>
      </c>
      <c r="F150" s="863">
        <v>2004</v>
      </c>
    </row>
    <row r="151" spans="1:11" ht="14.5">
      <c r="A151" s="859" t="s">
        <v>537</v>
      </c>
      <c r="B151" s="492">
        <v>19876621</v>
      </c>
      <c r="C151" s="861">
        <v>99</v>
      </c>
      <c r="D151" s="862">
        <f t="shared" si="10"/>
        <v>0.22024714946746826</v>
      </c>
      <c r="E151" s="862">
        <v>0.22024714946746826</v>
      </c>
      <c r="F151" s="863">
        <v>2003</v>
      </c>
      <c r="G151" s="36"/>
    </row>
    <row r="152" spans="1:11" ht="14.5">
      <c r="A152" s="859" t="s">
        <v>638</v>
      </c>
      <c r="B152" s="492">
        <v>143888004</v>
      </c>
      <c r="C152" s="861">
        <v>93</v>
      </c>
      <c r="D152" s="862">
        <f t="shared" si="10"/>
        <v>0.32093042135238647</v>
      </c>
      <c r="E152" s="862">
        <v>0.32093042135238647</v>
      </c>
      <c r="F152" s="863">
        <v>2003</v>
      </c>
      <c r="J152" s="494"/>
      <c r="K152" s="495"/>
    </row>
    <row r="153" spans="1:11" ht="14.5">
      <c r="A153" s="859" t="s">
        <v>639</v>
      </c>
      <c r="B153" s="492">
        <v>11629553</v>
      </c>
      <c r="C153" s="861">
        <v>6</v>
      </c>
      <c r="D153" s="862">
        <f t="shared" si="10"/>
        <v>1.6919938474893571E-2</v>
      </c>
      <c r="E153" s="862">
        <v>2.4761231616139412E-3</v>
      </c>
      <c r="F153" s="863">
        <v>2004</v>
      </c>
      <c r="J153" s="494"/>
      <c r="K153" s="495"/>
    </row>
    <row r="154" spans="1:11" ht="14.5">
      <c r="A154" s="864" t="s">
        <v>538</v>
      </c>
      <c r="B154" s="492">
        <v>54288</v>
      </c>
      <c r="C154" s="861">
        <v>95</v>
      </c>
      <c r="D154" s="862">
        <f t="shared" si="10"/>
        <v>0.18604651093482971</v>
      </c>
      <c r="E154" s="862">
        <v>0.18604651093482971</v>
      </c>
      <c r="F154" s="863">
        <v>1997</v>
      </c>
      <c r="J154" s="494"/>
      <c r="K154" s="495"/>
    </row>
    <row r="155" spans="1:11" ht="14.5">
      <c r="A155" s="859" t="s">
        <v>539</v>
      </c>
      <c r="B155" s="492">
        <v>177206</v>
      </c>
      <c r="C155" s="861">
        <v>98</v>
      </c>
      <c r="D155" s="862">
        <f t="shared" si="10"/>
        <v>6.2068965286016464E-2</v>
      </c>
      <c r="E155" s="862">
        <v>6.2068965286016464E-2</v>
      </c>
      <c r="F155" s="863">
        <v>1999</v>
      </c>
      <c r="J155" s="494"/>
      <c r="K155" s="495"/>
    </row>
    <row r="156" spans="1:11" ht="14.5">
      <c r="A156" s="864" t="s">
        <v>640</v>
      </c>
      <c r="B156" s="492">
        <v>109455</v>
      </c>
      <c r="C156" s="861">
        <v>66.8</v>
      </c>
      <c r="D156" s="862">
        <f t="shared" si="10"/>
        <v>5.1724139600992203E-2</v>
      </c>
      <c r="E156" s="862">
        <v>5.1724139600992203E-2</v>
      </c>
      <c r="F156" s="863">
        <v>1997</v>
      </c>
      <c r="J156" s="494"/>
      <c r="K156" s="493"/>
    </row>
    <row r="157" spans="1:11" ht="14.5">
      <c r="A157" s="859" t="s">
        <v>540</v>
      </c>
      <c r="B157" s="492">
        <v>193759</v>
      </c>
      <c r="C157" s="861">
        <v>93</v>
      </c>
      <c r="D157" s="862">
        <f t="shared" si="10"/>
        <v>0.17543859779834747</v>
      </c>
      <c r="E157" s="862">
        <v>0.17543859779834747</v>
      </c>
      <c r="F157" s="863">
        <v>1999</v>
      </c>
      <c r="J157" s="494"/>
      <c r="K157" s="495"/>
    </row>
    <row r="158" spans="1:11" ht="14.5">
      <c r="A158" s="859" t="s">
        <v>641</v>
      </c>
      <c r="B158" s="492">
        <v>32960</v>
      </c>
      <c r="C158" s="861">
        <v>100</v>
      </c>
      <c r="D158" s="862">
        <f t="shared" si="10"/>
        <v>0.34782609343528748</v>
      </c>
      <c r="E158" s="862">
        <v>0.34782609343528748</v>
      </c>
      <c r="F158" s="863">
        <v>1990</v>
      </c>
    </row>
    <row r="159" spans="1:11" ht="14.5">
      <c r="A159" s="859" t="s">
        <v>642</v>
      </c>
      <c r="B159" s="492">
        <v>195553</v>
      </c>
      <c r="C159" s="861">
        <v>60</v>
      </c>
      <c r="D159" s="862">
        <f t="shared" si="10"/>
        <v>6.6666670143604279E-2</v>
      </c>
      <c r="E159" s="862">
        <v>6.6666670143604279E-2</v>
      </c>
      <c r="F159" s="863">
        <v>2004</v>
      </c>
      <c r="G159" s="36" t="s">
        <v>582</v>
      </c>
    </row>
    <row r="160" spans="1:11" ht="14.5">
      <c r="A160" s="859" t="s">
        <v>541</v>
      </c>
      <c r="B160" s="492">
        <v>31557144</v>
      </c>
      <c r="C160" s="861">
        <v>99</v>
      </c>
      <c r="D160" s="862">
        <f t="shared" si="10"/>
        <v>0.16995063424110413</v>
      </c>
      <c r="E160" s="862">
        <v>0.16995063424110413</v>
      </c>
      <c r="F160" s="863">
        <v>2004</v>
      </c>
      <c r="G160" s="3" t="s">
        <v>582</v>
      </c>
    </row>
    <row r="161" spans="1:7" ht="14.5">
      <c r="A161" s="859" t="s">
        <v>542</v>
      </c>
      <c r="B161" s="492">
        <v>14976994</v>
      </c>
      <c r="C161" s="861">
        <v>42</v>
      </c>
      <c r="D161" s="862">
        <f t="shared" si="10"/>
        <v>1.6919938474893571E-2</v>
      </c>
      <c r="E161" s="862">
        <v>9.3819517642259598E-3</v>
      </c>
      <c r="F161" s="863">
        <v>2004</v>
      </c>
      <c r="G161" s="36"/>
    </row>
    <row r="162" spans="1:7" ht="14.5">
      <c r="A162" s="859" t="s">
        <v>643</v>
      </c>
      <c r="B162" s="492">
        <v>8851280</v>
      </c>
      <c r="C162" s="861">
        <v>100</v>
      </c>
      <c r="D162" s="862">
        <f t="shared" si="10"/>
        <v>0.35994303226470947</v>
      </c>
      <c r="E162" s="862">
        <v>0.35994303226470947</v>
      </c>
      <c r="F162" s="863">
        <v>2002</v>
      </c>
    </row>
    <row r="163" spans="1:7" ht="14.5">
      <c r="A163" s="859" t="s">
        <v>644</v>
      </c>
      <c r="B163" s="492">
        <v>93742</v>
      </c>
      <c r="C163" s="861">
        <v>96</v>
      </c>
      <c r="D163" s="862">
        <f t="shared" si="10"/>
        <v>1.1749999523162842</v>
      </c>
      <c r="E163" s="862">
        <v>1.1749999523162842</v>
      </c>
      <c r="F163" s="863">
        <v>2004</v>
      </c>
    </row>
    <row r="164" spans="1:7" ht="14.5">
      <c r="A164" s="859" t="s">
        <v>645</v>
      </c>
      <c r="B164" s="492">
        <v>7237025</v>
      </c>
      <c r="C164" s="861">
        <v>12.1</v>
      </c>
      <c r="D164" s="862">
        <f t="shared" si="10"/>
        <v>1.6919938474893571E-2</v>
      </c>
      <c r="E164" s="862">
        <v>9.6749223303049803E-4</v>
      </c>
      <c r="F164" s="863">
        <v>2004</v>
      </c>
      <c r="G164" s="36" t="s">
        <v>582</v>
      </c>
    </row>
    <row r="165" spans="1:7" ht="14.5">
      <c r="A165" s="859" t="s">
        <v>646</v>
      </c>
      <c r="B165" s="492">
        <v>5535262</v>
      </c>
      <c r="C165" s="861">
        <v>99.9</v>
      </c>
      <c r="D165" s="862">
        <f t="shared" si="10"/>
        <v>0.26479902863502502</v>
      </c>
      <c r="E165" s="862">
        <v>0.26479902863502502</v>
      </c>
      <c r="F165" s="863">
        <v>2001</v>
      </c>
      <c r="G165" s="36" t="s">
        <v>572</v>
      </c>
    </row>
    <row r="166" spans="1:7" ht="14.5">
      <c r="A166" s="859" t="s">
        <v>543</v>
      </c>
      <c r="B166" s="492">
        <v>5439318</v>
      </c>
      <c r="C166" s="861">
        <v>98</v>
      </c>
      <c r="D166" s="862">
        <v>0.43761569261550903</v>
      </c>
      <c r="E166" s="862">
        <v>0.43761569261550903</v>
      </c>
      <c r="F166" s="863">
        <v>2003</v>
      </c>
      <c r="G166" s="36" t="s">
        <v>572</v>
      </c>
    </row>
    <row r="167" spans="1:7" ht="14.5">
      <c r="A167" s="859" t="s">
        <v>544</v>
      </c>
      <c r="B167" s="492">
        <v>2074788</v>
      </c>
      <c r="C167" s="861">
        <v>99</v>
      </c>
      <c r="D167" s="862">
        <v>0.6037260890007019</v>
      </c>
      <c r="E167" s="862">
        <v>0.6037260890007019</v>
      </c>
      <c r="F167" s="863">
        <v>2002</v>
      </c>
    </row>
    <row r="168" spans="1:7" ht="14.5">
      <c r="A168" s="859" t="s">
        <v>647</v>
      </c>
      <c r="B168" s="492">
        <v>587482</v>
      </c>
      <c r="C168" s="861">
        <v>15.7</v>
      </c>
      <c r="D168" s="862">
        <f>IF(E168&lt;$B$211,$B$211,E168)</f>
        <v>6.1320755630731583E-2</v>
      </c>
      <c r="E168" s="862">
        <v>6.1320755630731583E-2</v>
      </c>
      <c r="F168" s="863">
        <v>1999</v>
      </c>
    </row>
    <row r="169" spans="1:7" ht="14.5">
      <c r="A169" s="864" t="s">
        <v>648</v>
      </c>
      <c r="B169" s="492">
        <v>13908129</v>
      </c>
      <c r="C169" s="861">
        <v>30</v>
      </c>
      <c r="D169" s="862">
        <f>IF(E169&lt;$B$211,$B$211,E169)</f>
        <v>1.6919938474893571E-2</v>
      </c>
      <c r="E169" s="862">
        <v>1.9324916647747159E-3</v>
      </c>
      <c r="F169" s="863">
        <v>1997</v>
      </c>
      <c r="G169" s="36" t="s">
        <v>582</v>
      </c>
    </row>
    <row r="170" spans="1:7" ht="14.5">
      <c r="A170" s="859" t="s">
        <v>545</v>
      </c>
      <c r="B170" s="492">
        <v>55291225</v>
      </c>
      <c r="C170" s="861">
        <v>75</v>
      </c>
      <c r="D170" s="862">
        <f>IF(E170&lt;$B$211,$B$211,E170)</f>
        <v>0.13259167969226837</v>
      </c>
      <c r="E170" s="862">
        <v>0.13259167969226837</v>
      </c>
      <c r="F170" s="863">
        <v>2004</v>
      </c>
      <c r="G170" s="36" t="s">
        <v>572</v>
      </c>
    </row>
    <row r="171" spans="1:7" ht="14.5">
      <c r="A171" s="859" t="s">
        <v>546</v>
      </c>
      <c r="B171" s="492">
        <v>46397664</v>
      </c>
      <c r="C171" s="861">
        <v>100</v>
      </c>
      <c r="D171" s="862">
        <v>0.48721382021903992</v>
      </c>
      <c r="E171" s="862">
        <v>0.48721382021903992</v>
      </c>
      <c r="F171" s="863">
        <v>2003</v>
      </c>
      <c r="G171" s="36" t="s">
        <v>582</v>
      </c>
    </row>
    <row r="172" spans="1:7" ht="14.5">
      <c r="A172" s="859" t="s">
        <v>547</v>
      </c>
      <c r="B172" s="492">
        <v>20714040</v>
      </c>
      <c r="C172" s="861">
        <v>76.599999999999994</v>
      </c>
      <c r="D172" s="862">
        <f>IF(E172&lt;$B$211,$B$211,E172)</f>
        <v>6.4783014357089996E-2</v>
      </c>
      <c r="E172" s="862">
        <v>6.4783014357089996E-2</v>
      </c>
      <c r="F172" s="863">
        <v>2004</v>
      </c>
      <c r="G172" s="36" t="s">
        <v>582</v>
      </c>
    </row>
    <row r="173" spans="1:7" ht="14.5">
      <c r="A173" s="864" t="s">
        <v>548</v>
      </c>
      <c r="B173" s="492">
        <v>38647803</v>
      </c>
      <c r="C173" s="861">
        <v>35.9</v>
      </c>
      <c r="D173" s="862">
        <f>IF(E173&lt;$B$211,$B$211,E173)</f>
        <v>3.1514868140220642E-2</v>
      </c>
      <c r="E173" s="862">
        <v>3.1514868140220642E-2</v>
      </c>
      <c r="F173" s="863">
        <v>2004</v>
      </c>
    </row>
    <row r="174" spans="1:7" ht="14.5">
      <c r="A174" s="859" t="s">
        <v>649</v>
      </c>
      <c r="B174" s="492">
        <v>553208</v>
      </c>
      <c r="C174" s="861">
        <v>84</v>
      </c>
      <c r="D174" s="862">
        <f>IF(E174&lt;$B$211,$B$211,E174)</f>
        <v>1.6919938474893571E-2</v>
      </c>
      <c r="E174" s="862">
        <v>9.4117643311619759E-3</v>
      </c>
      <c r="F174" s="863">
        <v>2000</v>
      </c>
    </row>
    <row r="175" spans="1:7" ht="14.5">
      <c r="A175" s="859" t="s">
        <v>549</v>
      </c>
      <c r="B175" s="492">
        <v>9763565</v>
      </c>
      <c r="C175" s="861">
        <v>100</v>
      </c>
      <c r="D175" s="862">
        <v>0.81989401578903198</v>
      </c>
      <c r="E175" s="862">
        <v>0.81989401578903198</v>
      </c>
      <c r="F175" s="863">
        <v>2002</v>
      </c>
      <c r="G175" s="36" t="s">
        <v>572</v>
      </c>
    </row>
    <row r="176" spans="1:7" ht="14.5">
      <c r="A176" s="859" t="s">
        <v>550</v>
      </c>
      <c r="B176" s="492">
        <v>8319769</v>
      </c>
      <c r="C176" s="861">
        <v>100</v>
      </c>
      <c r="D176" s="862">
        <v>0.50188308954238892</v>
      </c>
      <c r="E176" s="862">
        <v>0.50188308954238892</v>
      </c>
      <c r="F176" s="863">
        <v>2003</v>
      </c>
      <c r="G176" s="36" t="s">
        <v>572</v>
      </c>
    </row>
    <row r="177" spans="1:7" ht="14.5">
      <c r="A177" s="864" t="s">
        <v>551</v>
      </c>
      <c r="B177" s="492">
        <v>18734987</v>
      </c>
      <c r="C177" s="861">
        <v>92.7</v>
      </c>
      <c r="D177" s="862">
        <f t="shared" ref="D177:D187" si="11">IF(E177&lt;$B$211,$B$211,E177)</f>
        <v>0.71935409307479858</v>
      </c>
      <c r="E177" s="862">
        <v>0.71935409307479858</v>
      </c>
      <c r="F177" s="863">
        <v>2001</v>
      </c>
      <c r="G177" s="36" t="s">
        <v>582</v>
      </c>
    </row>
    <row r="178" spans="1:7" ht="14.5">
      <c r="A178" s="864" t="s">
        <v>650</v>
      </c>
      <c r="B178" s="492">
        <v>8548651</v>
      </c>
      <c r="C178" s="861">
        <v>85</v>
      </c>
      <c r="D178" s="862">
        <f t="shared" si="11"/>
        <v>0.15132105350494385</v>
      </c>
      <c r="E178" s="862">
        <v>0.15132105350494385</v>
      </c>
      <c r="F178" s="863">
        <v>2003</v>
      </c>
    </row>
    <row r="179" spans="1:7" ht="14.5">
      <c r="A179" s="859" t="s">
        <v>680</v>
      </c>
      <c r="B179" s="866">
        <v>53879957</v>
      </c>
      <c r="C179" s="861">
        <v>12</v>
      </c>
      <c r="D179" s="862">
        <f t="shared" si="11"/>
        <v>4.1332509368658066E-2</v>
      </c>
      <c r="E179" s="862">
        <f>$E$98</f>
        <v>4.1332509368658066E-2</v>
      </c>
      <c r="F179" s="863"/>
      <c r="G179" s="36"/>
    </row>
    <row r="180" spans="1:7" ht="14.5">
      <c r="A180" s="859" t="s">
        <v>552</v>
      </c>
      <c r="B180" s="492">
        <v>68657600</v>
      </c>
      <c r="C180" s="861">
        <v>99.3</v>
      </c>
      <c r="D180" s="862">
        <f t="shared" si="11"/>
        <v>0.17167007923126221</v>
      </c>
      <c r="E180" s="862">
        <v>0.17167007923126221</v>
      </c>
      <c r="F180" s="863">
        <v>2000</v>
      </c>
      <c r="G180" s="3" t="s">
        <v>582</v>
      </c>
    </row>
    <row r="181" spans="1:7" ht="14.5">
      <c r="A181" s="859" t="s">
        <v>651</v>
      </c>
      <c r="B181" s="492">
        <v>2079308</v>
      </c>
      <c r="C181" s="861">
        <v>97.4</v>
      </c>
      <c r="D181" s="862">
        <f t="shared" si="11"/>
        <v>0.55282557010650635</v>
      </c>
      <c r="E181" s="862">
        <v>0.55282557010650635</v>
      </c>
      <c r="F181" s="863">
        <v>2001</v>
      </c>
    </row>
    <row r="182" spans="1:7" ht="14.5">
      <c r="A182" s="864" t="s">
        <v>553</v>
      </c>
      <c r="B182" s="492">
        <v>1240977</v>
      </c>
      <c r="C182" s="861">
        <v>17</v>
      </c>
      <c r="D182" s="862">
        <f t="shared" si="11"/>
        <v>1.6919938474893571E-2</v>
      </c>
      <c r="E182" s="862">
        <v>1.3158266665413976E-3</v>
      </c>
      <c r="F182" s="863">
        <v>2003</v>
      </c>
      <c r="G182" s="36" t="s">
        <v>582</v>
      </c>
    </row>
    <row r="183" spans="1:7" ht="14.5">
      <c r="A183" s="859" t="s">
        <v>553</v>
      </c>
      <c r="B183" s="492">
        <v>1240977</v>
      </c>
      <c r="C183" s="861">
        <v>22</v>
      </c>
      <c r="D183" s="862">
        <f t="shared" si="11"/>
        <v>5.4878048598766327E-2</v>
      </c>
      <c r="E183" s="862">
        <v>5.4878048598766327E-2</v>
      </c>
      <c r="F183" s="863">
        <v>2004</v>
      </c>
      <c r="G183" s="3" t="s">
        <v>582</v>
      </c>
    </row>
    <row r="184" spans="1:7" ht="14.5">
      <c r="A184" s="859" t="s">
        <v>554</v>
      </c>
      <c r="B184" s="492">
        <v>7416802</v>
      </c>
      <c r="C184" s="861">
        <v>20</v>
      </c>
      <c r="D184" s="862">
        <f t="shared" si="11"/>
        <v>1.6919938474893571E-2</v>
      </c>
      <c r="E184" s="862">
        <v>3.7871238309890032E-3</v>
      </c>
      <c r="F184" s="863">
        <v>2004</v>
      </c>
      <c r="G184" s="3" t="s">
        <v>582</v>
      </c>
    </row>
    <row r="185" spans="1:7" ht="14.5">
      <c r="A185" s="864" t="s">
        <v>555</v>
      </c>
      <c r="B185" s="492">
        <v>106364</v>
      </c>
      <c r="C185" s="861">
        <v>23</v>
      </c>
      <c r="D185" s="862">
        <f t="shared" si="11"/>
        <v>0.32352942228317261</v>
      </c>
      <c r="E185" s="862">
        <v>0.32352942228317261</v>
      </c>
      <c r="F185" s="863">
        <v>2001</v>
      </c>
    </row>
    <row r="186" spans="1:7" ht="14.5">
      <c r="A186" s="859" t="s">
        <v>556</v>
      </c>
      <c r="B186" s="492">
        <v>1360092</v>
      </c>
      <c r="C186" s="861">
        <v>99</v>
      </c>
      <c r="D186" s="862">
        <f t="shared" si="11"/>
        <v>8.3987444639205933E-2</v>
      </c>
      <c r="E186" s="862">
        <v>8.3987444639205933E-2</v>
      </c>
      <c r="F186" s="863">
        <v>1997</v>
      </c>
      <c r="G186" s="3" t="s">
        <v>582</v>
      </c>
    </row>
    <row r="187" spans="1:7" ht="14.5">
      <c r="A187" s="859" t="s">
        <v>557</v>
      </c>
      <c r="B187" s="492">
        <v>11273661</v>
      </c>
      <c r="C187" s="861">
        <v>99.5</v>
      </c>
      <c r="D187" s="862">
        <f t="shared" si="11"/>
        <v>0.24675455689430237</v>
      </c>
      <c r="E187" s="862">
        <v>0.24675455689430237</v>
      </c>
      <c r="F187" s="863">
        <v>2004</v>
      </c>
      <c r="G187" s="3" t="s">
        <v>582</v>
      </c>
    </row>
    <row r="188" spans="1:7" ht="14.5">
      <c r="A188" s="859" t="s">
        <v>652</v>
      </c>
      <c r="B188" s="492">
        <v>78271472</v>
      </c>
      <c r="C188" s="861">
        <v>99.9</v>
      </c>
      <c r="D188" s="862">
        <v>0.2411496639251709</v>
      </c>
      <c r="E188" s="862">
        <v>0.2411496639251709</v>
      </c>
      <c r="F188" s="863">
        <v>2003</v>
      </c>
      <c r="G188" s="36" t="s">
        <v>572</v>
      </c>
    </row>
    <row r="189" spans="1:7" ht="14.5">
      <c r="A189" s="864" t="s">
        <v>653</v>
      </c>
      <c r="B189" s="492">
        <v>5565284</v>
      </c>
      <c r="C189" s="861">
        <v>100</v>
      </c>
      <c r="D189" s="862">
        <f>IF(E189&lt;$B$211,$B$211,E189)</f>
        <v>0.18272840976715088</v>
      </c>
      <c r="E189" s="862">
        <v>0.18272840976715088</v>
      </c>
      <c r="F189" s="863">
        <v>2002</v>
      </c>
    </row>
    <row r="190" spans="1:7" ht="14.5">
      <c r="A190" s="864" t="s">
        <v>654</v>
      </c>
      <c r="B190" s="492">
        <v>11001</v>
      </c>
      <c r="C190" s="861">
        <v>92</v>
      </c>
      <c r="D190" s="862">
        <f>IF(E190&lt;$B$211,$B$211,E190)</f>
        <v>0.18181818723678589</v>
      </c>
      <c r="E190" s="862">
        <v>0.18181818723678589</v>
      </c>
      <c r="F190" s="863">
        <v>2002</v>
      </c>
    </row>
    <row r="191" spans="1:7" ht="14.5">
      <c r="A191" s="864" t="s">
        <v>558</v>
      </c>
      <c r="B191" s="492">
        <v>40144870</v>
      </c>
      <c r="C191" s="861">
        <v>9</v>
      </c>
      <c r="D191" s="862">
        <f>IF(E191&lt;$B$211,$B$211,E191)</f>
        <v>1.6919938474893571E-2</v>
      </c>
      <c r="E191" s="862">
        <v>1.3596015051007271E-2</v>
      </c>
      <c r="F191" s="863">
        <v>2004</v>
      </c>
      <c r="G191" s="3" t="s">
        <v>582</v>
      </c>
    </row>
    <row r="192" spans="1:7" ht="14.5">
      <c r="A192" s="859" t="s">
        <v>559</v>
      </c>
      <c r="B192" s="492">
        <v>44657704</v>
      </c>
      <c r="C192" s="861">
        <v>100</v>
      </c>
      <c r="D192" s="862">
        <f>IF(E192&lt;$B$211,$B$211,E192)</f>
        <v>0.39886239171028137</v>
      </c>
      <c r="E192" s="862">
        <v>0.39886239171028137</v>
      </c>
      <c r="F192" s="863">
        <v>2003</v>
      </c>
    </row>
    <row r="193" spans="1:7" ht="14.5">
      <c r="A193" s="864" t="s">
        <v>560</v>
      </c>
      <c r="B193" s="492">
        <v>9154302</v>
      </c>
      <c r="C193" s="861">
        <v>100</v>
      </c>
      <c r="D193" s="862">
        <f>IF(E193&lt;$B$211,$B$211,E193)</f>
        <v>0.33136504888534546</v>
      </c>
      <c r="E193" s="862">
        <v>0.33136504888534546</v>
      </c>
      <c r="F193" s="863">
        <v>2001</v>
      </c>
      <c r="G193" s="36"/>
    </row>
    <row r="194" spans="1:7" ht="14.5">
      <c r="A194" s="859" t="s">
        <v>561</v>
      </c>
      <c r="B194" s="492">
        <v>65397080</v>
      </c>
      <c r="C194" s="861">
        <v>100</v>
      </c>
      <c r="D194" s="862">
        <v>1.0108957290649414</v>
      </c>
      <c r="E194" s="862">
        <v>1.0108957290649414</v>
      </c>
      <c r="F194" s="863">
        <v>1997</v>
      </c>
      <c r="G194" s="36" t="s">
        <v>572</v>
      </c>
    </row>
    <row r="195" spans="1:7" ht="14.5">
      <c r="A195" s="864" t="s">
        <v>562</v>
      </c>
      <c r="B195" s="492">
        <v>53879957</v>
      </c>
      <c r="C195" s="861">
        <v>13.9</v>
      </c>
      <c r="D195" s="862">
        <f>IF(E195&lt;$B$211,$B$211,E195)</f>
        <v>1.6919938474893571E-2</v>
      </c>
      <c r="E195" s="862">
        <v>7.3602381162345409E-3</v>
      </c>
      <c r="F195" s="863">
        <v>2002</v>
      </c>
      <c r="G195" s="3" t="s">
        <v>582</v>
      </c>
    </row>
    <row r="196" spans="1:7" ht="14.5">
      <c r="A196" s="859" t="s">
        <v>563</v>
      </c>
      <c r="B196" s="492">
        <v>319929162</v>
      </c>
      <c r="C196" s="861">
        <v>100</v>
      </c>
      <c r="D196" s="862">
        <v>1.6268706321716309</v>
      </c>
      <c r="E196" s="862">
        <v>1.6268706321716309</v>
      </c>
      <c r="F196" s="863">
        <v>2000</v>
      </c>
      <c r="G196" s="36" t="s">
        <v>572</v>
      </c>
    </row>
    <row r="197" spans="1:7" ht="14.5">
      <c r="A197" s="859" t="s">
        <v>564</v>
      </c>
      <c r="B197" s="492">
        <v>3431552</v>
      </c>
      <c r="C197" s="861">
        <v>98.3</v>
      </c>
      <c r="D197" s="862">
        <f t="shared" ref="D197:D204" si="12">IF(E197&lt;$B$211,$B$211,E197)</f>
        <v>1.1607195138931274</v>
      </c>
      <c r="E197" s="862">
        <v>1.1607195138931274</v>
      </c>
      <c r="F197" s="863">
        <v>2002</v>
      </c>
      <c r="G197" s="36" t="s">
        <v>582</v>
      </c>
    </row>
    <row r="198" spans="1:7" ht="14.5">
      <c r="A198" s="864" t="s">
        <v>565</v>
      </c>
      <c r="B198" s="492">
        <v>30976021</v>
      </c>
      <c r="C198" s="861">
        <v>100</v>
      </c>
      <c r="D198" s="862">
        <f t="shared" si="12"/>
        <v>0.13819798827171326</v>
      </c>
      <c r="E198" s="862">
        <v>0.13819798827171326</v>
      </c>
      <c r="F198" s="863">
        <v>2003</v>
      </c>
    </row>
    <row r="199" spans="1:7" ht="14.5">
      <c r="A199" s="864" t="s">
        <v>685</v>
      </c>
      <c r="B199" s="492">
        <v>264603</v>
      </c>
      <c r="C199" s="861">
        <v>27</v>
      </c>
      <c r="D199" s="862">
        <f t="shared" si="12"/>
        <v>0.13084112107753754</v>
      </c>
      <c r="E199" s="862">
        <f>$E$120</f>
        <v>0.13084112107753754</v>
      </c>
      <c r="F199" s="867"/>
    </row>
    <row r="200" spans="1:7" ht="14.5">
      <c r="A200" s="859" t="s">
        <v>566</v>
      </c>
      <c r="B200" s="492">
        <v>31155134</v>
      </c>
      <c r="C200" s="861">
        <v>99</v>
      </c>
      <c r="D200" s="862">
        <f t="shared" si="12"/>
        <v>0.55268263816833496</v>
      </c>
      <c r="E200" s="862">
        <v>0.55268263816833496</v>
      </c>
      <c r="F200" s="863">
        <v>2001</v>
      </c>
      <c r="G200" s="3" t="s">
        <v>582</v>
      </c>
    </row>
    <row r="201" spans="1:7" ht="14.5">
      <c r="A201" s="859" t="s">
        <v>575</v>
      </c>
      <c r="B201" s="492">
        <v>93571567</v>
      </c>
      <c r="C201" s="861">
        <v>97.6</v>
      </c>
      <c r="D201" s="862">
        <f t="shared" si="12"/>
        <v>2.8360994532704353E-2</v>
      </c>
      <c r="E201" s="862">
        <f>($E$37+$E$102)/2</f>
        <v>2.8360994532704353E-2</v>
      </c>
      <c r="F201" s="867"/>
      <c r="G201" s="3" t="s">
        <v>582</v>
      </c>
    </row>
    <row r="202" spans="1:7" ht="14.5">
      <c r="A202" s="859" t="s">
        <v>567</v>
      </c>
      <c r="B202" s="492">
        <v>26916207</v>
      </c>
      <c r="C202" s="861">
        <v>39.6</v>
      </c>
      <c r="D202" s="862">
        <f t="shared" si="12"/>
        <v>4.0997441858053207E-2</v>
      </c>
      <c r="E202" s="862">
        <v>4.0997441858053207E-2</v>
      </c>
      <c r="F202" s="863">
        <v>2004</v>
      </c>
      <c r="G202" s="3" t="s">
        <v>582</v>
      </c>
    </row>
    <row r="203" spans="1:7" ht="14.5">
      <c r="A203" s="859" t="s">
        <v>568</v>
      </c>
      <c r="B203" s="492">
        <v>16100587</v>
      </c>
      <c r="C203" s="861">
        <v>18.8</v>
      </c>
      <c r="D203" s="862">
        <f t="shared" si="12"/>
        <v>4.4946905225515366E-2</v>
      </c>
      <c r="E203" s="862">
        <v>4.4946905225515366E-2</v>
      </c>
      <c r="F203" s="863">
        <v>2004</v>
      </c>
      <c r="G203" s="3" t="s">
        <v>582</v>
      </c>
    </row>
    <row r="204" spans="1:7" ht="14.5">
      <c r="A204" s="864" t="s">
        <v>569</v>
      </c>
      <c r="B204" s="512">
        <v>15777451</v>
      </c>
      <c r="C204" s="861">
        <v>41.5</v>
      </c>
      <c r="D204" s="862">
        <f t="shared" si="12"/>
        <v>2.3971542716026306E-2</v>
      </c>
      <c r="E204" s="862">
        <v>2.3971542716026306E-2</v>
      </c>
      <c r="F204" s="863">
        <v>2004</v>
      </c>
      <c r="G204" s="3" t="s">
        <v>582</v>
      </c>
    </row>
    <row r="205" spans="1:7">
      <c r="A205" s="867" t="s">
        <v>574</v>
      </c>
      <c r="B205" s="867"/>
      <c r="C205" s="863">
        <v>100</v>
      </c>
      <c r="D205" s="862">
        <f>B209</f>
        <v>0.73578588050954485</v>
      </c>
      <c r="E205" s="862"/>
      <c r="F205" s="863"/>
    </row>
    <row r="206" spans="1:7">
      <c r="A206" s="867" t="s">
        <v>573</v>
      </c>
      <c r="B206" s="867"/>
      <c r="C206" s="863">
        <f>B212</f>
        <v>68</v>
      </c>
      <c r="D206" s="868">
        <f>B210</f>
        <v>0.23139013240813858</v>
      </c>
      <c r="E206" s="862"/>
      <c r="F206" s="863"/>
    </row>
    <row r="207" spans="1:7">
      <c r="A207" s="276"/>
      <c r="B207" s="276"/>
      <c r="C207" s="483"/>
      <c r="D207" s="482"/>
      <c r="E207" s="482"/>
      <c r="F207" s="481"/>
    </row>
    <row r="208" spans="1:7" ht="13">
      <c r="A208" s="497" t="s">
        <v>689</v>
      </c>
      <c r="B208" s="499"/>
      <c r="C208" s="483"/>
      <c r="D208" s="482"/>
      <c r="E208" s="482"/>
      <c r="F208" s="481"/>
    </row>
    <row r="209" spans="1:6" ht="25">
      <c r="A209" s="517" t="s">
        <v>576</v>
      </c>
      <c r="B209" s="490">
        <v>0.73578588050954485</v>
      </c>
      <c r="C209" s="483"/>
      <c r="D209" s="482"/>
      <c r="E209" s="482"/>
      <c r="F209" s="481"/>
    </row>
    <row r="210" spans="1:6" ht="25">
      <c r="A210" s="496" t="s">
        <v>581</v>
      </c>
      <c r="B210" s="490">
        <v>0.23139013240813858</v>
      </c>
      <c r="C210" s="483"/>
      <c r="D210" s="482"/>
      <c r="E210" s="482"/>
      <c r="F210" s="481"/>
    </row>
    <row r="211" spans="1:6">
      <c r="A211" s="496" t="s">
        <v>577</v>
      </c>
      <c r="B211" s="490">
        <v>1.6919938474893571E-2</v>
      </c>
      <c r="C211" s="483"/>
      <c r="D211" s="482"/>
      <c r="E211" s="482"/>
      <c r="F211" s="481"/>
    </row>
    <row r="212" spans="1:6" ht="25">
      <c r="A212" s="496" t="s">
        <v>679</v>
      </c>
      <c r="B212" s="516">
        <v>68</v>
      </c>
      <c r="C212" s="483"/>
      <c r="D212" s="482"/>
      <c r="E212" s="482"/>
      <c r="F212" s="481"/>
    </row>
    <row r="213" spans="1:6">
      <c r="A213" s="505"/>
      <c r="B213" s="36"/>
      <c r="D213" s="3"/>
      <c r="E213" s="3"/>
      <c r="F213" s="3"/>
    </row>
    <row r="214" spans="1:6">
      <c r="A214" s="505" t="s">
        <v>56</v>
      </c>
    </row>
    <row r="215" spans="1:6">
      <c r="A215" s="505" t="s">
        <v>655</v>
      </c>
      <c r="B215" s="36"/>
    </row>
    <row r="216" spans="1:6">
      <c r="A216" s="505" t="s">
        <v>570</v>
      </c>
      <c r="B216" s="36"/>
    </row>
    <row r="217" spans="1:6">
      <c r="A217" s="505" t="s">
        <v>580</v>
      </c>
      <c r="B217" s="36"/>
    </row>
    <row r="218" spans="1:6">
      <c r="A218" s="506" t="s">
        <v>656</v>
      </c>
    </row>
    <row r="219" spans="1:6">
      <c r="A219" s="505" t="s">
        <v>657</v>
      </c>
    </row>
    <row r="220" spans="1:6">
      <c r="A220" s="506" t="s">
        <v>658</v>
      </c>
    </row>
    <row r="221" spans="1:6">
      <c r="A221" s="819" t="s">
        <v>1182</v>
      </c>
    </row>
    <row r="222" spans="1:6">
      <c r="A222" s="820" t="s">
        <v>1183</v>
      </c>
    </row>
    <row r="223" spans="1:6">
      <c r="A223" s="505" t="s">
        <v>578</v>
      </c>
    </row>
    <row r="224" spans="1:6">
      <c r="A224" s="507" t="s">
        <v>659</v>
      </c>
    </row>
    <row r="225" spans="1:1">
      <c r="A225" s="506" t="s">
        <v>660</v>
      </c>
    </row>
    <row r="226" spans="1:1">
      <c r="A226" s="507" t="s">
        <v>661</v>
      </c>
    </row>
    <row r="227" spans="1:1">
      <c r="A227" s="506" t="s">
        <v>662</v>
      </c>
    </row>
    <row r="228" spans="1:1">
      <c r="A228" s="507" t="s">
        <v>663</v>
      </c>
    </row>
    <row r="229" spans="1:1">
      <c r="A229" s="507" t="s">
        <v>664</v>
      </c>
    </row>
    <row r="230" spans="1:1">
      <c r="A230" s="506" t="s">
        <v>665</v>
      </c>
    </row>
    <row r="231" spans="1:1">
      <c r="A231" s="507" t="s">
        <v>666</v>
      </c>
    </row>
    <row r="232" spans="1:1">
      <c r="A232" s="506" t="s">
        <v>667</v>
      </c>
    </row>
    <row r="233" spans="1:1">
      <c r="A233" s="504" t="s">
        <v>672</v>
      </c>
    </row>
    <row r="234" spans="1:1">
      <c r="A234" s="504" t="s">
        <v>674</v>
      </c>
    </row>
    <row r="235" spans="1:1">
      <c r="A235" s="504" t="s">
        <v>677</v>
      </c>
    </row>
    <row r="236" spans="1:1">
      <c r="A236" s="504" t="s">
        <v>681</v>
      </c>
    </row>
    <row r="237" spans="1:1">
      <c r="A237" s="504" t="s">
        <v>684</v>
      </c>
    </row>
  </sheetData>
  <sheetProtection algorithmName="SHA-512" hashValue="/soCde484ibHTpXMd/EGcNQcCNDkIFSj6GBtwd4SgWoZ3OcUQPh35Xmd741SkN/FXcocFfDR2VVfIQA2GEk1SQ==" saltValue="dsXHcXgruts0Gryw3nTL2g==" spinCount="100000" sheet="1" objects="1" scenarios="1"/>
  <hyperlinks>
    <hyperlink ref="A227" r:id="rId1" location="!display=line&amp;ds=1459!g6f=6.12.15.n.g" display="http://datamarket.com/data/set/1459/household-electrification-rate-of-households - !display=line&amp;ds=1459!g6f=6.12.15.n.g" xr:uid="{00000000-0004-0000-0D00-000000000000}"/>
    <hyperlink ref="A225" r:id="rId2" xr:uid="{00000000-0004-0000-0D00-000001000000}"/>
    <hyperlink ref="A230" r:id="rId3" xr:uid="{00000000-0004-0000-0D00-000002000000}"/>
    <hyperlink ref="A232" r:id="rId4" xr:uid="{00000000-0004-0000-0D00-000003000000}"/>
    <hyperlink ref="A220" r:id="rId5" xr:uid="{00000000-0004-0000-0D00-000004000000}"/>
    <hyperlink ref="A218" r:id="rId6" xr:uid="{00000000-0004-0000-0D00-000005000000}"/>
    <hyperlink ref="A222" r:id="rId7" xr:uid="{00000000-0004-0000-0D00-000006000000}"/>
  </hyperlinks>
  <pageMargins left="0.7" right="0.7" top="0.75" bottom="0.75" header="0.3" footer="0.3"/>
  <pageSetup paperSize="9" orientation="portrait" r:id="rId8"/>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B81"/>
  <sheetViews>
    <sheetView topLeftCell="A7" zoomScale="85" zoomScaleNormal="70" workbookViewId="0">
      <selection activeCell="E28" sqref="E28"/>
    </sheetView>
  </sheetViews>
  <sheetFormatPr defaultColWidth="8.81640625" defaultRowHeight="12.5"/>
  <cols>
    <col min="1" max="1" width="3.453125" customWidth="1"/>
    <col min="2" max="2" width="5.1796875" customWidth="1"/>
    <col min="3" max="3" width="25.81640625" customWidth="1"/>
    <col min="4" max="4" width="7.453125" customWidth="1"/>
    <col min="5" max="5" width="10.36328125" customWidth="1"/>
    <col min="6" max="6" width="16.36328125" customWidth="1"/>
    <col min="7" max="7" width="10.1796875" customWidth="1"/>
    <col min="8" max="8" width="19.36328125" customWidth="1"/>
    <col min="9" max="9" width="18.36328125" style="240" customWidth="1"/>
    <col min="10" max="10" width="25.36328125" customWidth="1"/>
    <col min="11" max="11" width="10.36328125" bestFit="1" customWidth="1"/>
    <col min="13" max="13" width="27.453125" style="13" customWidth="1"/>
    <col min="14" max="14" width="9.1796875" style="240"/>
    <col min="21" max="21" width="16.453125" customWidth="1"/>
    <col min="26" max="26" width="12.81640625" customWidth="1"/>
    <col min="27" max="27" width="17" customWidth="1"/>
    <col min="28" max="28" width="63.453125" customWidth="1"/>
  </cols>
  <sheetData>
    <row r="1" spans="1:28" ht="18">
      <c r="A1" s="1" t="s">
        <v>740</v>
      </c>
      <c r="I1" s="231"/>
      <c r="N1" s="231"/>
      <c r="V1" s="3"/>
      <c r="W1" s="3"/>
      <c r="X1" s="3"/>
      <c r="Y1" s="3"/>
      <c r="Z1" s="3"/>
      <c r="AA1" s="3"/>
    </row>
    <row r="2" spans="1:28" ht="14">
      <c r="A2" s="54" t="s">
        <v>313</v>
      </c>
      <c r="I2" s="231"/>
      <c r="L2" s="48"/>
      <c r="M2" s="48"/>
      <c r="N2" s="231"/>
    </row>
    <row r="3" spans="1:28" s="5" customFormat="1" ht="13">
      <c r="D3" s="7"/>
      <c r="E3" s="7"/>
      <c r="F3" s="7"/>
      <c r="G3" s="7"/>
      <c r="H3" s="7"/>
      <c r="I3" s="255"/>
      <c r="J3" s="7"/>
      <c r="K3" s="7"/>
      <c r="L3" s="30"/>
      <c r="M3" s="30"/>
      <c r="N3" s="255"/>
      <c r="O3" s="7"/>
      <c r="P3" s="65" t="s">
        <v>55</v>
      </c>
      <c r="Q3" s="65"/>
      <c r="R3" s="65"/>
      <c r="S3" s="65"/>
      <c r="T3" s="65"/>
      <c r="U3" s="65"/>
      <c r="V3" s="10" t="s">
        <v>54</v>
      </c>
      <c r="W3" s="103"/>
      <c r="X3" s="103"/>
      <c r="Y3" s="103"/>
      <c r="Z3" s="103"/>
      <c r="AA3" s="103"/>
      <c r="AB3" s="65"/>
    </row>
    <row r="4" spans="1:28" s="144" customFormat="1" ht="39">
      <c r="A4" s="144" t="s">
        <v>52</v>
      </c>
      <c r="B4" s="144" t="s">
        <v>50</v>
      </c>
      <c r="C4" s="134" t="s">
        <v>59</v>
      </c>
      <c r="D4" s="112" t="s">
        <v>153</v>
      </c>
      <c r="E4" s="134" t="s">
        <v>49</v>
      </c>
      <c r="F4" s="143" t="s">
        <v>35</v>
      </c>
      <c r="G4" s="112" t="s">
        <v>37</v>
      </c>
      <c r="H4" s="143" t="s">
        <v>35</v>
      </c>
      <c r="I4" s="245" t="s">
        <v>51</v>
      </c>
      <c r="J4" s="144" t="s">
        <v>35</v>
      </c>
      <c r="K4" s="84" t="s">
        <v>61</v>
      </c>
      <c r="L4" s="143" t="s">
        <v>35</v>
      </c>
      <c r="M4" s="146" t="s">
        <v>57</v>
      </c>
      <c r="N4" s="245" t="s">
        <v>92</v>
      </c>
      <c r="O4" s="143" t="s">
        <v>35</v>
      </c>
      <c r="P4" s="111" t="s">
        <v>38</v>
      </c>
      <c r="Q4" s="111" t="s">
        <v>39</v>
      </c>
      <c r="R4" s="111" t="s">
        <v>40</v>
      </c>
      <c r="S4" s="111" t="s">
        <v>376</v>
      </c>
      <c r="T4" s="112" t="s">
        <v>42</v>
      </c>
      <c r="U4" s="112" t="s">
        <v>228</v>
      </c>
      <c r="V4" s="56" t="s">
        <v>38</v>
      </c>
      <c r="W4" s="56" t="s">
        <v>39</v>
      </c>
      <c r="X4" s="56" t="s">
        <v>40</v>
      </c>
      <c r="Y4" s="56" t="s">
        <v>395</v>
      </c>
      <c r="Z4" s="57" t="s">
        <v>42</v>
      </c>
      <c r="AA4" s="57" t="s">
        <v>228</v>
      </c>
      <c r="AB4" s="111" t="s">
        <v>87</v>
      </c>
    </row>
    <row r="5" spans="1:28" s="129" customFormat="1" ht="39">
      <c r="A5" s="129" t="s">
        <v>88</v>
      </c>
      <c r="C5" s="134" t="s">
        <v>213</v>
      </c>
      <c r="D5" s="111"/>
      <c r="F5" s="128"/>
      <c r="G5" s="76"/>
      <c r="H5" s="128"/>
      <c r="I5" s="330"/>
      <c r="K5" s="113"/>
      <c r="L5" s="128"/>
      <c r="M5" s="135"/>
      <c r="N5" s="247"/>
      <c r="O5" s="128"/>
      <c r="P5" s="76"/>
      <c r="Q5" s="76"/>
      <c r="R5" s="76"/>
      <c r="S5" s="76"/>
      <c r="T5" s="76"/>
      <c r="U5" s="76"/>
      <c r="V5" s="58"/>
      <c r="W5" s="58"/>
      <c r="X5" s="58"/>
      <c r="Y5" s="58"/>
      <c r="Z5" s="58"/>
      <c r="AA5" s="58"/>
      <c r="AB5" s="76"/>
    </row>
    <row r="6" spans="1:28" ht="13">
      <c r="B6" t="s">
        <v>89</v>
      </c>
      <c r="C6" s="12" t="s">
        <v>90</v>
      </c>
      <c r="D6" s="111"/>
      <c r="G6" s="76"/>
      <c r="I6" s="330"/>
      <c r="K6" s="114"/>
      <c r="L6" s="3"/>
      <c r="M6" s="14"/>
      <c r="N6" s="247"/>
      <c r="O6" s="3"/>
      <c r="P6" s="281"/>
      <c r="Q6" s="281"/>
      <c r="R6" s="281"/>
      <c r="S6" s="281"/>
      <c r="T6" s="281"/>
      <c r="U6" s="281"/>
      <c r="V6" s="114">
        <f t="shared" ref="V6:AA6" si="0">SUM(V7:V17)</f>
        <v>0</v>
      </c>
      <c r="W6" s="114">
        <f t="shared" si="0"/>
        <v>0</v>
      </c>
      <c r="X6" s="114">
        <f t="shared" si="0"/>
        <v>0</v>
      </c>
      <c r="Y6" s="114">
        <f t="shared" si="0"/>
        <v>0</v>
      </c>
      <c r="Z6" s="114">
        <f t="shared" si="0"/>
        <v>0</v>
      </c>
      <c r="AA6" s="114">
        <f t="shared" si="0"/>
        <v>0</v>
      </c>
      <c r="AB6" s="76"/>
    </row>
    <row r="7" spans="1:28" ht="13">
      <c r="C7" s="12" t="s">
        <v>352</v>
      </c>
      <c r="D7" s="111"/>
      <c r="E7" s="6"/>
      <c r="F7" s="3"/>
      <c r="G7" s="76">
        <v>1</v>
      </c>
      <c r="H7" s="3"/>
      <c r="I7" s="331">
        <f>'Этап 4-Пром. прим. Hg'!C10</f>
        <v>0</v>
      </c>
      <c r="J7" s="8" t="s">
        <v>391</v>
      </c>
      <c r="K7" s="168">
        <f>I7*G7</f>
        <v>0</v>
      </c>
      <c r="L7" s="3" t="s">
        <v>36</v>
      </c>
      <c r="M7" s="14" t="s">
        <v>352</v>
      </c>
      <c r="N7" s="248">
        <f>K7</f>
        <v>0</v>
      </c>
      <c r="O7" s="3" t="s">
        <v>36</v>
      </c>
      <c r="P7" s="294">
        <v>0.01</v>
      </c>
      <c r="Q7" s="294">
        <v>5.0000000000000001E-3</v>
      </c>
      <c r="R7" s="294">
        <v>0.1</v>
      </c>
      <c r="S7" s="294"/>
      <c r="T7" s="294">
        <v>0.1</v>
      </c>
      <c r="U7" s="294">
        <v>0.01</v>
      </c>
      <c r="V7" s="116">
        <f t="shared" ref="V7:AA7" si="1">$N7*P7</f>
        <v>0</v>
      </c>
      <c r="W7" s="116">
        <f t="shared" si="1"/>
        <v>0</v>
      </c>
      <c r="X7" s="116">
        <f t="shared" si="1"/>
        <v>0</v>
      </c>
      <c r="Y7" s="116">
        <f t="shared" si="1"/>
        <v>0</v>
      </c>
      <c r="Z7" s="116">
        <f>$N7*T7</f>
        <v>0</v>
      </c>
      <c r="AA7" s="116">
        <f t="shared" si="1"/>
        <v>0</v>
      </c>
      <c r="AB7" s="76"/>
    </row>
    <row r="8" spans="1:28" ht="13">
      <c r="C8" s="53" t="s">
        <v>93</v>
      </c>
      <c r="D8" s="76"/>
      <c r="E8" s="6" t="s">
        <v>106</v>
      </c>
      <c r="F8" s="3" t="s">
        <v>110</v>
      </c>
      <c r="G8" s="76">
        <v>1</v>
      </c>
      <c r="H8" s="3" t="s">
        <v>110</v>
      </c>
      <c r="I8" s="248"/>
      <c r="J8" t="s">
        <v>111</v>
      </c>
      <c r="K8" s="115">
        <f>G8*I8/1000</f>
        <v>0</v>
      </c>
      <c r="L8" s="3" t="s">
        <v>36</v>
      </c>
      <c r="M8" s="15"/>
      <c r="N8" s="248"/>
      <c r="O8" s="3"/>
      <c r="P8" s="294"/>
      <c r="Q8" s="294"/>
      <c r="R8" s="294"/>
      <c r="S8" s="294"/>
      <c r="T8" s="294"/>
      <c r="U8" s="294"/>
      <c r="V8" s="116"/>
      <c r="W8" s="116"/>
      <c r="X8" s="116"/>
      <c r="Y8" s="116"/>
      <c r="Z8" s="116"/>
      <c r="AA8" s="116"/>
      <c r="AB8" s="76"/>
    </row>
    <row r="9" spans="1:28" ht="13">
      <c r="C9" s="53" t="s">
        <v>94</v>
      </c>
      <c r="D9" s="76"/>
      <c r="E9" s="6" t="s">
        <v>108</v>
      </c>
      <c r="F9" s="3" t="s">
        <v>110</v>
      </c>
      <c r="G9" s="76">
        <v>3.5</v>
      </c>
      <c r="H9" s="3" t="s">
        <v>110</v>
      </c>
      <c r="I9" s="248"/>
      <c r="J9" t="s">
        <v>111</v>
      </c>
      <c r="K9" s="115">
        <f>G9*I9/1000</f>
        <v>0</v>
      </c>
      <c r="L9" s="3" t="s">
        <v>36</v>
      </c>
      <c r="M9" s="15"/>
      <c r="N9" s="248"/>
      <c r="O9" s="3"/>
      <c r="P9" s="294"/>
      <c r="Q9" s="294"/>
      <c r="R9" s="294"/>
      <c r="S9" s="294"/>
      <c r="T9" s="294"/>
      <c r="U9" s="294"/>
      <c r="V9" s="116"/>
      <c r="W9" s="116"/>
      <c r="X9" s="116"/>
      <c r="Y9" s="116"/>
      <c r="Z9" s="116"/>
      <c r="AA9" s="116"/>
      <c r="AB9" s="76"/>
    </row>
    <row r="10" spans="1:28" ht="13">
      <c r="C10" s="53" t="s">
        <v>95</v>
      </c>
      <c r="D10" s="76"/>
      <c r="E10" s="6" t="s">
        <v>107</v>
      </c>
      <c r="F10" s="3" t="s">
        <v>110</v>
      </c>
      <c r="G10" s="76">
        <v>103</v>
      </c>
      <c r="H10" s="3" t="s">
        <v>110</v>
      </c>
      <c r="I10" s="248"/>
      <c r="J10" t="s">
        <v>111</v>
      </c>
      <c r="K10" s="115">
        <f>G10*I10/1000</f>
        <v>0</v>
      </c>
      <c r="L10" s="3" t="s">
        <v>36</v>
      </c>
      <c r="M10" s="15"/>
      <c r="N10" s="248"/>
      <c r="O10" s="3"/>
      <c r="P10" s="294"/>
      <c r="Q10" s="294"/>
      <c r="R10" s="294"/>
      <c r="S10" s="294"/>
      <c r="T10" s="294"/>
      <c r="U10" s="294"/>
      <c r="V10" s="116"/>
      <c r="W10" s="116"/>
      <c r="X10" s="116"/>
      <c r="Y10" s="116"/>
      <c r="Z10" s="116"/>
      <c r="AA10" s="116"/>
      <c r="AB10" s="76"/>
    </row>
    <row r="11" spans="1:28" ht="13">
      <c r="C11" s="53" t="s">
        <v>96</v>
      </c>
      <c r="D11" s="76"/>
      <c r="E11" s="6" t="s">
        <v>109</v>
      </c>
      <c r="F11" s="3" t="s">
        <v>110</v>
      </c>
      <c r="G11" s="76">
        <v>20.5</v>
      </c>
      <c r="H11" s="3" t="s">
        <v>110</v>
      </c>
      <c r="I11" s="248"/>
      <c r="J11" t="s">
        <v>111</v>
      </c>
      <c r="K11" s="115">
        <f>G11*I11/1000</f>
        <v>0</v>
      </c>
      <c r="L11" s="3" t="s">
        <v>36</v>
      </c>
      <c r="N11" s="248"/>
      <c r="O11" s="3"/>
      <c r="P11" s="294"/>
      <c r="Q11" s="294"/>
      <c r="R11" s="294"/>
      <c r="S11" s="294"/>
      <c r="T11" s="294"/>
      <c r="U11" s="294"/>
      <c r="V11" s="116"/>
      <c r="W11" s="116"/>
      <c r="X11" s="116"/>
      <c r="Y11" s="116"/>
      <c r="Z11" s="116"/>
      <c r="AA11" s="116"/>
      <c r="AB11" s="76"/>
    </row>
    <row r="12" spans="1:28" ht="13">
      <c r="C12" s="67" t="s">
        <v>100</v>
      </c>
      <c r="D12" s="111"/>
      <c r="E12" s="6"/>
      <c r="F12" s="3"/>
      <c r="G12" s="76"/>
      <c r="H12" s="3"/>
      <c r="I12" s="248"/>
      <c r="J12" s="305" t="s">
        <v>394</v>
      </c>
      <c r="K12" s="168">
        <f>SUM(K13:K16)</f>
        <v>0</v>
      </c>
      <c r="L12" s="3" t="s">
        <v>36</v>
      </c>
      <c r="M12" s="16" t="s">
        <v>100</v>
      </c>
      <c r="N12" s="248"/>
      <c r="O12" s="3" t="s">
        <v>36</v>
      </c>
      <c r="P12" s="294"/>
      <c r="Q12" s="294"/>
      <c r="R12" s="294"/>
      <c r="S12" s="294"/>
      <c r="T12" s="294"/>
      <c r="U12" s="295"/>
      <c r="V12" s="116"/>
      <c r="W12" s="116"/>
      <c r="X12" s="116"/>
      <c r="Y12" s="116"/>
      <c r="Z12" s="116"/>
      <c r="AA12" s="116"/>
      <c r="AB12" s="76"/>
    </row>
    <row r="13" spans="1:28" ht="26">
      <c r="C13" s="53" t="s">
        <v>93</v>
      </c>
      <c r="D13" s="76"/>
      <c r="E13" s="6" t="s">
        <v>106</v>
      </c>
      <c r="F13" s="3" t="s">
        <v>110</v>
      </c>
      <c r="G13" s="76">
        <v>1</v>
      </c>
      <c r="H13" s="3" t="s">
        <v>110</v>
      </c>
      <c r="I13" s="248">
        <f>IF('Этап 6-Hg-продукция - вещ-ва'!B16=yes,'Этап 6-Hg-продукция - вещ-ва'!C16,0)</f>
        <v>0</v>
      </c>
      <c r="J13" t="s">
        <v>111</v>
      </c>
      <c r="K13" s="115">
        <f>G13*I13/1000</f>
        <v>0</v>
      </c>
      <c r="L13" s="3" t="s">
        <v>36</v>
      </c>
      <c r="M13" s="15" t="s">
        <v>97</v>
      </c>
      <c r="N13" s="319">
        <f>IF(AND('Этап5-Обраб. отходов+перераб.'!$B$4=yes,'Этап5-Обраб. отходов+перераб.'!$E$4=no),K12,0)</f>
        <v>0</v>
      </c>
      <c r="O13" s="3" t="s">
        <v>36</v>
      </c>
      <c r="P13" s="294">
        <v>0.1</v>
      </c>
      <c r="Q13" s="294">
        <v>0.3</v>
      </c>
      <c r="R13" s="294"/>
      <c r="S13" s="294"/>
      <c r="T13" s="294">
        <v>0.6</v>
      </c>
      <c r="U13" s="294"/>
      <c r="V13" s="116">
        <f t="shared" ref="V13:Y15" si="2">$N13*P13</f>
        <v>0</v>
      </c>
      <c r="W13" s="116">
        <f t="shared" si="2"/>
        <v>0</v>
      </c>
      <c r="X13" s="116">
        <f t="shared" si="2"/>
        <v>0</v>
      </c>
      <c r="Y13" s="116">
        <f t="shared" si="2"/>
        <v>0</v>
      </c>
      <c r="Z13" s="116">
        <f t="shared" ref="Z13:AA15" si="3">$N13*T13</f>
        <v>0</v>
      </c>
      <c r="AA13" s="116">
        <f t="shared" si="3"/>
        <v>0</v>
      </c>
      <c r="AB13" s="76"/>
    </row>
    <row r="14" spans="1:28" ht="26">
      <c r="C14" s="53" t="s">
        <v>94</v>
      </c>
      <c r="D14" s="76"/>
      <c r="E14" s="6" t="s">
        <v>108</v>
      </c>
      <c r="F14" s="3" t="s">
        <v>110</v>
      </c>
      <c r="G14" s="76">
        <v>3.5</v>
      </c>
      <c r="H14" s="3" t="s">
        <v>110</v>
      </c>
      <c r="I14" s="248">
        <f>IF('Этап 6-Hg-продукция - вещ-ва'!B17=yes,0.5*'Этап 6-Hg-продукция - вещ-ва'!C17,0)</f>
        <v>0</v>
      </c>
      <c r="J14" t="s">
        <v>111</v>
      </c>
      <c r="K14" s="115">
        <f>G14*I14/1000</f>
        <v>0</v>
      </c>
      <c r="L14" s="3" t="s">
        <v>36</v>
      </c>
      <c r="M14" s="15" t="s">
        <v>112</v>
      </c>
      <c r="N14" s="319">
        <f>IF(AND('Этап5-Обраб. отходов+перераб.'!$B$4=no,OR('Этап5-Обраб. отходов+перераб.'!$E$4=no,'Этап5-Обраб. отходов+перераб.'!$E$4=yes,'Этап5-Обраб. отходов+перераб.'!$E$4="")),K12,0)</f>
        <v>0</v>
      </c>
      <c r="O14" s="3" t="s">
        <v>36</v>
      </c>
      <c r="P14" s="294">
        <v>0.2</v>
      </c>
      <c r="Q14" s="294">
        <v>0.3</v>
      </c>
      <c r="R14" s="294">
        <v>0.2</v>
      </c>
      <c r="S14" s="294"/>
      <c r="T14" s="294">
        <v>0.3</v>
      </c>
      <c r="U14" s="294"/>
      <c r="V14" s="116">
        <f t="shared" si="2"/>
        <v>0</v>
      </c>
      <c r="W14" s="116">
        <f t="shared" si="2"/>
        <v>0</v>
      </c>
      <c r="X14" s="116">
        <f t="shared" si="2"/>
        <v>0</v>
      </c>
      <c r="Y14" s="116">
        <f t="shared" si="2"/>
        <v>0</v>
      </c>
      <c r="Z14" s="116">
        <f t="shared" si="3"/>
        <v>0</v>
      </c>
      <c r="AA14" s="116">
        <f t="shared" si="3"/>
        <v>0</v>
      </c>
      <c r="AB14" s="76"/>
    </row>
    <row r="15" spans="1:28" ht="26">
      <c r="C15" s="53" t="s">
        <v>95</v>
      </c>
      <c r="D15" s="76"/>
      <c r="E15" s="6" t="s">
        <v>107</v>
      </c>
      <c r="F15" s="3" t="s">
        <v>110</v>
      </c>
      <c r="G15" s="76">
        <v>103</v>
      </c>
      <c r="H15" s="3" t="s">
        <v>110</v>
      </c>
      <c r="I15" s="248">
        <f>IF('Этап 6-Hg-продукция - вещ-ва'!B18=yes,'Этап 6-Hg-продукция - вещ-ва'!C18,0)</f>
        <v>0</v>
      </c>
      <c r="J15" t="s">
        <v>111</v>
      </c>
      <c r="K15" s="115">
        <f>G15*I15/1000</f>
        <v>0</v>
      </c>
      <c r="L15" s="3" t="s">
        <v>36</v>
      </c>
      <c r="M15" s="15" t="s">
        <v>98</v>
      </c>
      <c r="N15" s="319">
        <f>IF(AND('Этап5-Обраб. отходов+перераб.'!$B$4=yes,'Этап5-Обраб. отходов+перераб.'!$E$4=yes),K12,0)</f>
        <v>0</v>
      </c>
      <c r="O15" s="3" t="s">
        <v>36</v>
      </c>
      <c r="P15" s="294">
        <v>0.1</v>
      </c>
      <c r="Q15" s="294">
        <v>0.3</v>
      </c>
      <c r="R15" s="294"/>
      <c r="S15" s="294"/>
      <c r="T15" s="294">
        <v>0.3</v>
      </c>
      <c r="U15" s="294">
        <v>0.3</v>
      </c>
      <c r="V15" s="116">
        <f t="shared" si="2"/>
        <v>0</v>
      </c>
      <c r="W15" s="116">
        <f t="shared" si="2"/>
        <v>0</v>
      </c>
      <c r="X15" s="116">
        <f t="shared" si="2"/>
        <v>0</v>
      </c>
      <c r="Y15" s="116">
        <f t="shared" si="2"/>
        <v>0</v>
      </c>
      <c r="Z15" s="116">
        <f t="shared" si="3"/>
        <v>0</v>
      </c>
      <c r="AA15" s="116">
        <f t="shared" si="3"/>
        <v>0</v>
      </c>
      <c r="AB15" s="76"/>
    </row>
    <row r="16" spans="1:28" ht="13">
      <c r="C16" s="53" t="s">
        <v>96</v>
      </c>
      <c r="D16" s="76"/>
      <c r="E16" s="27" t="s">
        <v>109</v>
      </c>
      <c r="F16" s="3" t="s">
        <v>110</v>
      </c>
      <c r="G16" s="76">
        <v>20.5</v>
      </c>
      <c r="H16" s="3" t="s">
        <v>110</v>
      </c>
      <c r="I16" s="248">
        <f>IF('Этап 6-Hg-продукция - вещ-ва'!B17=yes,0.5*'Этап 6-Hg-продукция - вещ-ва'!C17,0)</f>
        <v>0</v>
      </c>
      <c r="J16" t="s">
        <v>111</v>
      </c>
      <c r="K16" s="115">
        <f>G16*I16/1000</f>
        <v>0</v>
      </c>
      <c r="L16" s="3" t="s">
        <v>36</v>
      </c>
      <c r="N16" s="248"/>
      <c r="O16" s="3"/>
      <c r="P16" s="294"/>
      <c r="Q16" s="294"/>
      <c r="R16" s="294"/>
      <c r="S16" s="294"/>
      <c r="T16" s="294"/>
      <c r="U16" s="295"/>
      <c r="V16" s="116"/>
      <c r="W16" s="116"/>
      <c r="X16" s="116"/>
      <c r="Y16" s="116"/>
      <c r="Z16" s="116"/>
      <c r="AA16" s="116"/>
      <c r="AB16" s="76"/>
    </row>
    <row r="17" spans="2:28" s="55" customFormat="1" ht="13">
      <c r="C17" s="161"/>
      <c r="D17" s="76"/>
      <c r="E17" s="106"/>
      <c r="F17" s="104"/>
      <c r="G17" s="76"/>
      <c r="H17" s="104"/>
      <c r="I17" s="248"/>
      <c r="K17" s="115"/>
      <c r="L17" s="104"/>
      <c r="M17" s="162"/>
      <c r="N17" s="248"/>
      <c r="O17" s="104"/>
      <c r="P17" s="294"/>
      <c r="Q17" s="294"/>
      <c r="R17" s="294"/>
      <c r="S17" s="294"/>
      <c r="T17" s="294"/>
      <c r="U17" s="295"/>
      <c r="V17" s="116"/>
      <c r="W17" s="116"/>
      <c r="X17" s="116"/>
      <c r="Y17" s="116"/>
      <c r="Z17" s="116"/>
      <c r="AA17" s="116"/>
      <c r="AB17" s="76"/>
    </row>
    <row r="18" spans="2:28" ht="26">
      <c r="B18" t="s">
        <v>114</v>
      </c>
      <c r="C18" s="12" t="s">
        <v>113</v>
      </c>
      <c r="D18" s="111"/>
      <c r="G18" s="76"/>
      <c r="I18" s="247"/>
      <c r="K18" s="114"/>
      <c r="L18" s="3"/>
      <c r="M18" s="14"/>
      <c r="N18" s="248"/>
      <c r="O18" s="3"/>
      <c r="P18" s="295"/>
      <c r="Q18" s="295"/>
      <c r="R18" s="295"/>
      <c r="S18" s="295"/>
      <c r="T18" s="295"/>
      <c r="U18" s="295"/>
      <c r="V18" s="114">
        <f t="shared" ref="V18:AA18" si="4">SUM(V19:V23)</f>
        <v>0</v>
      </c>
      <c r="W18" s="114">
        <f t="shared" si="4"/>
        <v>0</v>
      </c>
      <c r="X18" s="114">
        <f t="shared" si="4"/>
        <v>0</v>
      </c>
      <c r="Y18" s="114">
        <f t="shared" si="4"/>
        <v>0</v>
      </c>
      <c r="Z18" s="114">
        <f t="shared" si="4"/>
        <v>0</v>
      </c>
      <c r="AA18" s="114">
        <f t="shared" si="4"/>
        <v>0</v>
      </c>
      <c r="AB18" s="76"/>
    </row>
    <row r="19" spans="2:28" ht="13">
      <c r="C19" s="12" t="s">
        <v>99</v>
      </c>
      <c r="D19" s="111"/>
      <c r="F19" s="3"/>
      <c r="G19" s="76">
        <v>1</v>
      </c>
      <c r="H19" s="3"/>
      <c r="I19" s="248">
        <f>'Этап 4-Пром. прим. Hg'!C11</f>
        <v>0</v>
      </c>
      <c r="J19" s="8" t="s">
        <v>391</v>
      </c>
      <c r="K19" s="115">
        <f>I19*G19</f>
        <v>0</v>
      </c>
      <c r="L19" s="3"/>
      <c r="M19" s="14" t="s">
        <v>99</v>
      </c>
      <c r="N19" s="248">
        <f>K19</f>
        <v>0</v>
      </c>
      <c r="O19" s="3"/>
      <c r="P19" s="294">
        <v>0.01</v>
      </c>
      <c r="Q19" s="294">
        <v>5.0000000000000001E-3</v>
      </c>
      <c r="R19" s="294">
        <v>0.1</v>
      </c>
      <c r="S19" s="294"/>
      <c r="T19" s="294">
        <v>0.1</v>
      </c>
      <c r="U19" s="294">
        <v>0.01</v>
      </c>
      <c r="V19" s="116">
        <f t="shared" ref="V19:AA19" si="5">$N19*P19</f>
        <v>0</v>
      </c>
      <c r="W19" s="116">
        <f t="shared" si="5"/>
        <v>0</v>
      </c>
      <c r="X19" s="116">
        <f t="shared" si="5"/>
        <v>0</v>
      </c>
      <c r="Y19" s="116">
        <f t="shared" si="5"/>
        <v>0</v>
      </c>
      <c r="Z19" s="116">
        <f t="shared" si="5"/>
        <v>0</v>
      </c>
      <c r="AA19" s="116">
        <f t="shared" si="5"/>
        <v>0</v>
      </c>
      <c r="AB19" s="76"/>
    </row>
    <row r="20" spans="2:28" ht="13">
      <c r="C20" s="67" t="s">
        <v>100</v>
      </c>
      <c r="D20" s="111"/>
      <c r="E20" t="s">
        <v>115</v>
      </c>
      <c r="F20" s="3" t="s">
        <v>118</v>
      </c>
      <c r="G20" s="281">
        <v>0.14000000000000001</v>
      </c>
      <c r="H20" s="3" t="s">
        <v>118</v>
      </c>
      <c r="I20" s="248">
        <f>'Этап 1 - Информация о стране'!B6</f>
        <v>0</v>
      </c>
      <c r="J20" s="3" t="s">
        <v>117</v>
      </c>
      <c r="K20" s="169">
        <f>(G20*I20/1000)*'Этап 6-Hg-продукция - вещ-ва'!$C$21/100</f>
        <v>0</v>
      </c>
      <c r="L20" s="3" t="s">
        <v>36</v>
      </c>
      <c r="M20" s="16" t="s">
        <v>100</v>
      </c>
      <c r="N20" s="248"/>
      <c r="O20" s="3"/>
      <c r="P20" s="294"/>
      <c r="Q20" s="294"/>
      <c r="R20" s="294"/>
      <c r="S20" s="294"/>
      <c r="T20" s="294"/>
      <c r="U20" s="295"/>
      <c r="V20" s="116"/>
      <c r="W20" s="116"/>
      <c r="X20" s="116"/>
      <c r="Y20" s="116"/>
      <c r="Z20" s="116"/>
      <c r="AA20" s="116"/>
      <c r="AB20" s="76"/>
    </row>
    <row r="21" spans="2:28" ht="26">
      <c r="C21" s="53"/>
      <c r="D21" s="76"/>
      <c r="E21" s="6"/>
      <c r="F21" s="3"/>
      <c r="G21" s="76"/>
      <c r="H21" s="3"/>
      <c r="I21" s="248"/>
      <c r="K21" s="115"/>
      <c r="L21" s="3"/>
      <c r="M21" s="15" t="s">
        <v>97</v>
      </c>
      <c r="N21" s="319">
        <f>IF(AND('Этап5-Обраб. отходов+перераб.'!$B$4=yes,'Этап5-Обраб. отходов+перераб.'!$E$4=no),K20,0)</f>
        <v>0</v>
      </c>
      <c r="O21" s="3"/>
      <c r="P21" s="294">
        <v>0.1</v>
      </c>
      <c r="Q21" s="294"/>
      <c r="R21" s="294">
        <v>0.1</v>
      </c>
      <c r="S21" s="294"/>
      <c r="T21" s="294">
        <v>0.8</v>
      </c>
      <c r="U21" s="294"/>
      <c r="V21" s="116">
        <f t="shared" ref="V21:Y23" si="6">$N21*P21</f>
        <v>0</v>
      </c>
      <c r="W21" s="116">
        <f t="shared" si="6"/>
        <v>0</v>
      </c>
      <c r="X21" s="116">
        <f t="shared" si="6"/>
        <v>0</v>
      </c>
      <c r="Y21" s="116">
        <f t="shared" si="6"/>
        <v>0</v>
      </c>
      <c r="Z21" s="116">
        <f t="shared" ref="Z21:AA23" si="7">$N21*T21</f>
        <v>0</v>
      </c>
      <c r="AA21" s="116">
        <f t="shared" si="7"/>
        <v>0</v>
      </c>
      <c r="AB21" s="76"/>
    </row>
    <row r="22" spans="2:28" ht="26">
      <c r="C22" s="53"/>
      <c r="D22" s="76"/>
      <c r="E22" s="6"/>
      <c r="F22" s="3"/>
      <c r="G22" s="76"/>
      <c r="H22" s="3"/>
      <c r="I22" s="248"/>
      <c r="K22" s="115"/>
      <c r="L22" s="3"/>
      <c r="M22" s="15" t="s">
        <v>112</v>
      </c>
      <c r="N22" s="319">
        <f>IF(AND('Этап5-Обраб. отходов+перераб.'!$B$4=no,OR('Этап5-Обраб. отходов+перераб.'!$E$4=no,'Этап5-Обраб. отходов+перераб.'!$E$4=yes,'Этап5-Обраб. отходов+перераб.'!$E$4="")),K20,0)</f>
        <v>0</v>
      </c>
      <c r="O22" s="3"/>
      <c r="P22" s="294">
        <v>0.3</v>
      </c>
      <c r="Q22" s="294"/>
      <c r="R22" s="294">
        <v>0.4</v>
      </c>
      <c r="S22" s="294"/>
      <c r="T22" s="294">
        <v>0.3</v>
      </c>
      <c r="U22" s="294"/>
      <c r="V22" s="116">
        <f t="shared" si="6"/>
        <v>0</v>
      </c>
      <c r="W22" s="116">
        <f t="shared" si="6"/>
        <v>0</v>
      </c>
      <c r="X22" s="116">
        <f t="shared" si="6"/>
        <v>0</v>
      </c>
      <c r="Y22" s="116">
        <f t="shared" si="6"/>
        <v>0</v>
      </c>
      <c r="Z22" s="116">
        <f t="shared" si="7"/>
        <v>0</v>
      </c>
      <c r="AA22" s="116">
        <f t="shared" si="7"/>
        <v>0</v>
      </c>
      <c r="AB22" s="76"/>
    </row>
    <row r="23" spans="2:28" ht="26">
      <c r="C23" s="53"/>
      <c r="D23" s="76"/>
      <c r="E23" s="6"/>
      <c r="F23" s="3"/>
      <c r="G23" s="76"/>
      <c r="H23" s="3"/>
      <c r="I23" s="248"/>
      <c r="K23" s="115"/>
      <c r="L23" s="3"/>
      <c r="M23" s="15" t="s">
        <v>98</v>
      </c>
      <c r="N23" s="319">
        <f>IF(AND('Этап5-Обраб. отходов+перераб.'!$B$4=yes,'Этап5-Обраб. отходов+перераб.'!$E$4=yes),K20,0)</f>
        <v>0</v>
      </c>
      <c r="O23" s="3"/>
      <c r="P23" s="294">
        <v>0.1</v>
      </c>
      <c r="Q23" s="294"/>
      <c r="R23" s="294">
        <v>0.1</v>
      </c>
      <c r="S23" s="294"/>
      <c r="T23" s="294">
        <v>0.4</v>
      </c>
      <c r="U23" s="294">
        <v>0.4</v>
      </c>
      <c r="V23" s="116">
        <f t="shared" si="6"/>
        <v>0</v>
      </c>
      <c r="W23" s="116">
        <f t="shared" si="6"/>
        <v>0</v>
      </c>
      <c r="X23" s="116">
        <f t="shared" si="6"/>
        <v>0</v>
      </c>
      <c r="Y23" s="116">
        <f t="shared" si="6"/>
        <v>0</v>
      </c>
      <c r="Z23" s="116">
        <f t="shared" si="7"/>
        <v>0</v>
      </c>
      <c r="AA23" s="116">
        <f t="shared" si="7"/>
        <v>0</v>
      </c>
      <c r="AB23" s="76"/>
    </row>
    <row r="24" spans="2:28" s="55" customFormat="1" ht="13">
      <c r="C24" s="161"/>
      <c r="D24" s="76"/>
      <c r="E24" s="106"/>
      <c r="F24" s="104"/>
      <c r="G24" s="76"/>
      <c r="H24" s="104"/>
      <c r="I24" s="248"/>
      <c r="K24" s="115"/>
      <c r="L24" s="104"/>
      <c r="M24" s="107"/>
      <c r="N24" s="248"/>
      <c r="O24" s="104"/>
      <c r="P24" s="294"/>
      <c r="Q24" s="294"/>
      <c r="R24" s="294"/>
      <c r="S24" s="294"/>
      <c r="T24" s="294"/>
      <c r="U24" s="294"/>
      <c r="V24" s="116"/>
      <c r="W24" s="116"/>
      <c r="X24" s="116"/>
      <c r="Y24" s="116"/>
      <c r="Z24" s="116"/>
      <c r="AA24" s="116"/>
      <c r="AB24" s="76"/>
    </row>
    <row r="25" spans="2:28" ht="13">
      <c r="B25" t="s">
        <v>119</v>
      </c>
      <c r="C25" s="5" t="s">
        <v>321</v>
      </c>
      <c r="D25" s="111"/>
      <c r="G25" s="76"/>
      <c r="I25" s="247"/>
      <c r="K25" s="114"/>
      <c r="L25" s="3"/>
      <c r="M25" s="14"/>
      <c r="N25" s="248"/>
      <c r="O25" s="3"/>
      <c r="P25" s="295"/>
      <c r="Q25" s="295"/>
      <c r="R25" s="295"/>
      <c r="S25" s="295"/>
      <c r="T25" s="295"/>
      <c r="U25" s="295"/>
      <c r="V25" s="114">
        <f t="shared" ref="V25:AA25" si="8">SUM(V26:V33)</f>
        <v>0</v>
      </c>
      <c r="W25" s="114">
        <f t="shared" si="8"/>
        <v>0</v>
      </c>
      <c r="X25" s="114">
        <f t="shared" si="8"/>
        <v>0</v>
      </c>
      <c r="Y25" s="114">
        <f t="shared" si="8"/>
        <v>0</v>
      </c>
      <c r="Z25" s="114">
        <f t="shared" si="8"/>
        <v>0</v>
      </c>
      <c r="AA25" s="114">
        <f t="shared" si="8"/>
        <v>0</v>
      </c>
      <c r="AB25" s="76"/>
    </row>
    <row r="26" spans="2:28" ht="13">
      <c r="C26" s="12" t="s">
        <v>99</v>
      </c>
      <c r="D26" s="111"/>
      <c r="F26" s="3"/>
      <c r="G26" s="76">
        <v>1</v>
      </c>
      <c r="H26" s="3"/>
      <c r="I26" s="248">
        <f>'Этап 4-Пром. прим. Hg'!C12</f>
        <v>0</v>
      </c>
      <c r="J26" s="8" t="s">
        <v>391</v>
      </c>
      <c r="K26" s="115">
        <f>I26*G26</f>
        <v>0</v>
      </c>
      <c r="L26" s="3" t="s">
        <v>36</v>
      </c>
      <c r="M26" s="14" t="s">
        <v>99</v>
      </c>
      <c r="N26" s="248">
        <f>K26</f>
        <v>0</v>
      </c>
      <c r="O26" s="3"/>
      <c r="P26" s="294">
        <v>0.01</v>
      </c>
      <c r="Q26" s="294">
        <v>5.0000000000000001E-3</v>
      </c>
      <c r="R26" s="294">
        <v>0.1</v>
      </c>
      <c r="S26" s="294"/>
      <c r="T26" s="294">
        <v>0.1</v>
      </c>
      <c r="U26" s="294">
        <v>0.01</v>
      </c>
      <c r="V26" s="116">
        <f t="shared" ref="V26:AA26" si="9">$N26*P26</f>
        <v>0</v>
      </c>
      <c r="W26" s="116">
        <f t="shared" si="9"/>
        <v>0</v>
      </c>
      <c r="X26" s="116">
        <f t="shared" si="9"/>
        <v>0</v>
      </c>
      <c r="Y26" s="116">
        <f t="shared" si="9"/>
        <v>0</v>
      </c>
      <c r="Z26" s="116">
        <f t="shared" si="9"/>
        <v>0</v>
      </c>
      <c r="AA26" s="116">
        <f t="shared" si="9"/>
        <v>0</v>
      </c>
      <c r="AB26" s="76"/>
    </row>
    <row r="27" spans="2:28" ht="13">
      <c r="C27" s="67" t="s">
        <v>100</v>
      </c>
      <c r="D27" s="111"/>
      <c r="E27" s="6"/>
      <c r="F27" s="3"/>
      <c r="G27" s="76"/>
      <c r="H27" s="3"/>
      <c r="I27" s="248"/>
      <c r="K27" s="168">
        <f>SUM(K28:K33)</f>
        <v>0</v>
      </c>
      <c r="L27" s="3" t="s">
        <v>36</v>
      </c>
      <c r="M27" s="16" t="s">
        <v>100</v>
      </c>
      <c r="N27" s="248"/>
      <c r="O27" s="3"/>
      <c r="P27" s="294"/>
      <c r="Q27" s="294"/>
      <c r="R27" s="294"/>
      <c r="S27" s="294"/>
      <c r="T27" s="294"/>
      <c r="U27" s="295"/>
      <c r="V27" s="116"/>
      <c r="W27" s="116"/>
      <c r="X27" s="116"/>
      <c r="Y27" s="116"/>
      <c r="Z27" s="116"/>
      <c r="AA27" s="116"/>
      <c r="AB27" s="76"/>
    </row>
    <row r="28" spans="2:28" ht="26">
      <c r="C28" s="53" t="s">
        <v>120</v>
      </c>
      <c r="D28" s="166"/>
      <c r="E28" t="s">
        <v>1264</v>
      </c>
      <c r="F28" s="3" t="s">
        <v>128</v>
      </c>
      <c r="G28" s="76">
        <v>8</v>
      </c>
      <c r="H28" s="3" t="s">
        <v>128</v>
      </c>
      <c r="I28" s="248">
        <f>IF('Этап 6-Hg-продукция - вещ-ва'!B24=yes,'Этап 6-Hg-продукция - вещ-ва'!C24,0)</f>
        <v>0</v>
      </c>
      <c r="J28" t="s">
        <v>111</v>
      </c>
      <c r="K28" s="115">
        <f t="shared" ref="K28:K33" si="10">G28*I28/1000000</f>
        <v>0</v>
      </c>
      <c r="L28" s="3" t="s">
        <v>36</v>
      </c>
      <c r="M28" s="15" t="s">
        <v>97</v>
      </c>
      <c r="N28" s="319">
        <f>IF(AND('Этап5-Обраб. отходов+перераб.'!$B$4=yes,'Этап5-Обраб. отходов+перераб.'!$E$4=no),K27,0)</f>
        <v>0</v>
      </c>
      <c r="O28" s="3"/>
      <c r="P28" s="294">
        <v>0.05</v>
      </c>
      <c r="Q28" s="294"/>
      <c r="R28" s="294"/>
      <c r="S28" s="294"/>
      <c r="T28" s="294">
        <v>0.95</v>
      </c>
      <c r="U28" s="294"/>
      <c r="V28" s="116">
        <f t="shared" ref="V28:Y30" si="11">$N28*P28</f>
        <v>0</v>
      </c>
      <c r="W28" s="116">
        <f t="shared" si="11"/>
        <v>0</v>
      </c>
      <c r="X28" s="116">
        <f t="shared" si="11"/>
        <v>0</v>
      </c>
      <c r="Y28" s="116">
        <f t="shared" si="11"/>
        <v>0</v>
      </c>
      <c r="Z28" s="116">
        <f t="shared" ref="Z28:AA30" si="12">$N28*T28</f>
        <v>0</v>
      </c>
      <c r="AA28" s="116">
        <f t="shared" si="12"/>
        <v>0</v>
      </c>
      <c r="AB28" s="76"/>
    </row>
    <row r="29" spans="2:28" ht="26">
      <c r="C29" s="53" t="s">
        <v>121</v>
      </c>
      <c r="D29" s="166"/>
      <c r="E29" t="s">
        <v>1265</v>
      </c>
      <c r="F29" s="3" t="s">
        <v>128</v>
      </c>
      <c r="G29" s="76">
        <v>2.7</v>
      </c>
      <c r="H29" s="3" t="s">
        <v>128</v>
      </c>
      <c r="I29" s="248">
        <f>IF('Этап 6-Hg-продукция - вещ-ва'!B25=yes,'Этап 6-Hg-продукция - вещ-ва'!C25,0)</f>
        <v>0</v>
      </c>
      <c r="J29" t="s">
        <v>111</v>
      </c>
      <c r="K29" s="115">
        <f t="shared" si="10"/>
        <v>0</v>
      </c>
      <c r="L29" s="3" t="s">
        <v>36</v>
      </c>
      <c r="M29" s="15" t="s">
        <v>112</v>
      </c>
      <c r="N29" s="319">
        <f>IF(AND('Этап5-Обраб. отходов+перераб.'!$B$4=no,OR('Этап5-Обраб. отходов+перераб.'!$E$4=no,'Этап5-Обраб. отходов+перераб.'!$E$4=yes,'Этап5-Обраб. отходов+перераб.'!$E$4="")),K27,0)</f>
        <v>0</v>
      </c>
      <c r="O29" s="3"/>
      <c r="P29" s="294">
        <v>0.3</v>
      </c>
      <c r="Q29" s="294"/>
      <c r="R29" s="294">
        <v>0.3</v>
      </c>
      <c r="S29" s="294"/>
      <c r="T29" s="294">
        <v>0.4</v>
      </c>
      <c r="U29" s="294"/>
      <c r="V29" s="116">
        <f t="shared" si="11"/>
        <v>0</v>
      </c>
      <c r="W29" s="116">
        <f t="shared" si="11"/>
        <v>0</v>
      </c>
      <c r="X29" s="116">
        <f t="shared" si="11"/>
        <v>0</v>
      </c>
      <c r="Y29" s="116">
        <f t="shared" si="11"/>
        <v>0</v>
      </c>
      <c r="Z29" s="116">
        <f t="shared" si="12"/>
        <v>0</v>
      </c>
      <c r="AA29" s="116">
        <f t="shared" si="12"/>
        <v>0</v>
      </c>
      <c r="AB29" s="76"/>
    </row>
    <row r="30" spans="2:28" ht="26">
      <c r="C30" s="53" t="s">
        <v>122</v>
      </c>
      <c r="D30" s="130"/>
      <c r="E30" t="s">
        <v>1266</v>
      </c>
      <c r="F30" s="3" t="s">
        <v>128</v>
      </c>
      <c r="G30" s="76">
        <v>40</v>
      </c>
      <c r="H30" s="3" t="s">
        <v>128</v>
      </c>
      <c r="I30" s="248">
        <f>IF('Этап 6-Hg-продукция - вещ-ва'!B26=yes,'Этап 6-Hg-продукция - вещ-ва'!C26/4,0)</f>
        <v>0</v>
      </c>
      <c r="J30" t="s">
        <v>111</v>
      </c>
      <c r="K30" s="115">
        <f t="shared" si="10"/>
        <v>0</v>
      </c>
      <c r="L30" s="3" t="s">
        <v>36</v>
      </c>
      <c r="M30" s="15" t="s">
        <v>98</v>
      </c>
      <c r="N30" s="319">
        <f>IF(AND('Этап5-Обраб. отходов+перераб.'!$B$4=yes,'Этап5-Обраб. отходов+перераб.'!$E$4=yes),K27,0)</f>
        <v>0</v>
      </c>
      <c r="O30" s="3"/>
      <c r="P30" s="294">
        <v>0.05</v>
      </c>
      <c r="Q30" s="294"/>
      <c r="R30" s="294"/>
      <c r="S30" s="294"/>
      <c r="T30" s="294">
        <v>0.8</v>
      </c>
      <c r="U30" s="294">
        <v>0.15</v>
      </c>
      <c r="V30" s="116">
        <f t="shared" si="11"/>
        <v>0</v>
      </c>
      <c r="W30" s="116">
        <f t="shared" si="11"/>
        <v>0</v>
      </c>
      <c r="X30" s="116">
        <f t="shared" si="11"/>
        <v>0</v>
      </c>
      <c r="Y30" s="116">
        <f t="shared" si="11"/>
        <v>0</v>
      </c>
      <c r="Z30" s="116">
        <f t="shared" si="12"/>
        <v>0</v>
      </c>
      <c r="AA30" s="116">
        <f t="shared" si="12"/>
        <v>0</v>
      </c>
      <c r="AB30" s="76"/>
    </row>
    <row r="31" spans="2:28" ht="13">
      <c r="C31" s="53" t="s">
        <v>123</v>
      </c>
      <c r="D31" s="166"/>
      <c r="E31" t="s">
        <v>126</v>
      </c>
      <c r="F31" s="3" t="s">
        <v>128</v>
      </c>
      <c r="G31" s="76">
        <v>20</v>
      </c>
      <c r="H31" s="3" t="s">
        <v>128</v>
      </c>
      <c r="I31" s="248">
        <f>IF('Этап 6-Hg-продукция - вещ-ва'!B26=yes,'Этап 6-Hg-продукция - вещ-ва'!C26/4,0)</f>
        <v>0</v>
      </c>
      <c r="J31" t="s">
        <v>111</v>
      </c>
      <c r="K31" s="115">
        <f t="shared" si="10"/>
        <v>0</v>
      </c>
      <c r="L31" s="3" t="s">
        <v>36</v>
      </c>
      <c r="N31" s="248"/>
      <c r="O31" s="3"/>
      <c r="P31" s="294"/>
      <c r="Q31" s="294"/>
      <c r="R31" s="294"/>
      <c r="S31" s="294"/>
      <c r="T31" s="294"/>
      <c r="U31" s="295"/>
      <c r="V31" s="116"/>
      <c r="W31" s="116"/>
      <c r="X31" s="116"/>
      <c r="Y31" s="116"/>
      <c r="Z31" s="116"/>
      <c r="AA31" s="116"/>
      <c r="AB31" s="76"/>
    </row>
    <row r="32" spans="2:28" ht="13">
      <c r="C32" s="53" t="s">
        <v>124</v>
      </c>
      <c r="D32" s="166"/>
      <c r="E32" t="s">
        <v>127</v>
      </c>
      <c r="F32" s="3" t="s">
        <v>128</v>
      </c>
      <c r="G32" s="76">
        <v>15</v>
      </c>
      <c r="H32" s="3" t="s">
        <v>128</v>
      </c>
      <c r="I32" s="248">
        <f>IF('Этап 6-Hg-продукция - вещ-ва'!B26=yes,'Этап 6-Hg-продукция - вещ-ва'!C26/4,0)</f>
        <v>0</v>
      </c>
      <c r="J32" t="s">
        <v>111</v>
      </c>
      <c r="K32" s="115">
        <f t="shared" si="10"/>
        <v>0</v>
      </c>
      <c r="L32" s="3" t="s">
        <v>36</v>
      </c>
      <c r="M32" s="15"/>
      <c r="N32" s="248"/>
      <c r="O32" s="3"/>
      <c r="P32" s="294"/>
      <c r="Q32" s="294"/>
      <c r="R32" s="294"/>
      <c r="S32" s="294"/>
      <c r="T32" s="294"/>
      <c r="U32" s="294"/>
      <c r="V32" s="116"/>
      <c r="W32" s="116"/>
      <c r="X32" s="116"/>
      <c r="Y32" s="116"/>
      <c r="Z32" s="116"/>
      <c r="AA32" s="116"/>
      <c r="AB32" s="76"/>
    </row>
    <row r="33" spans="2:28" ht="13">
      <c r="C33" s="53" t="s">
        <v>125</v>
      </c>
      <c r="D33" s="130"/>
      <c r="E33" t="s">
        <v>1267</v>
      </c>
      <c r="F33" s="3" t="s">
        <v>128</v>
      </c>
      <c r="G33" s="76">
        <v>25</v>
      </c>
      <c r="H33" s="3" t="s">
        <v>128</v>
      </c>
      <c r="I33" s="248">
        <f>IF('Этап 6-Hg-продукция - вещ-ва'!B26=yes,'Этап 6-Hg-продукция - вещ-ва'!C26/4,0)</f>
        <v>0</v>
      </c>
      <c r="J33" t="s">
        <v>111</v>
      </c>
      <c r="K33" s="115">
        <f t="shared" si="10"/>
        <v>0</v>
      </c>
      <c r="L33" s="3" t="s">
        <v>36</v>
      </c>
      <c r="M33" s="15"/>
      <c r="N33" s="248"/>
      <c r="O33" s="3"/>
      <c r="P33" s="294"/>
      <c r="Q33" s="294"/>
      <c r="R33" s="294"/>
      <c r="S33" s="294"/>
      <c r="T33" s="294"/>
      <c r="U33" s="294"/>
      <c r="V33" s="116"/>
      <c r="W33" s="116"/>
      <c r="X33" s="116"/>
      <c r="Y33" s="116"/>
      <c r="Z33" s="116"/>
      <c r="AA33" s="116"/>
      <c r="AB33" s="76"/>
    </row>
    <row r="34" spans="2:28" s="55" customFormat="1" ht="13">
      <c r="C34" s="161"/>
      <c r="D34" s="76"/>
      <c r="E34"/>
      <c r="F34" s="104"/>
      <c r="G34" s="76"/>
      <c r="H34" s="104"/>
      <c r="I34" s="248"/>
      <c r="K34" s="115"/>
      <c r="L34" s="104"/>
      <c r="M34" s="107"/>
      <c r="N34" s="248"/>
      <c r="O34" s="104"/>
      <c r="P34" s="294"/>
      <c r="Q34" s="294"/>
      <c r="R34" s="294"/>
      <c r="S34" s="294"/>
      <c r="T34" s="294"/>
      <c r="U34" s="294"/>
      <c r="V34" s="116"/>
      <c r="W34" s="116"/>
      <c r="X34" s="116"/>
      <c r="Y34" s="116"/>
      <c r="Z34" s="116"/>
      <c r="AA34" s="116"/>
      <c r="AB34" s="76"/>
    </row>
    <row r="35" spans="2:28" ht="13">
      <c r="B35" t="s">
        <v>131</v>
      </c>
      <c r="C35" s="12" t="s">
        <v>132</v>
      </c>
      <c r="D35" s="111"/>
      <c r="G35" s="76"/>
      <c r="I35" s="247"/>
      <c r="K35" s="114"/>
      <c r="L35" s="3"/>
      <c r="M35" s="14"/>
      <c r="N35" s="248"/>
      <c r="O35" s="3"/>
      <c r="P35" s="295"/>
      <c r="Q35" s="295"/>
      <c r="R35" s="295"/>
      <c r="S35" s="295"/>
      <c r="T35" s="295"/>
      <c r="U35" s="295"/>
      <c r="V35" s="114">
        <f t="shared" ref="V35:AA35" si="13">SUM(V36:V47)</f>
        <v>0</v>
      </c>
      <c r="W35" s="114">
        <f t="shared" si="13"/>
        <v>0</v>
      </c>
      <c r="X35" s="114">
        <f t="shared" si="13"/>
        <v>0</v>
      </c>
      <c r="Y35" s="114">
        <f t="shared" si="13"/>
        <v>0</v>
      </c>
      <c r="Z35" s="114">
        <f t="shared" si="13"/>
        <v>0</v>
      </c>
      <c r="AA35" s="114">
        <f t="shared" si="13"/>
        <v>0</v>
      </c>
      <c r="AB35" s="76"/>
    </row>
    <row r="36" spans="2:28" ht="13">
      <c r="C36" s="12" t="s">
        <v>352</v>
      </c>
      <c r="D36" s="111"/>
      <c r="F36" s="3"/>
      <c r="G36" s="76">
        <v>1</v>
      </c>
      <c r="H36" s="3"/>
      <c r="I36" s="248">
        <f>'Этап 4-Пром. прим. Hg'!C13</f>
        <v>0</v>
      </c>
      <c r="J36" s="8" t="s">
        <v>391</v>
      </c>
      <c r="K36" s="115">
        <f>I36*G36</f>
        <v>0</v>
      </c>
      <c r="L36" s="3"/>
      <c r="M36" s="14" t="s">
        <v>352</v>
      </c>
      <c r="N36" s="248">
        <f>K36</f>
        <v>0</v>
      </c>
      <c r="O36" s="3" t="s">
        <v>36</v>
      </c>
      <c r="P36" s="294">
        <v>5.0000000000000001E-3</v>
      </c>
      <c r="Q36" s="294">
        <v>5.0000000000000001E-3</v>
      </c>
      <c r="R36" s="294">
        <v>0.1</v>
      </c>
      <c r="S36" s="294"/>
      <c r="T36" s="294">
        <v>0.1</v>
      </c>
      <c r="U36" s="294">
        <v>0.01</v>
      </c>
      <c r="V36" s="116">
        <f t="shared" ref="V36:AA36" si="14">$N36*P36</f>
        <v>0</v>
      </c>
      <c r="W36" s="116">
        <f t="shared" si="14"/>
        <v>0</v>
      </c>
      <c r="X36" s="116">
        <f t="shared" si="14"/>
        <v>0</v>
      </c>
      <c r="Y36" s="116">
        <f t="shared" si="14"/>
        <v>0</v>
      </c>
      <c r="Z36" s="116">
        <f t="shared" si="14"/>
        <v>0</v>
      </c>
      <c r="AA36" s="116">
        <f t="shared" si="14"/>
        <v>0</v>
      </c>
      <c r="AB36" s="76"/>
    </row>
    <row r="37" spans="2:28" ht="25.5">
      <c r="C37" s="53" t="s">
        <v>133</v>
      </c>
      <c r="D37" s="130"/>
      <c r="E37" s="444">
        <v>320</v>
      </c>
      <c r="F37" s="3" t="s">
        <v>338</v>
      </c>
      <c r="G37" s="167">
        <v>320</v>
      </c>
      <c r="H37" s="3" t="s">
        <v>338</v>
      </c>
      <c r="I37" s="248"/>
      <c r="J37" t="s">
        <v>330</v>
      </c>
      <c r="K37" s="115">
        <f>G37*I37</f>
        <v>0</v>
      </c>
      <c r="L37" s="3" t="s">
        <v>36</v>
      </c>
      <c r="M37" s="15"/>
      <c r="N37" s="248"/>
      <c r="O37" s="3"/>
      <c r="P37" s="294"/>
      <c r="Q37" s="294"/>
      <c r="R37" s="294"/>
      <c r="S37" s="294"/>
      <c r="T37" s="294"/>
      <c r="U37" s="294"/>
      <c r="V37" s="116"/>
      <c r="W37" s="116"/>
      <c r="X37" s="116"/>
      <c r="Y37" s="116"/>
      <c r="Z37" s="116"/>
      <c r="AA37" s="116"/>
      <c r="AB37" s="76"/>
    </row>
    <row r="38" spans="2:28" ht="13">
      <c r="C38" s="53" t="s">
        <v>134</v>
      </c>
      <c r="D38" s="130"/>
      <c r="E38" s="444">
        <v>12</v>
      </c>
      <c r="F38" s="3" t="s">
        <v>338</v>
      </c>
      <c r="G38" s="167">
        <v>12</v>
      </c>
      <c r="H38" s="3" t="s">
        <v>338</v>
      </c>
      <c r="I38" s="248"/>
      <c r="J38" t="s">
        <v>330</v>
      </c>
      <c r="K38" s="115">
        <f>G38*I38</f>
        <v>0</v>
      </c>
      <c r="L38" s="3" t="s">
        <v>36</v>
      </c>
      <c r="M38" s="15"/>
      <c r="N38" s="248"/>
      <c r="O38" s="3"/>
      <c r="P38" s="294"/>
      <c r="Q38" s="294"/>
      <c r="R38" s="294"/>
      <c r="S38" s="294"/>
      <c r="T38" s="294"/>
      <c r="U38" s="294"/>
      <c r="V38" s="116"/>
      <c r="W38" s="116"/>
      <c r="X38" s="116"/>
      <c r="Y38" s="116"/>
      <c r="Z38" s="116"/>
      <c r="AA38" s="116"/>
      <c r="AB38" s="76"/>
    </row>
    <row r="39" spans="2:28" ht="13">
      <c r="C39" s="53" t="s">
        <v>135</v>
      </c>
      <c r="D39" s="130"/>
      <c r="E39" s="444">
        <v>5</v>
      </c>
      <c r="F39" s="3" t="s">
        <v>338</v>
      </c>
      <c r="G39" s="167">
        <v>5</v>
      </c>
      <c r="H39" s="3" t="s">
        <v>338</v>
      </c>
      <c r="I39" s="248"/>
      <c r="J39" t="s">
        <v>330</v>
      </c>
      <c r="K39" s="115">
        <f>G39*I39</f>
        <v>0</v>
      </c>
      <c r="L39" s="3" t="s">
        <v>36</v>
      </c>
      <c r="M39" s="15"/>
      <c r="N39" s="248"/>
      <c r="O39" s="3"/>
      <c r="P39" s="294"/>
      <c r="Q39" s="294"/>
      <c r="R39" s="294"/>
      <c r="S39" s="294"/>
      <c r="T39" s="294"/>
      <c r="U39" s="294"/>
      <c r="V39" s="116"/>
      <c r="W39" s="116"/>
      <c r="X39" s="116"/>
      <c r="Y39" s="116"/>
      <c r="Z39" s="116"/>
      <c r="AA39" s="116"/>
      <c r="AB39" s="76"/>
    </row>
    <row r="40" spans="2:28" ht="13">
      <c r="C40" s="53" t="s">
        <v>136</v>
      </c>
      <c r="D40" s="130"/>
      <c r="E40" s="444">
        <v>4</v>
      </c>
      <c r="F40" s="3" t="s">
        <v>338</v>
      </c>
      <c r="G40" s="167">
        <v>4</v>
      </c>
      <c r="H40" s="3" t="s">
        <v>338</v>
      </c>
      <c r="I40" s="248"/>
      <c r="J40" t="s">
        <v>330</v>
      </c>
      <c r="K40" s="115">
        <f>G40*I40</f>
        <v>0</v>
      </c>
      <c r="L40" s="3" t="s">
        <v>36</v>
      </c>
      <c r="N40" s="248"/>
      <c r="O40" s="3"/>
      <c r="P40" s="294"/>
      <c r="Q40" s="294"/>
      <c r="R40" s="294"/>
      <c r="S40" s="294"/>
      <c r="T40" s="294"/>
      <c r="U40" s="295"/>
      <c r="V40" s="116"/>
      <c r="W40" s="116"/>
      <c r="X40" s="116"/>
      <c r="Y40" s="116"/>
      <c r="Z40" s="116"/>
      <c r="AA40" s="116"/>
      <c r="AB40" s="76"/>
    </row>
    <row r="41" spans="2:28" ht="25.5">
      <c r="C41" s="53" t="s">
        <v>137</v>
      </c>
      <c r="D41" s="130"/>
      <c r="E41" s="444" t="s">
        <v>116</v>
      </c>
      <c r="F41" s="3" t="s">
        <v>338</v>
      </c>
      <c r="G41" s="167">
        <v>0.25</v>
      </c>
      <c r="H41" s="3" t="s">
        <v>338</v>
      </c>
      <c r="I41" s="248"/>
      <c r="J41" t="s">
        <v>330</v>
      </c>
      <c r="K41" s="115">
        <f>G41*I41</f>
        <v>0</v>
      </c>
      <c r="L41" s="3" t="s">
        <v>36</v>
      </c>
      <c r="N41" s="248"/>
      <c r="O41" s="3"/>
      <c r="P41" s="294"/>
      <c r="Q41" s="294"/>
      <c r="R41" s="294"/>
      <c r="S41" s="294"/>
      <c r="T41" s="294"/>
      <c r="U41" s="295"/>
      <c r="V41" s="171"/>
      <c r="W41" s="171"/>
      <c r="X41" s="171"/>
      <c r="Y41" s="171"/>
      <c r="Z41" s="171"/>
      <c r="AA41" s="171"/>
      <c r="AB41" s="76"/>
    </row>
    <row r="42" spans="2:28" ht="13">
      <c r="C42" s="12" t="s">
        <v>100</v>
      </c>
      <c r="D42" s="111"/>
      <c r="E42" s="444"/>
      <c r="F42" s="3"/>
      <c r="G42" s="76"/>
      <c r="H42" s="3"/>
      <c r="I42" s="248"/>
      <c r="K42" s="168">
        <f>SUM(K43:K47)</f>
        <v>0</v>
      </c>
      <c r="L42" s="3" t="s">
        <v>36</v>
      </c>
      <c r="M42" s="16" t="s">
        <v>100</v>
      </c>
      <c r="N42" s="248"/>
      <c r="O42" s="3"/>
      <c r="P42" s="294"/>
      <c r="Q42" s="294"/>
      <c r="R42" s="294"/>
      <c r="S42" s="294"/>
      <c r="T42" s="294"/>
      <c r="U42" s="295"/>
      <c r="V42" s="171"/>
      <c r="W42" s="171"/>
      <c r="X42" s="171"/>
      <c r="Y42" s="171"/>
      <c r="Z42" s="171"/>
      <c r="AA42" s="171"/>
      <c r="AB42" s="76"/>
    </row>
    <row r="43" spans="2:28" ht="26">
      <c r="C43" s="53" t="s">
        <v>133</v>
      </c>
      <c r="D43" s="130"/>
      <c r="E43" s="444">
        <v>320</v>
      </c>
      <c r="F43" s="3" t="s">
        <v>338</v>
      </c>
      <c r="G43" s="167">
        <v>320</v>
      </c>
      <c r="H43" s="3" t="s">
        <v>338</v>
      </c>
      <c r="I43" s="248">
        <f>IF('Этап 6-Hg-продукция - вещ-ва'!B29=yes,'Этап 6-Hg-продукция - вещ-ва'!C29,0)</f>
        <v>0</v>
      </c>
      <c r="J43" t="s">
        <v>330</v>
      </c>
      <c r="K43" s="115">
        <f>G43*I43</f>
        <v>0</v>
      </c>
      <c r="L43" s="3" t="s">
        <v>36</v>
      </c>
      <c r="M43" s="15" t="s">
        <v>97</v>
      </c>
      <c r="N43" s="319">
        <f>IF(AND('Этап5-Обраб. отходов+перераб.'!$B$4=yes,'Этап5-Обраб. отходов+перераб.'!$E$4=no),K42,0)</f>
        <v>0</v>
      </c>
      <c r="O43" s="3"/>
      <c r="P43" s="294"/>
      <c r="Q43" s="294"/>
      <c r="R43" s="294"/>
      <c r="S43" s="294"/>
      <c r="T43" s="294">
        <v>1</v>
      </c>
      <c r="U43" s="294"/>
      <c r="V43" s="116">
        <f t="shared" ref="V43:Y45" si="15">$N43*P43</f>
        <v>0</v>
      </c>
      <c r="W43" s="116">
        <f t="shared" si="15"/>
        <v>0</v>
      </c>
      <c r="X43" s="116">
        <f t="shared" si="15"/>
        <v>0</v>
      </c>
      <c r="Y43" s="116">
        <f t="shared" si="15"/>
        <v>0</v>
      </c>
      <c r="Z43" s="116">
        <f t="shared" ref="Z43:AA45" si="16">$N43*T43</f>
        <v>0</v>
      </c>
      <c r="AA43" s="116">
        <f t="shared" si="16"/>
        <v>0</v>
      </c>
      <c r="AB43" s="76"/>
    </row>
    <row r="44" spans="2:28" ht="26">
      <c r="C44" s="53" t="s">
        <v>134</v>
      </c>
      <c r="D44" s="130"/>
      <c r="E44" s="444">
        <v>12</v>
      </c>
      <c r="F44" s="3" t="s">
        <v>338</v>
      </c>
      <c r="G44" s="167">
        <v>12</v>
      </c>
      <c r="H44" s="3" t="s">
        <v>338</v>
      </c>
      <c r="I44" s="248">
        <f>IF('Этап 6-Hg-продукция - вещ-ва'!B30=yes,'Этап 6-Hg-продукция - вещ-ва'!C30/3,0)</f>
        <v>0</v>
      </c>
      <c r="J44" s="231" t="s">
        <v>330</v>
      </c>
      <c r="K44" s="115">
        <f>G44*I44</f>
        <v>0</v>
      </c>
      <c r="L44" s="3" t="s">
        <v>36</v>
      </c>
      <c r="M44" s="15" t="s">
        <v>112</v>
      </c>
      <c r="N44" s="319">
        <f>IF(AND('Этап5-Обраб. отходов+перераб.'!$B$4=no,OR('Этап5-Обраб. отходов+перераб.'!$E$4=no,'Этап5-Обраб. отходов+перераб.'!$E$4=yes,'Этап5-Обраб. отходов+перераб.'!$E$4="")),K42,0)</f>
        <v>0</v>
      </c>
      <c r="O44" s="3"/>
      <c r="P44" s="294">
        <v>0.25</v>
      </c>
      <c r="Q44" s="294"/>
      <c r="R44" s="294">
        <v>0.25</v>
      </c>
      <c r="S44" s="294"/>
      <c r="T44" s="294">
        <v>0.5</v>
      </c>
      <c r="U44" s="294"/>
      <c r="V44" s="116">
        <f t="shared" si="15"/>
        <v>0</v>
      </c>
      <c r="W44" s="116">
        <f t="shared" si="15"/>
        <v>0</v>
      </c>
      <c r="X44" s="116">
        <f t="shared" si="15"/>
        <v>0</v>
      </c>
      <c r="Y44" s="116">
        <f t="shared" si="15"/>
        <v>0</v>
      </c>
      <c r="Z44" s="116">
        <f t="shared" si="16"/>
        <v>0</v>
      </c>
      <c r="AA44" s="116">
        <f t="shared" si="16"/>
        <v>0</v>
      </c>
      <c r="AB44" s="76"/>
    </row>
    <row r="45" spans="2:28" ht="26">
      <c r="C45" s="53" t="s">
        <v>135</v>
      </c>
      <c r="D45" s="130"/>
      <c r="E45" s="444">
        <v>5</v>
      </c>
      <c r="F45" s="3" t="s">
        <v>338</v>
      </c>
      <c r="G45" s="167">
        <v>5</v>
      </c>
      <c r="H45" s="3" t="s">
        <v>338</v>
      </c>
      <c r="I45" s="248">
        <f>IF('Этап 6-Hg-продукция - вещ-ва'!B30=yes,'Этап 6-Hg-продукция - вещ-ва'!C30/3,0)</f>
        <v>0</v>
      </c>
      <c r="J45" t="s">
        <v>330</v>
      </c>
      <c r="K45" s="115">
        <f>G45*I45</f>
        <v>0</v>
      </c>
      <c r="L45" s="3" t="s">
        <v>36</v>
      </c>
      <c r="M45" s="15" t="s">
        <v>98</v>
      </c>
      <c r="N45" s="319">
        <f>IF(AND('Этап5-Обраб. отходов+перераб.'!$B$4=yes,'Этап5-Обраб. отходов+перераб.'!$E$4=yes),K42,0)</f>
        <v>0</v>
      </c>
      <c r="O45" s="3"/>
      <c r="P45" s="294"/>
      <c r="Q45" s="294"/>
      <c r="R45" s="294"/>
      <c r="S45" s="294"/>
      <c r="T45" s="294">
        <v>0.6</v>
      </c>
      <c r="U45" s="294">
        <v>0.4</v>
      </c>
      <c r="V45" s="116">
        <f t="shared" si="15"/>
        <v>0</v>
      </c>
      <c r="W45" s="116">
        <f t="shared" si="15"/>
        <v>0</v>
      </c>
      <c r="X45" s="116">
        <f t="shared" si="15"/>
        <v>0</v>
      </c>
      <c r="Y45" s="116">
        <f t="shared" si="15"/>
        <v>0</v>
      </c>
      <c r="Z45" s="116">
        <f t="shared" si="16"/>
        <v>0</v>
      </c>
      <c r="AA45" s="116">
        <f t="shared" si="16"/>
        <v>0</v>
      </c>
      <c r="AB45" s="76"/>
    </row>
    <row r="46" spans="2:28" ht="13">
      <c r="C46" s="53" t="s">
        <v>136</v>
      </c>
      <c r="D46" s="130"/>
      <c r="E46">
        <v>4</v>
      </c>
      <c r="F46" s="3" t="s">
        <v>338</v>
      </c>
      <c r="G46" s="167">
        <v>4</v>
      </c>
      <c r="H46" s="3" t="s">
        <v>338</v>
      </c>
      <c r="I46" s="248">
        <f>IF('Этап 6-Hg-продукция - вещ-ва'!B30=yes,'Этап 6-Hg-продукция - вещ-ва'!C30/3,0)</f>
        <v>0</v>
      </c>
      <c r="J46" t="s">
        <v>330</v>
      </c>
      <c r="K46" s="115">
        <f>G46*I46</f>
        <v>0</v>
      </c>
      <c r="L46" s="3" t="s">
        <v>36</v>
      </c>
      <c r="N46" s="248"/>
      <c r="O46" s="3"/>
      <c r="P46" s="294"/>
      <c r="Q46" s="294"/>
      <c r="R46" s="294"/>
      <c r="S46" s="294"/>
      <c r="T46" s="294"/>
      <c r="U46" s="295"/>
      <c r="V46" s="116"/>
      <c r="W46" s="116"/>
      <c r="X46" s="116"/>
      <c r="Y46" s="116"/>
      <c r="Z46" s="116"/>
      <c r="AA46" s="116"/>
      <c r="AB46" s="76"/>
    </row>
    <row r="47" spans="2:28" ht="25.5">
      <c r="C47" s="53" t="s">
        <v>137</v>
      </c>
      <c r="D47" s="130"/>
      <c r="E47" t="s">
        <v>116</v>
      </c>
      <c r="F47" s="3" t="s">
        <v>338</v>
      </c>
      <c r="G47" s="167">
        <v>0.25</v>
      </c>
      <c r="H47" s="3" t="s">
        <v>338</v>
      </c>
      <c r="I47" s="248">
        <f>IF('Этап 6-Hg-продукция - вещ-ва'!B31=yes,'Этап 6-Hg-продукция - вещ-ва'!C31,0)</f>
        <v>0</v>
      </c>
      <c r="J47" t="s">
        <v>330</v>
      </c>
      <c r="K47" s="115">
        <f>G47*I47</f>
        <v>0</v>
      </c>
      <c r="L47" s="3" t="s">
        <v>36</v>
      </c>
      <c r="N47" s="248"/>
      <c r="O47" s="3"/>
      <c r="P47" s="294"/>
      <c r="Q47" s="294"/>
      <c r="R47" s="294"/>
      <c r="S47" s="294"/>
      <c r="T47" s="294"/>
      <c r="U47" s="295"/>
      <c r="V47" s="116"/>
      <c r="W47" s="116"/>
      <c r="X47" s="116"/>
      <c r="Y47" s="116"/>
      <c r="Z47" s="116"/>
      <c r="AA47" s="116"/>
      <c r="AB47" s="76"/>
    </row>
    <row r="48" spans="2:28" s="55" customFormat="1">
      <c r="C48" s="105"/>
      <c r="D48" s="76"/>
      <c r="G48" s="76"/>
      <c r="I48" s="247"/>
      <c r="K48" s="58"/>
      <c r="M48" s="162"/>
      <c r="N48" s="248"/>
      <c r="O48" s="104"/>
      <c r="P48" s="295"/>
      <c r="Q48" s="295"/>
      <c r="R48" s="295"/>
      <c r="S48" s="295"/>
      <c r="T48" s="295"/>
      <c r="U48" s="295"/>
      <c r="V48" s="58"/>
      <c r="W48" s="58"/>
      <c r="X48" s="58"/>
      <c r="Y48" s="58"/>
      <c r="Z48" s="58"/>
      <c r="AA48" s="58"/>
      <c r="AB48" s="76"/>
    </row>
    <row r="49" spans="1:28" s="48" customFormat="1" ht="26">
      <c r="B49" s="8" t="s">
        <v>130</v>
      </c>
      <c r="C49" s="12" t="s">
        <v>403</v>
      </c>
      <c r="D49" s="76"/>
      <c r="G49" s="76"/>
      <c r="I49" s="247"/>
      <c r="K49" s="58"/>
      <c r="M49" s="13"/>
      <c r="N49" s="248"/>
      <c r="O49" s="28"/>
      <c r="P49" s="295"/>
      <c r="Q49" s="295"/>
      <c r="R49" s="295"/>
      <c r="S49" s="295"/>
      <c r="T49" s="295"/>
      <c r="U49" s="295"/>
      <c r="V49" s="645">
        <f t="shared" ref="V49:AA49" si="17">SUM(V50:V53)</f>
        <v>0</v>
      </c>
      <c r="W49" s="645">
        <f t="shared" si="17"/>
        <v>0</v>
      </c>
      <c r="X49" s="645">
        <f t="shared" si="17"/>
        <v>0</v>
      </c>
      <c r="Y49" s="645">
        <f t="shared" si="17"/>
        <v>0</v>
      </c>
      <c r="Z49" s="645">
        <f t="shared" si="17"/>
        <v>0</v>
      </c>
      <c r="AA49" s="645">
        <f t="shared" si="17"/>
        <v>0</v>
      </c>
      <c r="AB49" s="76"/>
    </row>
    <row r="50" spans="1:28" s="48" customFormat="1" ht="13">
      <c r="C50" s="12" t="s">
        <v>352</v>
      </c>
      <c r="D50" s="76"/>
      <c r="G50" s="76"/>
      <c r="I50" s="247"/>
      <c r="K50" s="58"/>
      <c r="M50" s="14" t="s">
        <v>99</v>
      </c>
      <c r="N50" s="248"/>
      <c r="O50" s="28"/>
      <c r="P50" s="295"/>
      <c r="Q50" s="295"/>
      <c r="R50" s="295"/>
      <c r="S50" s="295"/>
      <c r="T50" s="295"/>
      <c r="U50" s="295"/>
      <c r="V50" s="58"/>
      <c r="W50" s="58"/>
      <c r="X50" s="58"/>
      <c r="Y50" s="58"/>
      <c r="Z50" s="58"/>
      <c r="AA50" s="58"/>
      <c r="AB50" s="76"/>
    </row>
    <row r="51" spans="1:28" s="48" customFormat="1" ht="13">
      <c r="C51" s="67" t="s">
        <v>91</v>
      </c>
      <c r="D51" s="76"/>
      <c r="E51" s="48" t="s">
        <v>427</v>
      </c>
      <c r="F51" s="36" t="s">
        <v>118</v>
      </c>
      <c r="G51" s="76">
        <v>0.03</v>
      </c>
      <c r="H51" s="36" t="s">
        <v>118</v>
      </c>
      <c r="I51" s="322">
        <f>'Этап 6-Hg-продукция - вещ-ва'!C33</f>
        <v>0</v>
      </c>
      <c r="J51" s="51" t="s">
        <v>117</v>
      </c>
      <c r="K51" s="489">
        <f>(I51*G51/1000)*'Этап 6-Hg-продукция - вещ-ва'!$C$34/100</f>
        <v>0</v>
      </c>
      <c r="L51" s="3" t="s">
        <v>36</v>
      </c>
      <c r="M51" s="16" t="s">
        <v>100</v>
      </c>
      <c r="N51" s="248"/>
      <c r="O51" s="28"/>
      <c r="P51" s="295"/>
      <c r="Q51" s="295"/>
      <c r="R51" s="295"/>
      <c r="S51" s="295"/>
      <c r="T51" s="295"/>
      <c r="U51" s="295"/>
      <c r="V51" s="58"/>
      <c r="W51" s="58"/>
      <c r="X51" s="58"/>
      <c r="Y51" s="58"/>
      <c r="Z51" s="58"/>
      <c r="AA51" s="58"/>
      <c r="AB51" s="76"/>
    </row>
    <row r="52" spans="1:28" s="48" customFormat="1" ht="26">
      <c r="C52" s="96"/>
      <c r="D52" s="76"/>
      <c r="G52" s="76"/>
      <c r="I52" s="247"/>
      <c r="K52" s="58"/>
      <c r="M52" s="15" t="s">
        <v>97</v>
      </c>
      <c r="N52" s="248">
        <f>IF(OR('Этап5-Обраб. отходов+перераб.'!$B$4=yes,'Этап5-Обраб. отходов+перераб.'!$B$4=yes),K51,0)</f>
        <v>0</v>
      </c>
      <c r="O52" s="28"/>
      <c r="P52" s="295">
        <v>0.1</v>
      </c>
      <c r="Q52" s="295">
        <v>0.05</v>
      </c>
      <c r="R52" s="295"/>
      <c r="S52" s="295"/>
      <c r="T52" s="295">
        <v>0.85</v>
      </c>
      <c r="U52" s="295"/>
      <c r="V52" s="116">
        <f t="shared" ref="V52:AA52" si="18">$N52*P52</f>
        <v>0</v>
      </c>
      <c r="W52" s="116">
        <f t="shared" si="18"/>
        <v>0</v>
      </c>
      <c r="X52" s="116">
        <f t="shared" si="18"/>
        <v>0</v>
      </c>
      <c r="Y52" s="116">
        <f t="shared" si="18"/>
        <v>0</v>
      </c>
      <c r="Z52" s="116">
        <f t="shared" si="18"/>
        <v>0</v>
      </c>
      <c r="AA52" s="116">
        <f t="shared" si="18"/>
        <v>0</v>
      </c>
      <c r="AB52" s="76"/>
    </row>
    <row r="53" spans="1:28" s="48" customFormat="1" ht="26">
      <c r="C53" s="96"/>
      <c r="D53" s="286"/>
      <c r="G53" s="286"/>
      <c r="I53" s="323"/>
      <c r="K53" s="324"/>
      <c r="M53" s="15" t="s">
        <v>112</v>
      </c>
      <c r="N53" s="325">
        <f>IF(OR('Этап5-Обраб. отходов+перераб.'!$B$4=no,'Этап5-Обраб. отходов+перераб.'!$B$4=no),K51,0)</f>
        <v>0</v>
      </c>
      <c r="O53" s="28"/>
      <c r="P53" s="430">
        <v>0.2</v>
      </c>
      <c r="Q53" s="430">
        <v>0.1</v>
      </c>
      <c r="R53" s="430">
        <v>0.4</v>
      </c>
      <c r="S53" s="430"/>
      <c r="T53" s="430">
        <v>0.3</v>
      </c>
      <c r="U53" s="430"/>
      <c r="V53" s="326">
        <f t="shared" ref="V53:AA53" si="19">$N53*P53</f>
        <v>0</v>
      </c>
      <c r="W53" s="326">
        <f t="shared" si="19"/>
        <v>0</v>
      </c>
      <c r="X53" s="326">
        <f t="shared" si="19"/>
        <v>0</v>
      </c>
      <c r="Y53" s="326">
        <f t="shared" si="19"/>
        <v>0</v>
      </c>
      <c r="Z53" s="326">
        <f t="shared" si="19"/>
        <v>0</v>
      </c>
      <c r="AA53" s="326">
        <f t="shared" si="19"/>
        <v>0</v>
      </c>
      <c r="AB53" s="76"/>
    </row>
    <row r="54" spans="1:28" s="48" customFormat="1" ht="39">
      <c r="C54" s="96"/>
      <c r="D54" s="286"/>
      <c r="G54" s="286"/>
      <c r="I54" s="323"/>
      <c r="K54" s="324"/>
      <c r="M54" s="15" t="s">
        <v>768</v>
      </c>
      <c r="N54" s="325"/>
      <c r="O54" s="28"/>
      <c r="P54" s="430"/>
      <c r="Q54" s="430"/>
      <c r="R54" s="430"/>
      <c r="S54" s="430"/>
      <c r="T54" s="430"/>
      <c r="U54" s="430"/>
      <c r="V54" s="326"/>
      <c r="W54" s="326"/>
      <c r="X54" s="326"/>
      <c r="Y54" s="326"/>
      <c r="Z54" s="326"/>
      <c r="AA54" s="326"/>
      <c r="AB54" s="76"/>
    </row>
    <row r="55" spans="1:28" ht="26">
      <c r="A55" s="91"/>
      <c r="B55" s="327" t="s">
        <v>139</v>
      </c>
      <c r="C55" s="97" t="s">
        <v>129</v>
      </c>
      <c r="D55" s="111"/>
      <c r="E55" s="91"/>
      <c r="F55" s="91"/>
      <c r="G55" s="76"/>
      <c r="H55" s="91"/>
      <c r="I55" s="247"/>
      <c r="J55" s="91"/>
      <c r="K55" s="114"/>
      <c r="L55" s="88"/>
      <c r="M55" s="328"/>
      <c r="N55" s="248"/>
      <c r="O55" s="88"/>
      <c r="P55" s="295"/>
      <c r="Q55" s="295"/>
      <c r="R55" s="295"/>
      <c r="S55" s="295"/>
      <c r="T55" s="295"/>
      <c r="U55" s="295"/>
      <c r="V55" s="114">
        <f t="shared" ref="V55:AA55" si="20">SUM(V56:V57)</f>
        <v>0</v>
      </c>
      <c r="W55" s="114">
        <f t="shared" si="20"/>
        <v>0</v>
      </c>
      <c r="X55" s="114">
        <f t="shared" si="20"/>
        <v>0</v>
      </c>
      <c r="Y55" s="114">
        <f t="shared" si="20"/>
        <v>0</v>
      </c>
      <c r="Z55" s="114">
        <f t="shared" si="20"/>
        <v>0</v>
      </c>
      <c r="AA55" s="114">
        <f t="shared" si="20"/>
        <v>0</v>
      </c>
      <c r="AB55" s="76"/>
    </row>
    <row r="56" spans="1:28" ht="13">
      <c r="C56" s="12" t="s">
        <v>352</v>
      </c>
      <c r="D56" s="111"/>
      <c r="E56" t="s">
        <v>43</v>
      </c>
      <c r="F56" s="3"/>
      <c r="G56" s="76">
        <v>1</v>
      </c>
      <c r="H56" s="3"/>
      <c r="I56" s="248">
        <f>'Этап 4-Пром. прим. Hg'!C15</f>
        <v>0</v>
      </c>
      <c r="J56" s="8" t="s">
        <v>391</v>
      </c>
      <c r="K56" s="115">
        <f>I56*G56</f>
        <v>0</v>
      </c>
      <c r="L56" s="3" t="s">
        <v>36</v>
      </c>
      <c r="M56" s="14" t="s">
        <v>99</v>
      </c>
      <c r="N56" s="248">
        <f>K56</f>
        <v>0</v>
      </c>
      <c r="O56" s="3" t="s">
        <v>36</v>
      </c>
      <c r="P56" s="294">
        <v>0.01</v>
      </c>
      <c r="Q56" s="294">
        <v>5.0000000000000001E-3</v>
      </c>
      <c r="R56" s="294">
        <v>0.1</v>
      </c>
      <c r="S56" s="294"/>
      <c r="T56" s="294">
        <v>0.1</v>
      </c>
      <c r="U56" s="294">
        <v>0.01</v>
      </c>
      <c r="V56" s="116">
        <f t="shared" ref="V56:AA57" si="21">$N56*P56</f>
        <v>0</v>
      </c>
      <c r="W56" s="116">
        <f t="shared" si="21"/>
        <v>0</v>
      </c>
      <c r="X56" s="116">
        <f t="shared" si="21"/>
        <v>0</v>
      </c>
      <c r="Y56" s="116">
        <f t="shared" si="21"/>
        <v>0</v>
      </c>
      <c r="Z56" s="116">
        <f t="shared" si="21"/>
        <v>0</v>
      </c>
      <c r="AA56" s="116">
        <f t="shared" si="21"/>
        <v>0</v>
      </c>
      <c r="AB56" s="76"/>
    </row>
    <row r="57" spans="1:28" ht="13">
      <c r="C57" s="67" t="s">
        <v>91</v>
      </c>
      <c r="D57" s="111"/>
      <c r="E57" t="s">
        <v>43</v>
      </c>
      <c r="F57" s="3"/>
      <c r="G57" s="76" t="s">
        <v>43</v>
      </c>
      <c r="H57" s="3"/>
      <c r="I57" s="248"/>
      <c r="K57" s="115" t="s">
        <v>43</v>
      </c>
      <c r="L57" s="3"/>
      <c r="M57" s="16" t="s">
        <v>100</v>
      </c>
      <c r="N57" s="248"/>
      <c r="O57" s="3"/>
      <c r="P57" s="294"/>
      <c r="Q57" s="294"/>
      <c r="R57" s="294"/>
      <c r="S57" s="294"/>
      <c r="T57" s="294"/>
      <c r="U57" s="294"/>
      <c r="V57" s="116">
        <f t="shared" si="21"/>
        <v>0</v>
      </c>
      <c r="W57" s="116">
        <f t="shared" si="21"/>
        <v>0</v>
      </c>
      <c r="X57" s="116">
        <f t="shared" si="21"/>
        <v>0</v>
      </c>
      <c r="Y57" s="116">
        <f t="shared" si="21"/>
        <v>0</v>
      </c>
      <c r="Z57" s="116">
        <f t="shared" si="21"/>
        <v>0</v>
      </c>
      <c r="AA57" s="116">
        <f t="shared" si="21"/>
        <v>0</v>
      </c>
      <c r="AB57" s="76"/>
    </row>
    <row r="58" spans="1:28" s="55" customFormat="1" ht="13">
      <c r="C58" s="163"/>
      <c r="D58" s="111"/>
      <c r="F58" s="104"/>
      <c r="G58" s="76"/>
      <c r="H58" s="104"/>
      <c r="I58" s="248"/>
      <c r="K58" s="115"/>
      <c r="L58" s="104"/>
      <c r="M58" s="164"/>
      <c r="N58" s="248"/>
      <c r="O58" s="104"/>
      <c r="P58" s="294"/>
      <c r="Q58" s="294"/>
      <c r="R58" s="294"/>
      <c r="S58" s="294"/>
      <c r="T58" s="294"/>
      <c r="U58" s="294"/>
      <c r="V58" s="116"/>
      <c r="W58" s="116"/>
      <c r="X58" s="116"/>
      <c r="Y58" s="116"/>
      <c r="Z58" s="116"/>
      <c r="AA58" s="116"/>
      <c r="AB58" s="76"/>
    </row>
    <row r="59" spans="1:28" ht="13">
      <c r="B59" s="8" t="s">
        <v>374</v>
      </c>
      <c r="C59" s="12" t="s">
        <v>138</v>
      </c>
      <c r="D59" s="111"/>
      <c r="G59" s="76"/>
      <c r="I59" s="247"/>
      <c r="K59" s="114"/>
      <c r="L59" s="3"/>
      <c r="M59" s="14"/>
      <c r="N59" s="248"/>
      <c r="O59" s="3"/>
      <c r="P59" s="295"/>
      <c r="Q59" s="295"/>
      <c r="R59" s="295"/>
      <c r="S59" s="295"/>
      <c r="T59" s="295"/>
      <c r="U59" s="295"/>
      <c r="V59" s="114">
        <f t="shared" ref="V59:AA59" si="22">SUM(V60:V61)</f>
        <v>0</v>
      </c>
      <c r="W59" s="114">
        <f t="shared" si="22"/>
        <v>0</v>
      </c>
      <c r="X59" s="114">
        <f t="shared" si="22"/>
        <v>0</v>
      </c>
      <c r="Y59" s="114">
        <f t="shared" si="22"/>
        <v>0</v>
      </c>
      <c r="Z59" s="114">
        <f t="shared" si="22"/>
        <v>0</v>
      </c>
      <c r="AA59" s="114">
        <f t="shared" si="22"/>
        <v>0</v>
      </c>
      <c r="AB59" s="76"/>
    </row>
    <row r="60" spans="1:28" ht="13">
      <c r="C60" s="12" t="s">
        <v>352</v>
      </c>
      <c r="D60" s="111"/>
      <c r="E60" s="6"/>
      <c r="F60" s="3"/>
      <c r="G60" s="76">
        <v>1</v>
      </c>
      <c r="H60" s="3"/>
      <c r="I60" s="248">
        <f>'Этап 4-Пром. прим. Hg'!C16</f>
        <v>0</v>
      </c>
      <c r="J60" t="s">
        <v>390</v>
      </c>
      <c r="K60" s="115">
        <f>I60*G60</f>
        <v>0</v>
      </c>
      <c r="L60" s="3" t="s">
        <v>36</v>
      </c>
      <c r="M60" s="14" t="s">
        <v>99</v>
      </c>
      <c r="N60" s="248">
        <f>K60</f>
        <v>0</v>
      </c>
      <c r="O60" s="3" t="s">
        <v>36</v>
      </c>
      <c r="P60" s="294">
        <v>0.01</v>
      </c>
      <c r="Q60" s="294">
        <v>5.0000000000000001E-3</v>
      </c>
      <c r="R60" s="294">
        <v>0.1</v>
      </c>
      <c r="S60" s="294"/>
      <c r="T60" s="294">
        <v>0.1</v>
      </c>
      <c r="U60" s="294">
        <v>0.01</v>
      </c>
      <c r="V60" s="116">
        <f t="shared" ref="V60:AA61" si="23">$N60*P60</f>
        <v>0</v>
      </c>
      <c r="W60" s="116">
        <f t="shared" si="23"/>
        <v>0</v>
      </c>
      <c r="X60" s="116">
        <f t="shared" si="23"/>
        <v>0</v>
      </c>
      <c r="Y60" s="116">
        <f t="shared" si="23"/>
        <v>0</v>
      </c>
      <c r="Z60" s="116">
        <f t="shared" si="23"/>
        <v>0</v>
      </c>
      <c r="AA60" s="116">
        <f t="shared" si="23"/>
        <v>0</v>
      </c>
      <c r="AB60" s="76"/>
    </row>
    <row r="61" spans="1:28" ht="13">
      <c r="C61" s="67" t="s">
        <v>91</v>
      </c>
      <c r="D61" s="111"/>
      <c r="E61" s="6" t="s">
        <v>140</v>
      </c>
      <c r="F61" s="3" t="s">
        <v>339</v>
      </c>
      <c r="G61" s="76">
        <v>2.6</v>
      </c>
      <c r="H61" s="3" t="s">
        <v>339</v>
      </c>
      <c r="I61" s="248">
        <f>'Этап 6-Hg-продукция - вещ-ва'!C36</f>
        <v>0</v>
      </c>
      <c r="J61" t="s">
        <v>331</v>
      </c>
      <c r="K61" s="115">
        <f>G61*I61</f>
        <v>0</v>
      </c>
      <c r="L61" s="3" t="s">
        <v>36</v>
      </c>
      <c r="M61" s="16" t="s">
        <v>141</v>
      </c>
      <c r="N61" s="248">
        <f>K61</f>
        <v>0</v>
      </c>
      <c r="O61" s="17"/>
      <c r="P61" s="294">
        <v>0.92</v>
      </c>
      <c r="Q61" s="294">
        <v>0.05</v>
      </c>
      <c r="R61" s="294"/>
      <c r="S61" s="294"/>
      <c r="T61" s="294">
        <v>0.03</v>
      </c>
      <c r="U61" s="294"/>
      <c r="V61" s="116">
        <f t="shared" si="23"/>
        <v>0</v>
      </c>
      <c r="W61" s="116">
        <f t="shared" si="23"/>
        <v>0</v>
      </c>
      <c r="X61" s="116">
        <f t="shared" si="23"/>
        <v>0</v>
      </c>
      <c r="Y61" s="116">
        <f t="shared" si="23"/>
        <v>0</v>
      </c>
      <c r="Z61" s="116">
        <f t="shared" si="23"/>
        <v>0</v>
      </c>
      <c r="AA61" s="116">
        <f t="shared" si="23"/>
        <v>0</v>
      </c>
      <c r="AB61" s="76"/>
    </row>
    <row r="62" spans="1:28" s="55" customFormat="1" ht="13">
      <c r="C62" s="163"/>
      <c r="D62" s="111"/>
      <c r="F62" s="104"/>
      <c r="G62" s="76"/>
      <c r="H62" s="104"/>
      <c r="I62" s="248"/>
      <c r="K62" s="115"/>
      <c r="L62" s="104"/>
      <c r="M62" s="164"/>
      <c r="N62" s="248"/>
      <c r="O62" s="104"/>
      <c r="P62" s="294"/>
      <c r="Q62" s="294"/>
      <c r="R62" s="294"/>
      <c r="S62" s="294"/>
      <c r="T62" s="294"/>
      <c r="U62" s="294"/>
      <c r="V62" s="116"/>
      <c r="W62" s="116"/>
      <c r="X62" s="116"/>
      <c r="Y62" s="116"/>
      <c r="Z62" s="116"/>
      <c r="AA62" s="116"/>
      <c r="AB62" s="76"/>
    </row>
    <row r="63" spans="1:28" ht="26">
      <c r="B63" s="36" t="s">
        <v>401</v>
      </c>
      <c r="C63" s="12" t="s">
        <v>142</v>
      </c>
      <c r="D63" s="111"/>
      <c r="G63" s="281"/>
      <c r="I63" s="247"/>
      <c r="K63" s="114"/>
      <c r="L63" s="3"/>
      <c r="M63" s="14"/>
      <c r="N63" s="248"/>
      <c r="O63" s="3"/>
      <c r="P63" s="295"/>
      <c r="Q63" s="295"/>
      <c r="R63" s="295"/>
      <c r="S63" s="295"/>
      <c r="T63" s="295"/>
      <c r="U63" s="295"/>
      <c r="V63" s="114">
        <f t="shared" ref="V63:AA63" si="24">SUM(V64:V65)</f>
        <v>0</v>
      </c>
      <c r="W63" s="114">
        <f t="shared" si="24"/>
        <v>0</v>
      </c>
      <c r="X63" s="114">
        <f t="shared" si="24"/>
        <v>0</v>
      </c>
      <c r="Y63" s="114">
        <f t="shared" si="24"/>
        <v>0</v>
      </c>
      <c r="Z63" s="114">
        <f t="shared" si="24"/>
        <v>0</v>
      </c>
      <c r="AA63" s="114">
        <f t="shared" si="24"/>
        <v>0</v>
      </c>
      <c r="AB63" s="76"/>
    </row>
    <row r="64" spans="1:28" ht="13">
      <c r="C64" s="12" t="s">
        <v>352</v>
      </c>
      <c r="D64" s="111"/>
      <c r="E64" s="18"/>
      <c r="F64" s="3" t="s">
        <v>339</v>
      </c>
      <c r="G64" s="281">
        <v>1</v>
      </c>
      <c r="I64" s="296">
        <f>'Этап 4-Пром. прим. Hg'!C17</f>
        <v>0</v>
      </c>
      <c r="J64" s="8" t="s">
        <v>391</v>
      </c>
      <c r="K64" s="115">
        <f>I64*G64</f>
        <v>0</v>
      </c>
      <c r="L64" s="3" t="s">
        <v>36</v>
      </c>
      <c r="M64" s="14" t="s">
        <v>99</v>
      </c>
      <c r="N64" s="248">
        <f>K64</f>
        <v>0</v>
      </c>
      <c r="O64" s="3" t="s">
        <v>36</v>
      </c>
      <c r="P64" s="294">
        <v>0.01</v>
      </c>
      <c r="Q64" s="294">
        <v>5.0000000000000001E-3</v>
      </c>
      <c r="R64" s="294">
        <v>0.1</v>
      </c>
      <c r="S64" s="294"/>
      <c r="T64" s="294">
        <v>0.1</v>
      </c>
      <c r="U64" s="294">
        <v>0.01</v>
      </c>
      <c r="V64" s="116">
        <f t="shared" ref="V64:AA65" si="25">$N64*P64</f>
        <v>0</v>
      </c>
      <c r="W64" s="116">
        <f t="shared" si="25"/>
        <v>0</v>
      </c>
      <c r="X64" s="116">
        <f t="shared" si="25"/>
        <v>0</v>
      </c>
      <c r="Y64" s="116">
        <f t="shared" si="25"/>
        <v>0</v>
      </c>
      <c r="Z64" s="116">
        <f t="shared" si="25"/>
        <v>0</v>
      </c>
      <c r="AA64" s="116">
        <f t="shared" si="25"/>
        <v>0</v>
      </c>
      <c r="AB64" s="76"/>
    </row>
    <row r="65" spans="3:28" ht="13">
      <c r="C65" s="67" t="s">
        <v>91</v>
      </c>
      <c r="D65" s="111"/>
      <c r="E65" s="18" t="s">
        <v>143</v>
      </c>
      <c r="F65" s="3" t="s">
        <v>339</v>
      </c>
      <c r="G65" s="76">
        <v>30</v>
      </c>
      <c r="H65" s="3" t="s">
        <v>339</v>
      </c>
      <c r="I65" s="248">
        <f>'Этап 6-Hg-продукция - вещ-ва'!C38</f>
        <v>0</v>
      </c>
      <c r="J65" t="s">
        <v>332</v>
      </c>
      <c r="K65" s="115">
        <f>G65*I65</f>
        <v>0</v>
      </c>
      <c r="L65" s="3" t="s">
        <v>36</v>
      </c>
      <c r="M65" s="16" t="s">
        <v>141</v>
      </c>
      <c r="N65" s="248">
        <f>K65</f>
        <v>0</v>
      </c>
      <c r="O65" s="17"/>
      <c r="P65" s="294"/>
      <c r="Q65" s="294">
        <v>0.95</v>
      </c>
      <c r="R65" s="294">
        <v>0.05</v>
      </c>
      <c r="S65" s="294"/>
      <c r="T65" s="294"/>
      <c r="U65" s="294"/>
      <c r="V65" s="116">
        <f t="shared" si="25"/>
        <v>0</v>
      </c>
      <c r="W65" s="116">
        <f t="shared" si="25"/>
        <v>0</v>
      </c>
      <c r="X65" s="116">
        <f t="shared" si="25"/>
        <v>0</v>
      </c>
      <c r="Y65" s="116">
        <f t="shared" si="25"/>
        <v>0</v>
      </c>
      <c r="Z65" s="116">
        <f t="shared" si="25"/>
        <v>0</v>
      </c>
      <c r="AA65" s="116">
        <f t="shared" si="25"/>
        <v>0</v>
      </c>
      <c r="AB65" s="76"/>
    </row>
    <row r="66" spans="3:28" s="55" customFormat="1" ht="13">
      <c r="C66" s="165"/>
      <c r="D66" s="111"/>
      <c r="F66" s="104"/>
      <c r="G66" s="76"/>
      <c r="H66" s="104"/>
      <c r="I66" s="248"/>
      <c r="K66" s="115"/>
      <c r="L66" s="104"/>
      <c r="M66" s="164"/>
      <c r="N66" s="247"/>
      <c r="O66" s="104"/>
      <c r="P66" s="282"/>
      <c r="Q66" s="282"/>
      <c r="R66" s="282"/>
      <c r="S66" s="282"/>
      <c r="T66" s="282"/>
      <c r="U66" s="282"/>
      <c r="V66" s="116"/>
      <c r="W66" s="116"/>
      <c r="X66" s="116"/>
      <c r="Y66" s="116"/>
      <c r="Z66" s="116"/>
      <c r="AA66" s="116"/>
      <c r="AB66" s="76"/>
    </row>
    <row r="67" spans="3:28" s="3" customFormat="1" ht="13">
      <c r="C67" s="40"/>
      <c r="D67" s="7"/>
      <c r="I67" s="249"/>
      <c r="K67" s="21"/>
      <c r="M67" s="59"/>
      <c r="N67" s="239"/>
      <c r="P67" s="60"/>
      <c r="Q67" s="60"/>
      <c r="R67" s="60"/>
      <c r="S67" s="60"/>
      <c r="T67" s="60"/>
      <c r="U67" s="60"/>
      <c r="V67" s="22"/>
      <c r="W67" s="22"/>
      <c r="X67" s="22"/>
      <c r="Y67" s="22"/>
      <c r="Z67" s="22"/>
      <c r="AA67" s="22"/>
    </row>
    <row r="68" spans="3:28" s="3" customFormat="1" ht="13">
      <c r="C68" s="7" t="s">
        <v>56</v>
      </c>
      <c r="D68" s="36" t="s">
        <v>351</v>
      </c>
      <c r="I68" s="249"/>
      <c r="K68" s="21"/>
      <c r="M68" s="59"/>
      <c r="N68" s="239"/>
      <c r="P68" s="60"/>
      <c r="Q68" s="60"/>
      <c r="R68" s="60"/>
      <c r="S68" s="60"/>
      <c r="T68" s="60"/>
      <c r="U68" s="60"/>
      <c r="V68" s="22"/>
      <c r="W68" s="22"/>
      <c r="X68" s="22"/>
      <c r="Y68" s="22"/>
      <c r="Z68" s="22"/>
      <c r="AA68" s="22"/>
    </row>
    <row r="69" spans="3:28" s="3" customFormat="1" ht="13">
      <c r="C69" s="40"/>
      <c r="D69" s="7"/>
      <c r="I69" s="249"/>
      <c r="K69" s="21"/>
      <c r="M69" s="59"/>
      <c r="N69" s="239"/>
      <c r="P69" s="60"/>
      <c r="Q69" s="60"/>
      <c r="R69" s="60"/>
      <c r="S69" s="60"/>
      <c r="T69" s="60"/>
      <c r="U69" s="60"/>
      <c r="V69" s="22"/>
      <c r="W69" s="22"/>
      <c r="X69" s="22"/>
      <c r="Y69" s="22"/>
      <c r="Z69" s="22"/>
      <c r="AA69" s="22"/>
    </row>
    <row r="70" spans="3:28" s="3" customFormat="1" ht="13">
      <c r="C70" s="40"/>
      <c r="D70" s="7"/>
      <c r="I70" s="249"/>
      <c r="K70" s="21"/>
      <c r="M70" s="59"/>
      <c r="N70" s="239"/>
      <c r="P70" s="60"/>
      <c r="Q70" s="60"/>
      <c r="R70" s="60"/>
      <c r="S70" s="60"/>
      <c r="T70" s="60"/>
      <c r="U70" s="60"/>
      <c r="V70" s="22"/>
      <c r="W70" s="22"/>
      <c r="X70" s="22"/>
      <c r="Y70" s="22"/>
      <c r="Z70" s="22"/>
      <c r="AA70" s="22"/>
    </row>
    <row r="71" spans="3:28" s="3" customFormat="1" ht="13">
      <c r="C71" s="40"/>
      <c r="D71" s="7"/>
      <c r="I71" s="249"/>
      <c r="K71" s="21"/>
      <c r="M71" s="59"/>
      <c r="N71" s="239"/>
      <c r="P71" s="60"/>
      <c r="Q71" s="60"/>
      <c r="R71" s="60"/>
      <c r="S71" s="60"/>
      <c r="T71" s="60"/>
      <c r="U71" s="60"/>
      <c r="V71" s="22"/>
      <c r="W71" s="22"/>
      <c r="X71" s="22"/>
      <c r="Y71" s="22"/>
      <c r="Z71" s="22"/>
      <c r="AA71" s="22"/>
    </row>
    <row r="72" spans="3:28" s="3" customFormat="1" ht="13">
      <c r="C72" s="40"/>
      <c r="D72" s="7"/>
      <c r="I72" s="249"/>
      <c r="K72" s="21"/>
      <c r="M72" s="59"/>
      <c r="N72" s="239"/>
      <c r="P72" s="60"/>
      <c r="Q72" s="60"/>
      <c r="R72" s="60"/>
      <c r="S72" s="60"/>
      <c r="T72" s="60"/>
      <c r="U72" s="60"/>
      <c r="V72" s="22"/>
      <c r="W72" s="22"/>
      <c r="X72" s="22"/>
      <c r="Y72" s="22"/>
      <c r="Z72" s="22"/>
      <c r="AA72" s="22"/>
    </row>
    <row r="73" spans="3:28" s="3" customFormat="1" ht="13">
      <c r="C73" s="40"/>
      <c r="D73" s="7"/>
      <c r="I73" s="249"/>
      <c r="K73" s="21"/>
      <c r="M73" s="59"/>
      <c r="N73" s="239"/>
      <c r="P73" s="60"/>
      <c r="Q73" s="60"/>
      <c r="R73" s="60"/>
      <c r="S73" s="60"/>
      <c r="T73" s="60"/>
      <c r="U73" s="60"/>
      <c r="V73" s="22"/>
      <c r="W73" s="22"/>
      <c r="X73" s="22"/>
      <c r="Y73" s="22"/>
      <c r="Z73" s="22"/>
      <c r="AA73" s="22"/>
    </row>
    <row r="74" spans="3:28" s="3" customFormat="1" ht="13">
      <c r="C74" s="36"/>
      <c r="E74" s="11"/>
      <c r="I74" s="249"/>
      <c r="K74" s="21"/>
      <c r="M74" s="62"/>
      <c r="N74" s="239"/>
      <c r="P74" s="60"/>
      <c r="Q74" s="60"/>
      <c r="R74" s="60"/>
      <c r="S74" s="60"/>
      <c r="T74" s="60"/>
      <c r="U74" s="60"/>
      <c r="V74" s="22"/>
      <c r="W74" s="22"/>
      <c r="X74" s="22"/>
      <c r="Y74" s="22"/>
      <c r="Z74" s="22"/>
      <c r="AA74" s="22"/>
    </row>
    <row r="75" spans="3:28" s="3" customFormat="1" ht="13">
      <c r="C75" s="36"/>
      <c r="E75" s="11"/>
      <c r="I75" s="249"/>
      <c r="K75" s="21"/>
      <c r="M75" s="62"/>
      <c r="N75" s="239"/>
      <c r="P75" s="60"/>
      <c r="Q75" s="60"/>
      <c r="R75" s="60"/>
      <c r="S75" s="60"/>
      <c r="T75" s="60"/>
      <c r="U75" s="60"/>
      <c r="V75" s="22"/>
      <c r="W75" s="22"/>
      <c r="X75" s="22"/>
      <c r="Y75" s="22"/>
      <c r="Z75" s="22"/>
      <c r="AA75" s="22"/>
    </row>
    <row r="76" spans="3:28" s="3" customFormat="1" ht="13">
      <c r="C76" s="36"/>
      <c r="E76" s="11"/>
      <c r="I76" s="249"/>
      <c r="K76" s="21"/>
      <c r="M76" s="62"/>
      <c r="N76" s="239"/>
      <c r="P76" s="60"/>
      <c r="Q76" s="60"/>
      <c r="R76" s="60"/>
      <c r="S76" s="60"/>
      <c r="T76" s="60"/>
      <c r="U76" s="60"/>
      <c r="V76" s="22"/>
      <c r="W76" s="22"/>
      <c r="X76" s="22"/>
      <c r="Y76" s="22"/>
      <c r="Z76" s="22"/>
      <c r="AA76" s="22"/>
    </row>
    <row r="77" spans="3:28" s="3" customFormat="1" ht="13">
      <c r="C77" s="36"/>
      <c r="E77" s="11"/>
      <c r="I77" s="249"/>
      <c r="K77" s="21"/>
      <c r="M77" s="63"/>
      <c r="N77" s="239"/>
      <c r="P77" s="23"/>
      <c r="Q77" s="23"/>
      <c r="R77" s="24"/>
      <c r="S77" s="24"/>
      <c r="T77" s="23"/>
      <c r="V77" s="22"/>
      <c r="W77" s="22"/>
      <c r="X77" s="22"/>
      <c r="Y77" s="22"/>
      <c r="Z77" s="22"/>
      <c r="AA77" s="22"/>
    </row>
    <row r="78" spans="3:28" s="3" customFormat="1">
      <c r="I78" s="239"/>
      <c r="M78" s="63"/>
      <c r="N78" s="239"/>
    </row>
    <row r="79" spans="3:28" s="3" customFormat="1">
      <c r="I79" s="239"/>
      <c r="M79" s="63"/>
      <c r="N79" s="239"/>
    </row>
    <row r="80" spans="3:28" s="3" customFormat="1" ht="13">
      <c r="C80" s="7"/>
      <c r="D80" s="7"/>
      <c r="I80" s="239"/>
      <c r="M80" s="64"/>
      <c r="N80" s="239"/>
      <c r="V80" s="25"/>
      <c r="W80" s="25"/>
      <c r="X80" s="25"/>
      <c r="Y80" s="25"/>
      <c r="Z80" s="25"/>
      <c r="AA80" s="25"/>
    </row>
    <row r="81" spans="3:27" s="3" customFormat="1" ht="13">
      <c r="C81" s="7"/>
      <c r="D81" s="7"/>
      <c r="I81" s="249"/>
      <c r="K81" s="21"/>
      <c r="M81" s="64"/>
      <c r="N81" s="249"/>
      <c r="P81" s="60"/>
      <c r="Q81" s="60"/>
      <c r="R81" s="60"/>
      <c r="S81" s="60"/>
      <c r="T81" s="60"/>
      <c r="U81" s="60"/>
      <c r="V81" s="22"/>
      <c r="W81" s="22"/>
      <c r="X81" s="22"/>
      <c r="Y81" s="22"/>
      <c r="Z81" s="22"/>
      <c r="AA81" s="22"/>
    </row>
  </sheetData>
  <sheetProtection algorithmName="SHA-512" hashValue="7+syrn7FmZE9Ga6xNACOsxUNoWBxSN4wNVzXBA7TofRKBpxvmolZQWFSqZNlUkoKp+Ty4TmshvU8lF+Q2qf1zw==" saltValue="OlTDwoXMr/M4V7MKtx0eIw=="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ignoredErrors>
    <ignoredError sqref="E28" twoDigitTextYear="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D101"/>
  <sheetViews>
    <sheetView zoomScale="70" zoomScaleNormal="70" workbookViewId="0">
      <selection activeCell="A26" sqref="A26"/>
    </sheetView>
  </sheetViews>
  <sheetFormatPr defaultColWidth="8.81640625" defaultRowHeight="12.5"/>
  <cols>
    <col min="1" max="1" width="3.453125" customWidth="1"/>
    <col min="2" max="2" width="5.1796875" customWidth="1"/>
    <col min="3" max="3" width="34" customWidth="1"/>
    <col min="4" max="4" width="8.453125" customWidth="1"/>
    <col min="5" max="5" width="10.36328125" customWidth="1"/>
    <col min="7" max="7" width="10.1796875" customWidth="1"/>
    <col min="8" max="8" width="11.453125" customWidth="1"/>
    <col min="9" max="9" width="16.81640625" style="240" customWidth="1"/>
    <col min="10" max="10" width="14.453125" customWidth="1"/>
    <col min="11" max="11" width="10.36328125" bestFit="1" customWidth="1"/>
    <col min="13" max="13" width="33.453125" style="13" customWidth="1"/>
    <col min="14" max="14" width="9.1796875" style="240"/>
    <col min="21" max="21" width="16.453125" customWidth="1"/>
    <col min="27" max="27" width="17" customWidth="1"/>
    <col min="28" max="28" width="63.453125" customWidth="1"/>
  </cols>
  <sheetData>
    <row r="1" spans="1:30" ht="18">
      <c r="A1" s="1" t="s">
        <v>740</v>
      </c>
      <c r="I1" s="231"/>
      <c r="N1" s="231"/>
      <c r="V1" s="22"/>
      <c r="W1" s="3"/>
      <c r="X1" s="3"/>
      <c r="Y1" s="3"/>
      <c r="Z1" s="3"/>
      <c r="AA1" s="3"/>
    </row>
    <row r="2" spans="1:30" ht="14">
      <c r="A2" s="54" t="s">
        <v>313</v>
      </c>
      <c r="I2" s="231"/>
      <c r="L2" s="55"/>
      <c r="M2" s="55"/>
      <c r="N2" s="231"/>
    </row>
    <row r="3" spans="1:30" s="180" customFormat="1" ht="13">
      <c r="D3" s="181"/>
      <c r="E3" s="181"/>
      <c r="F3" s="181"/>
      <c r="G3" s="181"/>
      <c r="H3" s="181"/>
      <c r="I3" s="258"/>
      <c r="J3" s="181"/>
      <c r="K3" s="181"/>
      <c r="L3" s="30"/>
      <c r="M3" s="30"/>
      <c r="N3" s="258"/>
      <c r="O3" s="181"/>
      <c r="P3" s="183" t="s">
        <v>55</v>
      </c>
      <c r="Q3" s="183"/>
      <c r="R3" s="183"/>
      <c r="S3" s="183"/>
      <c r="T3" s="183"/>
      <c r="U3" s="183"/>
      <c r="V3" s="184" t="s">
        <v>54</v>
      </c>
      <c r="W3" s="185"/>
      <c r="X3" s="185"/>
      <c r="Y3" s="185"/>
      <c r="Z3" s="185"/>
      <c r="AA3" s="185"/>
      <c r="AB3" s="183"/>
    </row>
    <row r="4" spans="1:30" s="186" customFormat="1" ht="39">
      <c r="A4" s="186" t="s">
        <v>52</v>
      </c>
      <c r="B4" s="186" t="s">
        <v>50</v>
      </c>
      <c r="C4" s="136" t="s">
        <v>59</v>
      </c>
      <c r="D4" s="112" t="s">
        <v>153</v>
      </c>
      <c r="E4" s="136" t="s">
        <v>49</v>
      </c>
      <c r="F4" s="139" t="s">
        <v>35</v>
      </c>
      <c r="G4" s="112" t="s">
        <v>37</v>
      </c>
      <c r="H4" s="139" t="s">
        <v>35</v>
      </c>
      <c r="I4" s="245" t="s">
        <v>51</v>
      </c>
      <c r="J4" s="186" t="s">
        <v>35</v>
      </c>
      <c r="K4" s="84" t="s">
        <v>61</v>
      </c>
      <c r="L4" s="139" t="s">
        <v>35</v>
      </c>
      <c r="M4" s="126" t="s">
        <v>57</v>
      </c>
      <c r="N4" s="245" t="s">
        <v>92</v>
      </c>
      <c r="O4" s="139" t="s">
        <v>35</v>
      </c>
      <c r="P4" s="111" t="s">
        <v>38</v>
      </c>
      <c r="Q4" s="111" t="s">
        <v>39</v>
      </c>
      <c r="R4" s="111" t="s">
        <v>40</v>
      </c>
      <c r="S4" s="111" t="s">
        <v>41</v>
      </c>
      <c r="T4" s="112" t="s">
        <v>42</v>
      </c>
      <c r="U4" s="112" t="s">
        <v>53</v>
      </c>
      <c r="V4" s="56" t="s">
        <v>38</v>
      </c>
      <c r="W4" s="56" t="s">
        <v>39</v>
      </c>
      <c r="X4" s="56" t="s">
        <v>40</v>
      </c>
      <c r="Y4" s="57" t="s">
        <v>41</v>
      </c>
      <c r="Z4" s="57" t="s">
        <v>42</v>
      </c>
      <c r="AA4" s="57" t="s">
        <v>228</v>
      </c>
      <c r="AB4" s="111" t="s">
        <v>87</v>
      </c>
    </row>
    <row r="5" spans="1:30" s="55" customFormat="1" ht="26">
      <c r="A5" s="55" t="s">
        <v>211</v>
      </c>
      <c r="C5" s="136" t="s">
        <v>214</v>
      </c>
      <c r="D5" s="120"/>
      <c r="F5" s="104"/>
      <c r="G5" s="119"/>
      <c r="H5" s="104"/>
      <c r="I5" s="246"/>
      <c r="K5" s="121"/>
      <c r="L5" s="104"/>
      <c r="M5" s="174"/>
      <c r="N5" s="246"/>
      <c r="O5" s="104"/>
      <c r="P5" s="119"/>
      <c r="Q5" s="119"/>
      <c r="R5" s="119"/>
      <c r="S5" s="119"/>
      <c r="T5" s="119"/>
      <c r="U5" s="119"/>
      <c r="V5" s="122"/>
      <c r="W5" s="122"/>
      <c r="X5" s="122"/>
      <c r="Y5" s="122"/>
      <c r="Z5" s="122"/>
      <c r="AA5" s="122"/>
      <c r="AB5" s="119"/>
    </row>
    <row r="6" spans="1:30" ht="13">
      <c r="B6" t="s">
        <v>212</v>
      </c>
      <c r="C6" s="12" t="s">
        <v>349</v>
      </c>
      <c r="D6" s="111"/>
      <c r="G6" s="76"/>
      <c r="I6" s="247"/>
      <c r="K6" s="114"/>
      <c r="L6" s="3"/>
      <c r="M6" s="14"/>
      <c r="N6" s="247"/>
      <c r="O6" s="3"/>
      <c r="P6" s="76"/>
      <c r="Q6" s="76"/>
      <c r="R6" s="76"/>
      <c r="S6" s="76"/>
      <c r="T6" s="76"/>
      <c r="U6" s="76"/>
      <c r="V6" s="114">
        <f t="shared" ref="V6:AA6" si="0">SUM(V7:V11)</f>
        <v>0</v>
      </c>
      <c r="W6" s="114">
        <f t="shared" si="0"/>
        <v>0</v>
      </c>
      <c r="X6" s="114">
        <f t="shared" si="0"/>
        <v>0</v>
      </c>
      <c r="Y6" s="114">
        <f t="shared" si="0"/>
        <v>0</v>
      </c>
      <c r="Z6" s="114">
        <f t="shared" si="0"/>
        <v>0</v>
      </c>
      <c r="AA6" s="114">
        <f t="shared" si="0"/>
        <v>0</v>
      </c>
      <c r="AB6" s="329"/>
    </row>
    <row r="7" spans="1:30" ht="39">
      <c r="C7" s="68" t="s">
        <v>216</v>
      </c>
      <c r="D7" s="111"/>
      <c r="E7" s="6" t="s">
        <v>215</v>
      </c>
      <c r="F7" s="3" t="s">
        <v>118</v>
      </c>
      <c r="G7" s="275">
        <v>0.2</v>
      </c>
      <c r="H7" s="3" t="s">
        <v>118</v>
      </c>
      <c r="I7" s="248">
        <f>'Этап 1 - Информация о стране'!B6</f>
        <v>0</v>
      </c>
      <c r="J7" s="3" t="s">
        <v>117</v>
      </c>
      <c r="K7" s="169">
        <f>(G7*I7/1000)*'Этап 6-Hg-продукция - вещ-ва'!C11/Countrydata!$D$57</f>
        <v>0</v>
      </c>
      <c r="L7" s="3" t="s">
        <v>36</v>
      </c>
      <c r="M7" s="39" t="s">
        <v>223</v>
      </c>
      <c r="N7" s="248">
        <f>K7</f>
        <v>0</v>
      </c>
      <c r="O7" s="3" t="s">
        <v>36</v>
      </c>
      <c r="P7" s="131">
        <v>0.02</v>
      </c>
      <c r="Q7" s="131">
        <v>0.14000000000000001</v>
      </c>
      <c r="R7" s="131"/>
      <c r="S7" s="131"/>
      <c r="T7" s="131">
        <v>0.12</v>
      </c>
      <c r="U7" s="131">
        <v>0.12</v>
      </c>
      <c r="V7" s="116">
        <f t="shared" ref="V7:AA8" si="1">$N7*P7</f>
        <v>0</v>
      </c>
      <c r="W7" s="116">
        <f t="shared" si="1"/>
        <v>0</v>
      </c>
      <c r="X7" s="116">
        <f t="shared" si="1"/>
        <v>0</v>
      </c>
      <c r="Y7" s="116">
        <f t="shared" si="1"/>
        <v>0</v>
      </c>
      <c r="Z7" s="116">
        <f t="shared" si="1"/>
        <v>0</v>
      </c>
      <c r="AA7" s="116">
        <f t="shared" si="1"/>
        <v>0</v>
      </c>
      <c r="AB7" s="329"/>
    </row>
    <row r="8" spans="1:30" ht="39">
      <c r="C8" s="68" t="s">
        <v>218</v>
      </c>
      <c r="D8" s="111"/>
      <c r="E8" s="6"/>
      <c r="F8" s="3"/>
      <c r="G8" s="76"/>
      <c r="H8" s="3"/>
      <c r="I8" s="248"/>
      <c r="J8" s="3"/>
      <c r="K8" s="168"/>
      <c r="L8" s="3"/>
      <c r="M8" s="39" t="s">
        <v>224</v>
      </c>
      <c r="N8" s="248">
        <f>K7</f>
        <v>0</v>
      </c>
      <c r="O8" s="3" t="s">
        <v>36</v>
      </c>
      <c r="P8" s="131"/>
      <c r="Q8" s="131">
        <v>0.02</v>
      </c>
      <c r="R8" s="131"/>
      <c r="S8" s="131"/>
      <c r="T8" s="131"/>
      <c r="U8" s="131"/>
      <c r="V8" s="116">
        <f t="shared" si="1"/>
        <v>0</v>
      </c>
      <c r="W8" s="116">
        <f t="shared" si="1"/>
        <v>0</v>
      </c>
      <c r="X8" s="116">
        <f t="shared" si="1"/>
        <v>0</v>
      </c>
      <c r="Y8" s="116">
        <f t="shared" si="1"/>
        <v>0</v>
      </c>
      <c r="Z8" s="116">
        <f t="shared" si="1"/>
        <v>0</v>
      </c>
      <c r="AA8" s="116">
        <f t="shared" si="1"/>
        <v>0</v>
      </c>
      <c r="AB8" s="329"/>
    </row>
    <row r="9" spans="1:30" ht="26">
      <c r="C9" s="68" t="s">
        <v>217</v>
      </c>
      <c r="D9" s="111"/>
      <c r="E9" s="6"/>
      <c r="F9" s="3"/>
      <c r="G9" s="76"/>
      <c r="H9" s="3"/>
      <c r="I9" s="248"/>
      <c r="J9" s="3"/>
      <c r="K9" s="168"/>
      <c r="L9" s="3"/>
      <c r="M9" s="39" t="s">
        <v>225</v>
      </c>
      <c r="N9" s="248"/>
      <c r="O9" s="3"/>
      <c r="P9" s="167"/>
      <c r="Q9" s="167"/>
      <c r="R9" s="167"/>
      <c r="S9" s="167"/>
      <c r="T9" s="167"/>
      <c r="U9" s="167"/>
      <c r="V9" s="116"/>
      <c r="W9" s="116"/>
      <c r="X9" s="116"/>
      <c r="Y9" s="116"/>
      <c r="Z9" s="116"/>
      <c r="AA9" s="116"/>
      <c r="AB9" s="329"/>
    </row>
    <row r="10" spans="1:30" ht="39">
      <c r="C10" s="12"/>
      <c r="D10" s="111"/>
      <c r="E10" s="6"/>
      <c r="F10" s="3"/>
      <c r="G10" s="76"/>
      <c r="H10" s="3"/>
      <c r="I10" s="248"/>
      <c r="J10" s="3"/>
      <c r="K10" s="168"/>
      <c r="L10" s="3"/>
      <c r="M10" s="38" t="s">
        <v>221</v>
      </c>
      <c r="N10" s="248">
        <f>K7*'Этап 6-Hg-продукция - вещ-ва'!H13/100</f>
        <v>0</v>
      </c>
      <c r="O10" s="3" t="s">
        <v>36</v>
      </c>
      <c r="P10" s="131"/>
      <c r="Q10" s="131">
        <v>0.02</v>
      </c>
      <c r="R10" s="131"/>
      <c r="S10" s="131">
        <v>0.06</v>
      </c>
      <c r="T10" s="131">
        <v>0.25</v>
      </c>
      <c r="U10" s="131">
        <v>0.25</v>
      </c>
      <c r="V10" s="116">
        <f t="shared" ref="V10:AA11" si="2">$N10*P10</f>
        <v>0</v>
      </c>
      <c r="W10" s="116">
        <f t="shared" si="2"/>
        <v>0</v>
      </c>
      <c r="X10" s="116">
        <f t="shared" si="2"/>
        <v>0</v>
      </c>
      <c r="Y10" s="116">
        <f t="shared" si="2"/>
        <v>0</v>
      </c>
      <c r="Z10" s="116">
        <f t="shared" si="2"/>
        <v>0</v>
      </c>
      <c r="AA10" s="116">
        <f t="shared" si="2"/>
        <v>0</v>
      </c>
      <c r="AB10" s="329"/>
    </row>
    <row r="11" spans="1:30" ht="26">
      <c r="C11" s="12"/>
      <c r="D11" s="111"/>
      <c r="E11" s="6"/>
      <c r="F11" s="3"/>
      <c r="G11" s="76"/>
      <c r="H11" s="3"/>
      <c r="I11" s="248"/>
      <c r="J11" s="3"/>
      <c r="K11" s="168"/>
      <c r="L11" s="3"/>
      <c r="M11" s="38" t="s">
        <v>222</v>
      </c>
      <c r="N11" s="248">
        <f>K7*'Этап 6-Hg-продукция - вещ-ва'!G13/100</f>
        <v>0</v>
      </c>
      <c r="O11" s="3" t="s">
        <v>36</v>
      </c>
      <c r="P11" s="131"/>
      <c r="Q11" s="131">
        <v>0.28000000000000003</v>
      </c>
      <c r="R11" s="131">
        <v>0.08</v>
      </c>
      <c r="S11" s="131">
        <v>0.06</v>
      </c>
      <c r="T11" s="131">
        <v>0.08</v>
      </c>
      <c r="U11" s="131">
        <v>0.08</v>
      </c>
      <c r="V11" s="116">
        <f t="shared" si="2"/>
        <v>0</v>
      </c>
      <c r="W11" s="116">
        <f t="shared" si="2"/>
        <v>0</v>
      </c>
      <c r="X11" s="116">
        <f t="shared" si="2"/>
        <v>0</v>
      </c>
      <c r="Y11" s="116">
        <f t="shared" si="2"/>
        <v>0</v>
      </c>
      <c r="Z11" s="116">
        <f t="shared" si="2"/>
        <v>0</v>
      </c>
      <c r="AA11" s="116">
        <f t="shared" si="2"/>
        <v>0</v>
      </c>
      <c r="AB11" s="329"/>
    </row>
    <row r="12" spans="1:30" s="55" customFormat="1" ht="13">
      <c r="C12" s="161"/>
      <c r="D12" s="76"/>
      <c r="E12" s="106"/>
      <c r="F12" s="104"/>
      <c r="G12" s="76"/>
      <c r="H12" s="104"/>
      <c r="I12" s="248"/>
      <c r="K12" s="115"/>
      <c r="L12" s="104"/>
      <c r="M12" s="162"/>
      <c r="N12" s="248"/>
      <c r="O12" s="104"/>
      <c r="P12" s="167"/>
      <c r="Q12" s="167"/>
      <c r="R12" s="167"/>
      <c r="S12" s="167"/>
      <c r="T12" s="167"/>
      <c r="U12" s="170"/>
      <c r="V12" s="116"/>
      <c r="W12" s="116"/>
      <c r="X12" s="116"/>
      <c r="Y12" s="116"/>
      <c r="Z12" s="116"/>
      <c r="AA12" s="116"/>
      <c r="AB12" s="76"/>
    </row>
    <row r="13" spans="1:30" ht="26">
      <c r="B13" s="3" t="s">
        <v>226</v>
      </c>
      <c r="C13" s="26" t="s">
        <v>227</v>
      </c>
      <c r="D13" s="111"/>
      <c r="E13" s="3"/>
      <c r="F13" s="3"/>
      <c r="G13" s="76"/>
      <c r="H13" s="3"/>
      <c r="I13" s="248"/>
      <c r="K13" s="114"/>
      <c r="L13" s="3"/>
      <c r="M13" s="33"/>
      <c r="N13" s="248"/>
      <c r="O13" s="3"/>
      <c r="P13" s="76"/>
      <c r="Q13" s="76"/>
      <c r="R13" s="76"/>
      <c r="S13" s="76"/>
      <c r="T13" s="76"/>
      <c r="U13" s="76"/>
      <c r="V13" s="114">
        <f t="shared" ref="V13:AA13" si="3">SUM(V14+V15+V24)</f>
        <v>0</v>
      </c>
      <c r="W13" s="114">
        <f t="shared" si="3"/>
        <v>0</v>
      </c>
      <c r="X13" s="114">
        <f t="shared" si="3"/>
        <v>0</v>
      </c>
      <c r="Y13" s="114">
        <f t="shared" si="3"/>
        <v>0</v>
      </c>
      <c r="Z13" s="114">
        <f t="shared" si="3"/>
        <v>0</v>
      </c>
      <c r="AA13" s="114">
        <f t="shared" si="3"/>
        <v>0</v>
      </c>
      <c r="AB13" s="76"/>
      <c r="AC13" s="25"/>
      <c r="AD13" s="3"/>
    </row>
    <row r="14" spans="1:30" ht="13">
      <c r="B14" s="3"/>
      <c r="C14" s="26" t="s">
        <v>389</v>
      </c>
      <c r="D14" s="111"/>
      <c r="E14" s="3"/>
      <c r="F14" s="3"/>
      <c r="G14" s="76">
        <v>1</v>
      </c>
      <c r="H14" s="36"/>
      <c r="I14" s="248">
        <f>'Этап 4-Пром. прим. Hg'!C14</f>
        <v>0</v>
      </c>
      <c r="J14" s="8" t="s">
        <v>391</v>
      </c>
      <c r="K14" s="168">
        <f>I14*G14</f>
        <v>0</v>
      </c>
      <c r="L14" s="3"/>
      <c r="M14" s="33"/>
      <c r="N14" s="248">
        <f>K14</f>
        <v>0</v>
      </c>
      <c r="O14" s="3" t="s">
        <v>36</v>
      </c>
      <c r="P14" s="294">
        <v>0.01</v>
      </c>
      <c r="Q14" s="294">
        <v>5.0000000000000001E-3</v>
      </c>
      <c r="R14" s="294">
        <v>0.1</v>
      </c>
      <c r="S14" s="294"/>
      <c r="T14" s="294">
        <v>0.1</v>
      </c>
      <c r="U14" s="294">
        <v>0.01</v>
      </c>
      <c r="V14" s="116">
        <f t="shared" ref="V14:AA14" si="4">$N14*P14</f>
        <v>0</v>
      </c>
      <c r="W14" s="116">
        <f t="shared" si="4"/>
        <v>0</v>
      </c>
      <c r="X14" s="116">
        <f t="shared" si="4"/>
        <v>0</v>
      </c>
      <c r="Y14" s="116">
        <f t="shared" si="4"/>
        <v>0</v>
      </c>
      <c r="Z14" s="116">
        <f t="shared" si="4"/>
        <v>0</v>
      </c>
      <c r="AA14" s="116">
        <f t="shared" si="4"/>
        <v>0</v>
      </c>
      <c r="AB14" s="76"/>
      <c r="AC14" s="25"/>
      <c r="AD14" s="3"/>
    </row>
    <row r="15" spans="1:30" ht="13">
      <c r="B15" s="3"/>
      <c r="C15" s="69" t="s">
        <v>252</v>
      </c>
      <c r="D15" s="111"/>
      <c r="E15" s="36" t="s">
        <v>397</v>
      </c>
      <c r="F15" s="3" t="s">
        <v>110</v>
      </c>
      <c r="G15" s="76">
        <v>80</v>
      </c>
      <c r="H15" s="3" t="s">
        <v>110</v>
      </c>
      <c r="I15" s="248">
        <f>'Этап 6-Hg-продукция - вещ-ва'!C40</f>
        <v>0</v>
      </c>
      <c r="J15" t="s">
        <v>272</v>
      </c>
      <c r="K15" s="115">
        <f>G15*I15/1000</f>
        <v>0</v>
      </c>
      <c r="L15" s="3" t="s">
        <v>36</v>
      </c>
      <c r="M15" s="16" t="s">
        <v>100</v>
      </c>
      <c r="N15" s="248"/>
      <c r="O15" s="3"/>
      <c r="P15" s="294"/>
      <c r="Q15" s="294"/>
      <c r="R15" s="294"/>
      <c r="S15" s="294"/>
      <c r="T15" s="294"/>
      <c r="U15" s="281"/>
      <c r="V15" s="307">
        <f t="shared" ref="V15:AA15" si="5">SUM(V16:V18)</f>
        <v>0</v>
      </c>
      <c r="W15" s="307">
        <f t="shared" si="5"/>
        <v>0</v>
      </c>
      <c r="X15" s="307">
        <f t="shared" si="5"/>
        <v>0</v>
      </c>
      <c r="Y15" s="307">
        <f t="shared" si="5"/>
        <v>0</v>
      </c>
      <c r="Z15" s="307">
        <f t="shared" si="5"/>
        <v>0</v>
      </c>
      <c r="AA15" s="307">
        <f t="shared" si="5"/>
        <v>0</v>
      </c>
      <c r="AB15" s="76"/>
      <c r="AC15" s="25"/>
      <c r="AD15" s="3"/>
    </row>
    <row r="16" spans="1:30" ht="26">
      <c r="B16" s="3"/>
      <c r="C16" s="69"/>
      <c r="D16" s="111"/>
      <c r="E16" s="3"/>
      <c r="F16" s="3"/>
      <c r="G16" s="76"/>
      <c r="H16" s="3"/>
      <c r="I16" s="248"/>
      <c r="K16" s="115"/>
      <c r="L16" s="3"/>
      <c r="M16" s="15" t="s">
        <v>97</v>
      </c>
      <c r="N16" s="319">
        <f>IF(AND('Этап5-Обраб. отходов+перераб.'!$B$4=yes,'Этап5-Обраб. отходов+перераб.'!$E$4=no),K15,0)</f>
        <v>0</v>
      </c>
      <c r="O16" s="3" t="s">
        <v>36</v>
      </c>
      <c r="P16" s="294">
        <v>0.1</v>
      </c>
      <c r="Q16" s="294">
        <v>0.3</v>
      </c>
      <c r="R16" s="294"/>
      <c r="S16" s="294"/>
      <c r="T16" s="294">
        <v>0.6</v>
      </c>
      <c r="U16" s="294"/>
      <c r="V16" s="116">
        <f t="shared" ref="V16:AA18" si="6">$N16*P16</f>
        <v>0</v>
      </c>
      <c r="W16" s="116">
        <f t="shared" si="6"/>
        <v>0</v>
      </c>
      <c r="X16" s="116">
        <f t="shared" si="6"/>
        <v>0</v>
      </c>
      <c r="Y16" s="116">
        <f t="shared" si="6"/>
        <v>0</v>
      </c>
      <c r="Z16" s="116">
        <f t="shared" si="6"/>
        <v>0</v>
      </c>
      <c r="AA16" s="116">
        <f t="shared" si="6"/>
        <v>0</v>
      </c>
      <c r="AB16" s="76"/>
      <c r="AC16" s="25"/>
      <c r="AD16" s="3"/>
    </row>
    <row r="17" spans="2:30" ht="26">
      <c r="B17" s="3"/>
      <c r="C17" s="69"/>
      <c r="D17" s="111"/>
      <c r="E17" s="3"/>
      <c r="F17" s="3"/>
      <c r="G17" s="76"/>
      <c r="H17" s="3"/>
      <c r="I17" s="248"/>
      <c r="K17" s="115"/>
      <c r="L17" s="3"/>
      <c r="M17" s="15" t="s">
        <v>112</v>
      </c>
      <c r="N17" s="319">
        <f>IF(AND('Этап5-Обраб. отходов+перераб.'!$B$4=no,OR('Этап5-Обраб. отходов+перераб.'!$E$4=no,'Этап5-Обраб. отходов+перераб.'!$E$4=yes,'Этап5-Обраб. отходов+перераб.'!$E$4="")),K15,0)</f>
        <v>0</v>
      </c>
      <c r="O17" s="3" t="s">
        <v>36</v>
      </c>
      <c r="P17" s="294">
        <v>0.2</v>
      </c>
      <c r="Q17" s="294">
        <v>0.3</v>
      </c>
      <c r="R17" s="294">
        <v>0.2</v>
      </c>
      <c r="S17" s="294"/>
      <c r="T17" s="294">
        <v>0.3</v>
      </c>
      <c r="U17" s="294"/>
      <c r="V17" s="116">
        <f t="shared" si="6"/>
        <v>0</v>
      </c>
      <c r="W17" s="116">
        <f t="shared" si="6"/>
        <v>0</v>
      </c>
      <c r="X17" s="116">
        <f t="shared" si="6"/>
        <v>0</v>
      </c>
      <c r="Y17" s="116">
        <f t="shared" si="6"/>
        <v>0</v>
      </c>
      <c r="Z17" s="116">
        <f t="shared" si="6"/>
        <v>0</v>
      </c>
      <c r="AA17" s="116">
        <f t="shared" si="6"/>
        <v>0</v>
      </c>
      <c r="AB17" s="76"/>
      <c r="AC17" s="25"/>
      <c r="AD17" s="3"/>
    </row>
    <row r="18" spans="2:30" ht="26">
      <c r="B18" s="3"/>
      <c r="C18" s="69"/>
      <c r="D18" s="111"/>
      <c r="E18" s="3"/>
      <c r="F18" s="3"/>
      <c r="G18" s="76"/>
      <c r="H18" s="3"/>
      <c r="I18" s="248"/>
      <c r="K18" s="115"/>
      <c r="L18" s="3"/>
      <c r="M18" s="15" t="s">
        <v>98</v>
      </c>
      <c r="N18" s="319">
        <f>IF(AND('Этап5-Обраб. отходов+перераб.'!$B$4=yes,'Этап5-Обраб. отходов+перераб.'!$E$4=yes),K15,0)</f>
        <v>0</v>
      </c>
      <c r="O18" s="3" t="s">
        <v>36</v>
      </c>
      <c r="P18" s="294">
        <v>0.1</v>
      </c>
      <c r="Q18" s="294">
        <v>0.3</v>
      </c>
      <c r="R18" s="294"/>
      <c r="S18" s="294"/>
      <c r="T18" s="294">
        <v>0.3</v>
      </c>
      <c r="U18" s="294">
        <v>0.3</v>
      </c>
      <c r="V18" s="116">
        <f t="shared" si="6"/>
        <v>0</v>
      </c>
      <c r="W18" s="116">
        <f t="shared" si="6"/>
        <v>0</v>
      </c>
      <c r="X18" s="116">
        <f t="shared" si="6"/>
        <v>0</v>
      </c>
      <c r="Y18" s="116">
        <f t="shared" si="6"/>
        <v>0</v>
      </c>
      <c r="Z18" s="116">
        <f t="shared" si="6"/>
        <v>0</v>
      </c>
      <c r="AA18" s="116">
        <f t="shared" si="6"/>
        <v>0</v>
      </c>
      <c r="AB18" s="76"/>
      <c r="AC18" s="25"/>
      <c r="AD18" s="3"/>
    </row>
    <row r="19" spans="2:30" ht="13">
      <c r="B19" s="3"/>
      <c r="C19" s="69"/>
      <c r="D19" s="111"/>
      <c r="E19" s="3"/>
      <c r="F19" s="3"/>
      <c r="G19" s="76"/>
      <c r="H19" s="3"/>
      <c r="I19" s="248"/>
      <c r="K19" s="115"/>
      <c r="L19" s="3"/>
      <c r="M19" s="33"/>
      <c r="N19" s="248"/>
      <c r="O19" s="3"/>
      <c r="P19" s="294"/>
      <c r="Q19" s="294"/>
      <c r="R19" s="294"/>
      <c r="S19" s="294"/>
      <c r="T19" s="294"/>
      <c r="U19" s="281"/>
      <c r="V19" s="307"/>
      <c r="W19" s="307"/>
      <c r="X19" s="307"/>
      <c r="Y19" s="307"/>
      <c r="Z19" s="307"/>
      <c r="AA19" s="307"/>
      <c r="AB19" s="76"/>
      <c r="AC19" s="25"/>
      <c r="AD19" s="3"/>
    </row>
    <row r="20" spans="2:30" ht="13">
      <c r="B20" s="3"/>
      <c r="C20" s="69"/>
      <c r="D20" s="111"/>
      <c r="E20" s="3"/>
      <c r="F20" s="3"/>
      <c r="G20" s="76"/>
      <c r="H20" s="3"/>
      <c r="I20" s="248"/>
      <c r="K20" s="115"/>
      <c r="L20" s="3"/>
      <c r="M20" s="33"/>
      <c r="N20" s="248"/>
      <c r="O20" s="3"/>
      <c r="P20" s="294"/>
      <c r="Q20" s="294"/>
      <c r="R20" s="294"/>
      <c r="S20" s="294"/>
      <c r="T20" s="294"/>
      <c r="U20" s="281"/>
      <c r="V20" s="307"/>
      <c r="W20" s="307"/>
      <c r="X20" s="307"/>
      <c r="Y20" s="307"/>
      <c r="Z20" s="307"/>
      <c r="AA20" s="307"/>
      <c r="AB20" s="76"/>
      <c r="AC20" s="25"/>
      <c r="AD20" s="3"/>
    </row>
    <row r="21" spans="2:30" ht="13">
      <c r="B21" s="3"/>
      <c r="C21" s="69"/>
      <c r="D21" s="111"/>
      <c r="E21" s="3"/>
      <c r="F21" s="3"/>
      <c r="G21" s="76"/>
      <c r="H21" s="3"/>
      <c r="I21" s="248"/>
      <c r="K21" s="115"/>
      <c r="L21" s="3"/>
      <c r="M21" s="33"/>
      <c r="N21" s="248"/>
      <c r="O21" s="3"/>
      <c r="P21" s="294"/>
      <c r="Q21" s="294"/>
      <c r="R21" s="294"/>
      <c r="S21" s="294"/>
      <c r="T21" s="294"/>
      <c r="U21" s="281"/>
      <c r="V21" s="307"/>
      <c r="W21" s="307"/>
      <c r="X21" s="307"/>
      <c r="Y21" s="307"/>
      <c r="Z21" s="307"/>
      <c r="AA21" s="307"/>
      <c r="AB21" s="76"/>
      <c r="AC21" s="25"/>
      <c r="AD21" s="3"/>
    </row>
    <row r="22" spans="2:30" ht="13">
      <c r="B22" s="3"/>
      <c r="C22" s="69"/>
      <c r="D22" s="111"/>
      <c r="E22" s="3"/>
      <c r="F22" s="3"/>
      <c r="G22" s="76"/>
      <c r="H22" s="3"/>
      <c r="I22" s="248"/>
      <c r="K22" s="115"/>
      <c r="L22" s="3"/>
      <c r="M22" s="33"/>
      <c r="N22" s="248"/>
      <c r="O22" s="3"/>
      <c r="P22" s="294"/>
      <c r="Q22" s="294"/>
      <c r="R22" s="294"/>
      <c r="S22" s="294"/>
      <c r="T22" s="294"/>
      <c r="U22" s="281"/>
      <c r="V22" s="307"/>
      <c r="W22" s="307"/>
      <c r="X22" s="307"/>
      <c r="Y22" s="307"/>
      <c r="Z22" s="307"/>
      <c r="AA22" s="307"/>
      <c r="AB22" s="76"/>
      <c r="AC22" s="25"/>
      <c r="AD22" s="3"/>
    </row>
    <row r="23" spans="2:30" ht="13">
      <c r="B23" s="3"/>
      <c r="C23" s="69"/>
      <c r="D23" s="111"/>
      <c r="E23" s="3"/>
      <c r="F23" s="3"/>
      <c r="G23" s="76"/>
      <c r="H23" s="3"/>
      <c r="I23" s="248"/>
      <c r="K23" s="115"/>
      <c r="L23" s="3"/>
      <c r="M23" s="33"/>
      <c r="N23" s="248"/>
      <c r="O23" s="3"/>
      <c r="P23" s="294"/>
      <c r="Q23" s="294"/>
      <c r="R23" s="294"/>
      <c r="S23" s="294"/>
      <c r="T23" s="294"/>
      <c r="U23" s="281"/>
      <c r="V23" s="307"/>
      <c r="W23" s="307"/>
      <c r="X23" s="307"/>
      <c r="Y23" s="307"/>
      <c r="Z23" s="307"/>
      <c r="AA23" s="307"/>
      <c r="AB23" s="76"/>
      <c r="AC23" s="25"/>
      <c r="AD23" s="3"/>
    </row>
    <row r="24" spans="2:30" ht="26">
      <c r="B24" s="3"/>
      <c r="C24" s="309" t="s">
        <v>429</v>
      </c>
      <c r="D24" s="310"/>
      <c r="E24" s="311" t="s">
        <v>428</v>
      </c>
      <c r="F24" s="311" t="s">
        <v>110</v>
      </c>
      <c r="G24" s="312">
        <v>5.0000000000000001E-3</v>
      </c>
      <c r="H24" s="311" t="s">
        <v>400</v>
      </c>
      <c r="I24" s="313">
        <f>'Этап 6-Hg-продукция - вещ-ва'!C42</f>
        <v>0</v>
      </c>
      <c r="J24" s="311" t="s">
        <v>117</v>
      </c>
      <c r="K24" s="501">
        <f>(I24*G24/1000)*'Этап 6-Hg-продукция - вещ-ва'!$C$43/100</f>
        <v>0</v>
      </c>
      <c r="L24" s="311" t="s">
        <v>36</v>
      </c>
      <c r="M24" s="16" t="s">
        <v>100</v>
      </c>
      <c r="N24" s="248"/>
      <c r="O24" s="3"/>
      <c r="P24" s="294"/>
      <c r="Q24" s="294"/>
      <c r="R24" s="294"/>
      <c r="S24" s="294"/>
      <c r="T24" s="294"/>
      <c r="U24" s="281"/>
      <c r="V24" s="307">
        <f t="shared" ref="V24:AA24" si="7">SUM(V25:V27)</f>
        <v>0</v>
      </c>
      <c r="W24" s="307">
        <f t="shared" si="7"/>
        <v>0</v>
      </c>
      <c r="X24" s="307">
        <f t="shared" si="7"/>
        <v>0</v>
      </c>
      <c r="Y24" s="307">
        <f t="shared" si="7"/>
        <v>0</v>
      </c>
      <c r="Z24" s="307">
        <f t="shared" si="7"/>
        <v>0</v>
      </c>
      <c r="AA24" s="307">
        <f t="shared" si="7"/>
        <v>0</v>
      </c>
      <c r="AB24" s="76"/>
      <c r="AC24" s="25"/>
      <c r="AD24" s="3"/>
    </row>
    <row r="25" spans="2:30" ht="26">
      <c r="B25" s="3"/>
      <c r="C25" s="69" t="s">
        <v>253</v>
      </c>
      <c r="D25" s="111"/>
      <c r="E25" s="3" t="s">
        <v>43</v>
      </c>
      <c r="F25" s="3" t="s">
        <v>110</v>
      </c>
      <c r="G25" s="76" t="s">
        <v>43</v>
      </c>
      <c r="H25" s="3" t="s">
        <v>110</v>
      </c>
      <c r="I25" s="248"/>
      <c r="J25" t="s">
        <v>272</v>
      </c>
      <c r="K25" s="115" t="e">
        <f t="shared" ref="K25:K32" si="8">G25*I25/1000</f>
        <v>#VALUE!</v>
      </c>
      <c r="L25" s="3" t="s">
        <v>36</v>
      </c>
      <c r="M25" s="15" t="s">
        <v>97</v>
      </c>
      <c r="N25" s="319">
        <f>IF(AND('Этап5-Обраб. отходов+перераб.'!$B$4=yes,'Этап5-Обраб. отходов+перераб.'!$E$4=no),K24,0)</f>
        <v>0</v>
      </c>
      <c r="O25" s="3" t="s">
        <v>36</v>
      </c>
      <c r="P25" s="294">
        <v>0.1</v>
      </c>
      <c r="Q25" s="294">
        <v>0.3</v>
      </c>
      <c r="R25" s="294"/>
      <c r="S25" s="294"/>
      <c r="T25" s="294">
        <v>0.6</v>
      </c>
      <c r="U25" s="294"/>
      <c r="V25" s="116">
        <f t="shared" ref="V25:V32" si="9">$N25*P25</f>
        <v>0</v>
      </c>
      <c r="W25" s="116">
        <f t="shared" ref="W25:W32" si="10">$N25*Q25</f>
        <v>0</v>
      </c>
      <c r="X25" s="116">
        <f t="shared" ref="X25:X32" si="11">$N25*R25</f>
        <v>0</v>
      </c>
      <c r="Y25" s="116">
        <f t="shared" ref="Y25:Y32" si="12">$N25*S25</f>
        <v>0</v>
      </c>
      <c r="Z25" s="116">
        <f t="shared" ref="Z25:Z32" si="13">$N25*T25</f>
        <v>0</v>
      </c>
      <c r="AA25" s="116">
        <f t="shared" ref="AA25:AA32" si="14">$N25*U25</f>
        <v>0</v>
      </c>
      <c r="AB25" s="76"/>
      <c r="AC25" s="25"/>
      <c r="AD25" s="3"/>
    </row>
    <row r="26" spans="2:30" ht="26">
      <c r="B26" s="3"/>
      <c r="C26" s="69" t="s">
        <v>254</v>
      </c>
      <c r="D26" s="111"/>
      <c r="E26" s="3" t="s">
        <v>43</v>
      </c>
      <c r="F26" s="3" t="s">
        <v>110</v>
      </c>
      <c r="G26" s="76" t="s">
        <v>43</v>
      </c>
      <c r="H26" s="3" t="s">
        <v>110</v>
      </c>
      <c r="I26" s="248"/>
      <c r="J26" t="s">
        <v>272</v>
      </c>
      <c r="K26" s="115" t="e">
        <f t="shared" si="8"/>
        <v>#VALUE!</v>
      </c>
      <c r="L26" s="3" t="s">
        <v>36</v>
      </c>
      <c r="M26" s="15" t="s">
        <v>112</v>
      </c>
      <c r="N26" s="319">
        <f>IF(AND('Этап5-Обраб. отходов+перераб.'!$B$4=no,OR('Этап5-Обраб. отходов+перераб.'!$E$4=no,'Этап5-Обраб. отходов+перераб.'!$E$4=yes,'Этап5-Обраб. отходов+перераб.'!$E$4="")),K24,0)</f>
        <v>0</v>
      </c>
      <c r="O26" s="3" t="s">
        <v>36</v>
      </c>
      <c r="P26" s="294">
        <v>0.2</v>
      </c>
      <c r="Q26" s="294">
        <v>0.3</v>
      </c>
      <c r="R26" s="294">
        <v>0.2</v>
      </c>
      <c r="S26" s="294"/>
      <c r="T26" s="294">
        <v>0.3</v>
      </c>
      <c r="U26" s="294"/>
      <c r="V26" s="116">
        <f t="shared" si="9"/>
        <v>0</v>
      </c>
      <c r="W26" s="116">
        <f t="shared" si="10"/>
        <v>0</v>
      </c>
      <c r="X26" s="116">
        <f t="shared" si="11"/>
        <v>0</v>
      </c>
      <c r="Y26" s="116">
        <f t="shared" si="12"/>
        <v>0</v>
      </c>
      <c r="Z26" s="116">
        <f t="shared" si="13"/>
        <v>0</v>
      </c>
      <c r="AA26" s="116">
        <f t="shared" si="14"/>
        <v>0</v>
      </c>
      <c r="AB26" s="76"/>
      <c r="AC26" s="25"/>
      <c r="AD26" s="3"/>
    </row>
    <row r="27" spans="2:30" ht="26">
      <c r="B27" s="3"/>
      <c r="C27" s="69" t="s">
        <v>255</v>
      </c>
      <c r="D27" s="111"/>
      <c r="E27" s="3" t="s">
        <v>43</v>
      </c>
      <c r="F27" s="3" t="s">
        <v>110</v>
      </c>
      <c r="G27" s="76" t="s">
        <v>43</v>
      </c>
      <c r="H27" s="3" t="s">
        <v>110</v>
      </c>
      <c r="I27" s="248"/>
      <c r="J27" t="s">
        <v>272</v>
      </c>
      <c r="K27" s="115" t="e">
        <f t="shared" si="8"/>
        <v>#VALUE!</v>
      </c>
      <c r="L27" s="3" t="s">
        <v>36</v>
      </c>
      <c r="M27" s="15" t="s">
        <v>98</v>
      </c>
      <c r="N27" s="319">
        <f>IF(AND('Этап5-Обраб. отходов+перераб.'!$B$4=yes,'Этап5-Обраб. отходов+перераб.'!$E$4=yes),K24,0)</f>
        <v>0</v>
      </c>
      <c r="O27" s="3" t="s">
        <v>36</v>
      </c>
      <c r="P27" s="294">
        <v>0.1</v>
      </c>
      <c r="Q27" s="294">
        <v>0.3</v>
      </c>
      <c r="R27" s="294"/>
      <c r="S27" s="294"/>
      <c r="T27" s="294">
        <v>0.3</v>
      </c>
      <c r="U27" s="294">
        <v>0.3</v>
      </c>
      <c r="V27" s="116">
        <f t="shared" si="9"/>
        <v>0</v>
      </c>
      <c r="W27" s="116">
        <f t="shared" si="10"/>
        <v>0</v>
      </c>
      <c r="X27" s="116">
        <f t="shared" si="11"/>
        <v>0</v>
      </c>
      <c r="Y27" s="116">
        <f t="shared" si="12"/>
        <v>0</v>
      </c>
      <c r="Z27" s="116">
        <f t="shared" si="13"/>
        <v>0</v>
      </c>
      <c r="AA27" s="116">
        <f t="shared" si="14"/>
        <v>0</v>
      </c>
      <c r="AB27" s="76"/>
      <c r="AC27" s="25"/>
      <c r="AD27" s="3"/>
    </row>
    <row r="28" spans="2:30" ht="26">
      <c r="B28" s="3"/>
      <c r="C28" s="69" t="s">
        <v>256</v>
      </c>
      <c r="D28" s="111"/>
      <c r="E28" s="3" t="s">
        <v>43</v>
      </c>
      <c r="F28" s="3" t="s">
        <v>110</v>
      </c>
      <c r="G28" s="76" t="s">
        <v>43</v>
      </c>
      <c r="H28" s="3" t="s">
        <v>110</v>
      </c>
      <c r="I28" s="248"/>
      <c r="J28" t="s">
        <v>272</v>
      </c>
      <c r="K28" s="115" t="e">
        <f t="shared" si="8"/>
        <v>#VALUE!</v>
      </c>
      <c r="L28" s="3" t="s">
        <v>36</v>
      </c>
      <c r="M28" s="33"/>
      <c r="N28" s="248"/>
      <c r="O28" s="3" t="s">
        <v>36</v>
      </c>
      <c r="P28" s="76"/>
      <c r="Q28" s="76"/>
      <c r="R28" s="76"/>
      <c r="S28" s="179"/>
      <c r="T28" s="76"/>
      <c r="U28" s="76"/>
      <c r="V28" s="116">
        <f t="shared" si="9"/>
        <v>0</v>
      </c>
      <c r="W28" s="116">
        <f t="shared" si="10"/>
        <v>0</v>
      </c>
      <c r="X28" s="116">
        <f t="shared" si="11"/>
        <v>0</v>
      </c>
      <c r="Y28" s="116">
        <f t="shared" si="12"/>
        <v>0</v>
      </c>
      <c r="Z28" s="116">
        <f t="shared" si="13"/>
        <v>0</v>
      </c>
      <c r="AA28" s="116">
        <f t="shared" si="14"/>
        <v>0</v>
      </c>
      <c r="AB28" s="76"/>
      <c r="AC28" s="25"/>
      <c r="AD28" s="3"/>
    </row>
    <row r="29" spans="2:30" ht="13">
      <c r="B29" s="3"/>
      <c r="C29" s="69" t="s">
        <v>257</v>
      </c>
      <c r="D29" s="111"/>
      <c r="E29" s="3" t="s">
        <v>43</v>
      </c>
      <c r="F29" s="3" t="s">
        <v>110</v>
      </c>
      <c r="G29" s="76" t="s">
        <v>43</v>
      </c>
      <c r="H29" s="3" t="s">
        <v>110</v>
      </c>
      <c r="I29" s="248"/>
      <c r="J29" t="s">
        <v>272</v>
      </c>
      <c r="K29" s="115" t="e">
        <f t="shared" si="8"/>
        <v>#VALUE!</v>
      </c>
      <c r="L29" s="3" t="s">
        <v>36</v>
      </c>
      <c r="M29" s="33"/>
      <c r="N29" s="248"/>
      <c r="O29" s="3" t="s">
        <v>36</v>
      </c>
      <c r="P29" s="76"/>
      <c r="Q29" s="76"/>
      <c r="R29" s="76"/>
      <c r="S29" s="179"/>
      <c r="T29" s="76"/>
      <c r="U29" s="76"/>
      <c r="V29" s="116">
        <f t="shared" si="9"/>
        <v>0</v>
      </c>
      <c r="W29" s="116">
        <f t="shared" si="10"/>
        <v>0</v>
      </c>
      <c r="X29" s="116">
        <f t="shared" si="11"/>
        <v>0</v>
      </c>
      <c r="Y29" s="116">
        <f t="shared" si="12"/>
        <v>0</v>
      </c>
      <c r="Z29" s="116">
        <f t="shared" si="13"/>
        <v>0</v>
      </c>
      <c r="AA29" s="116">
        <f t="shared" si="14"/>
        <v>0</v>
      </c>
      <c r="AB29" s="76"/>
      <c r="AC29" s="25"/>
      <c r="AD29" s="3"/>
    </row>
    <row r="30" spans="2:30" ht="13">
      <c r="B30" s="3"/>
      <c r="C30" s="69" t="s">
        <v>258</v>
      </c>
      <c r="D30" s="111"/>
      <c r="E30" s="3" t="s">
        <v>43</v>
      </c>
      <c r="F30" s="3" t="s">
        <v>110</v>
      </c>
      <c r="G30" s="76" t="s">
        <v>43</v>
      </c>
      <c r="H30" s="3" t="s">
        <v>110</v>
      </c>
      <c r="I30" s="248"/>
      <c r="J30" t="s">
        <v>272</v>
      </c>
      <c r="K30" s="115" t="e">
        <f t="shared" si="8"/>
        <v>#VALUE!</v>
      </c>
      <c r="L30" s="3" t="s">
        <v>36</v>
      </c>
      <c r="M30" s="33"/>
      <c r="N30" s="248"/>
      <c r="O30" s="3" t="s">
        <v>36</v>
      </c>
      <c r="P30" s="76"/>
      <c r="Q30" s="76"/>
      <c r="R30" s="76"/>
      <c r="S30" s="179"/>
      <c r="T30" s="76"/>
      <c r="U30" s="76"/>
      <c r="V30" s="116">
        <f t="shared" si="9"/>
        <v>0</v>
      </c>
      <c r="W30" s="116">
        <f t="shared" si="10"/>
        <v>0</v>
      </c>
      <c r="X30" s="116">
        <f t="shared" si="11"/>
        <v>0</v>
      </c>
      <c r="Y30" s="116">
        <f t="shared" si="12"/>
        <v>0</v>
      </c>
      <c r="Z30" s="116">
        <f t="shared" si="13"/>
        <v>0</v>
      </c>
      <c r="AA30" s="116">
        <f t="shared" si="14"/>
        <v>0</v>
      </c>
      <c r="AB30" s="76"/>
      <c r="AC30" s="25"/>
      <c r="AD30" s="3"/>
    </row>
    <row r="31" spans="2:30" ht="13">
      <c r="B31" s="3"/>
      <c r="C31" s="69" t="s">
        <v>259</v>
      </c>
      <c r="D31" s="111"/>
      <c r="E31" s="3" t="s">
        <v>43</v>
      </c>
      <c r="F31" s="3" t="s">
        <v>110</v>
      </c>
      <c r="G31" s="76" t="s">
        <v>43</v>
      </c>
      <c r="H31" s="3" t="s">
        <v>110</v>
      </c>
      <c r="I31" s="248"/>
      <c r="J31" t="s">
        <v>272</v>
      </c>
      <c r="K31" s="115" t="e">
        <f t="shared" si="8"/>
        <v>#VALUE!</v>
      </c>
      <c r="L31" s="3" t="s">
        <v>36</v>
      </c>
      <c r="M31" s="33"/>
      <c r="N31" s="248"/>
      <c r="O31" s="3" t="s">
        <v>36</v>
      </c>
      <c r="P31" s="76"/>
      <c r="Q31" s="76"/>
      <c r="R31" s="76"/>
      <c r="S31" s="179"/>
      <c r="T31" s="76"/>
      <c r="U31" s="76"/>
      <c r="V31" s="116">
        <f t="shared" si="9"/>
        <v>0</v>
      </c>
      <c r="W31" s="116">
        <f t="shared" si="10"/>
        <v>0</v>
      </c>
      <c r="X31" s="116">
        <f t="shared" si="11"/>
        <v>0</v>
      </c>
      <c r="Y31" s="116">
        <f t="shared" si="12"/>
        <v>0</v>
      </c>
      <c r="Z31" s="116">
        <f t="shared" si="13"/>
        <v>0</v>
      </c>
      <c r="AA31" s="116">
        <f t="shared" si="14"/>
        <v>0</v>
      </c>
      <c r="AB31" s="76"/>
      <c r="AC31" s="25"/>
      <c r="AD31" s="3"/>
    </row>
    <row r="32" spans="2:30" ht="13">
      <c r="B32" s="3"/>
      <c r="C32" s="69" t="s">
        <v>260</v>
      </c>
      <c r="D32" s="111"/>
      <c r="E32" s="3" t="s">
        <v>43</v>
      </c>
      <c r="F32" s="3" t="s">
        <v>110</v>
      </c>
      <c r="G32" s="76" t="s">
        <v>43</v>
      </c>
      <c r="H32" s="3" t="s">
        <v>110</v>
      </c>
      <c r="I32" s="248"/>
      <c r="J32" t="s">
        <v>272</v>
      </c>
      <c r="K32" s="115" t="e">
        <f t="shared" si="8"/>
        <v>#VALUE!</v>
      </c>
      <c r="L32" s="3" t="s">
        <v>36</v>
      </c>
      <c r="M32" s="33"/>
      <c r="N32" s="248"/>
      <c r="O32" s="3" t="s">
        <v>36</v>
      </c>
      <c r="P32" s="76"/>
      <c r="Q32" s="76"/>
      <c r="R32" s="76"/>
      <c r="S32" s="179"/>
      <c r="T32" s="76"/>
      <c r="U32" s="76"/>
      <c r="V32" s="116">
        <f t="shared" si="9"/>
        <v>0</v>
      </c>
      <c r="W32" s="116">
        <f t="shared" si="10"/>
        <v>0</v>
      </c>
      <c r="X32" s="116">
        <f t="shared" si="11"/>
        <v>0</v>
      </c>
      <c r="Y32" s="116">
        <f t="shared" si="12"/>
        <v>0</v>
      </c>
      <c r="Z32" s="116">
        <f t="shared" si="13"/>
        <v>0</v>
      </c>
      <c r="AA32" s="116">
        <f t="shared" si="14"/>
        <v>0</v>
      </c>
      <c r="AB32" s="76"/>
      <c r="AC32" s="25"/>
      <c r="AD32" s="3"/>
    </row>
    <row r="33" spans="1:30" ht="13">
      <c r="B33" s="3"/>
      <c r="C33" s="26"/>
      <c r="D33" s="111"/>
      <c r="E33" s="3"/>
      <c r="F33" s="3"/>
      <c r="G33" s="76"/>
      <c r="H33" s="3"/>
      <c r="I33" s="248"/>
      <c r="K33" s="115"/>
      <c r="L33" s="3"/>
      <c r="M33" s="33"/>
      <c r="N33" s="248"/>
      <c r="O33" s="3"/>
      <c r="P33" s="76"/>
      <c r="Q33" s="76"/>
      <c r="R33" s="76"/>
      <c r="S33" s="76"/>
      <c r="T33" s="76"/>
      <c r="U33" s="76"/>
      <c r="V33" s="114"/>
      <c r="W33" s="114"/>
      <c r="X33" s="114"/>
      <c r="Y33" s="114"/>
      <c r="Z33" s="114"/>
      <c r="AA33" s="114"/>
      <c r="AB33" s="76"/>
      <c r="AC33" s="25"/>
      <c r="AD33" s="3"/>
    </row>
    <row r="34" spans="1:30" s="55" customFormat="1" ht="13">
      <c r="B34" s="104"/>
      <c r="C34" s="137"/>
      <c r="D34" s="111"/>
      <c r="E34" s="104"/>
      <c r="G34" s="76"/>
      <c r="I34" s="247"/>
      <c r="K34" s="58"/>
      <c r="L34" s="104"/>
      <c r="M34" s="174"/>
      <c r="N34" s="248"/>
      <c r="O34" s="104"/>
      <c r="P34" s="170"/>
      <c r="Q34" s="170"/>
      <c r="R34" s="170"/>
      <c r="S34" s="170"/>
      <c r="T34" s="170"/>
      <c r="U34" s="170"/>
      <c r="V34" s="114"/>
      <c r="W34" s="114"/>
      <c r="X34" s="114"/>
      <c r="Y34" s="114"/>
      <c r="Z34" s="114"/>
      <c r="AA34" s="114"/>
      <c r="AB34" s="76"/>
    </row>
    <row r="35" spans="1:30" ht="26">
      <c r="B35" s="3" t="s">
        <v>230</v>
      </c>
      <c r="C35" s="26" t="s">
        <v>229</v>
      </c>
      <c r="D35" s="111"/>
      <c r="E35" s="3"/>
      <c r="F35" s="3"/>
      <c r="G35" s="76"/>
      <c r="H35" s="3"/>
      <c r="I35" s="248"/>
      <c r="K35" s="114"/>
      <c r="L35" s="3"/>
      <c r="M35" s="33"/>
      <c r="N35" s="248"/>
      <c r="O35" s="3"/>
      <c r="P35" s="76"/>
      <c r="Q35" s="76"/>
      <c r="R35" s="76"/>
      <c r="S35" s="76"/>
      <c r="T35" s="76"/>
      <c r="U35" s="76"/>
      <c r="V35" s="114">
        <f t="shared" ref="V35:AA35" si="15">SUM(V39:V49)</f>
        <v>0</v>
      </c>
      <c r="W35" s="114">
        <f t="shared" si="15"/>
        <v>0</v>
      </c>
      <c r="X35" s="114">
        <f t="shared" si="15"/>
        <v>0</v>
      </c>
      <c r="Y35" s="114">
        <f>SUM(Y39:Y49)</f>
        <v>0</v>
      </c>
      <c r="Z35" s="114">
        <f t="shared" si="15"/>
        <v>0</v>
      </c>
      <c r="AA35" s="114">
        <f t="shared" si="15"/>
        <v>0</v>
      </c>
      <c r="AB35" s="76"/>
      <c r="AC35" s="25"/>
      <c r="AD35" s="3"/>
    </row>
    <row r="36" spans="1:30" ht="13">
      <c r="B36" s="3"/>
      <c r="C36" s="26"/>
      <c r="D36" s="111"/>
      <c r="E36" s="3"/>
      <c r="F36" s="3"/>
      <c r="G36" s="76"/>
      <c r="H36" s="3"/>
      <c r="I36" s="248"/>
      <c r="K36" s="114"/>
      <c r="L36" s="3"/>
      <c r="M36" s="33"/>
      <c r="N36" s="248"/>
      <c r="O36" s="3"/>
      <c r="P36" s="76"/>
      <c r="Q36" s="76"/>
      <c r="R36" s="76"/>
      <c r="S36" s="76"/>
      <c r="T36" s="76"/>
      <c r="U36" s="76"/>
      <c r="V36" s="114"/>
      <c r="W36" s="114"/>
      <c r="X36" s="114"/>
      <c r="Y36" s="114"/>
      <c r="Z36" s="114"/>
      <c r="AA36" s="114"/>
      <c r="AB36" s="76"/>
      <c r="AC36" s="25"/>
      <c r="AD36" s="3"/>
    </row>
    <row r="37" spans="1:30" ht="26">
      <c r="A37" s="314"/>
      <c r="B37" s="315"/>
      <c r="C37" s="316" t="s">
        <v>399</v>
      </c>
      <c r="D37" s="317"/>
      <c r="E37" s="315"/>
      <c r="F37" s="315"/>
      <c r="G37" s="318">
        <v>0.01</v>
      </c>
      <c r="H37" s="315"/>
      <c r="I37" s="319">
        <f>'Этап 6-Hg-продукция - вещ-ва'!C42</f>
        <v>0</v>
      </c>
      <c r="J37" s="3" t="s">
        <v>117</v>
      </c>
      <c r="K37" s="338">
        <f>(I37*G37/1000)*'Этап 6-Hg-продукция - вещ-ва'!$C$46/100</f>
        <v>0</v>
      </c>
      <c r="L37" s="315"/>
      <c r="M37" s="320"/>
      <c r="N37" s="319">
        <f>K37</f>
        <v>0</v>
      </c>
      <c r="O37" s="315" t="s">
        <v>36</v>
      </c>
      <c r="P37" s="76"/>
      <c r="Q37" s="76">
        <v>0.33</v>
      </c>
      <c r="R37" s="76"/>
      <c r="S37" s="76"/>
      <c r="T37" s="76">
        <v>0.33</v>
      </c>
      <c r="U37" s="76">
        <v>0.34</v>
      </c>
      <c r="V37" s="307">
        <f t="shared" ref="V37:AA39" si="16">$N37*P37</f>
        <v>0</v>
      </c>
      <c r="W37" s="307">
        <f t="shared" si="16"/>
        <v>0</v>
      </c>
      <c r="X37" s="307">
        <f t="shared" si="16"/>
        <v>0</v>
      </c>
      <c r="Y37" s="307">
        <f t="shared" si="16"/>
        <v>0</v>
      </c>
      <c r="Z37" s="307">
        <f t="shared" si="16"/>
        <v>0</v>
      </c>
      <c r="AA37" s="307">
        <f t="shared" si="16"/>
        <v>0</v>
      </c>
      <c r="AB37" s="76"/>
      <c r="AC37" s="25"/>
      <c r="AD37" s="3"/>
    </row>
    <row r="38" spans="1:30" ht="26">
      <c r="A38" s="314"/>
      <c r="B38" s="315"/>
      <c r="C38" s="316" t="s">
        <v>398</v>
      </c>
      <c r="D38" s="317"/>
      <c r="E38" s="315"/>
      <c r="F38" s="315"/>
      <c r="G38" s="318">
        <v>0.04</v>
      </c>
      <c r="H38" s="315"/>
      <c r="I38" s="319">
        <f>'Этап 6-Hg-продукция - вещ-ва'!C42</f>
        <v>0</v>
      </c>
      <c r="J38" s="3" t="s">
        <v>117</v>
      </c>
      <c r="K38" s="338">
        <f>(I38*G38/1000)*'Этап 6-Hg-продукция - вещ-ва'!$C$49/100</f>
        <v>0</v>
      </c>
      <c r="L38" s="315"/>
      <c r="M38" s="320"/>
      <c r="N38" s="319">
        <f>K38</f>
        <v>0</v>
      </c>
      <c r="O38" s="315" t="s">
        <v>36</v>
      </c>
      <c r="P38" s="76"/>
      <c r="Q38" s="76">
        <v>0.33</v>
      </c>
      <c r="R38" s="76"/>
      <c r="S38" s="76"/>
      <c r="T38" s="76">
        <v>0.33</v>
      </c>
      <c r="U38" s="76">
        <v>0.34</v>
      </c>
      <c r="V38" s="307">
        <f t="shared" si="16"/>
        <v>0</v>
      </c>
      <c r="W38" s="307">
        <f t="shared" si="16"/>
        <v>0</v>
      </c>
      <c r="X38" s="307">
        <f t="shared" si="16"/>
        <v>0</v>
      </c>
      <c r="Y38" s="307">
        <f t="shared" si="16"/>
        <v>0</v>
      </c>
      <c r="Z38" s="307">
        <f t="shared" si="16"/>
        <v>0</v>
      </c>
      <c r="AA38" s="307">
        <f t="shared" si="16"/>
        <v>0</v>
      </c>
      <c r="AB38" s="76"/>
      <c r="AC38" s="25"/>
      <c r="AD38" s="3"/>
    </row>
    <row r="39" spans="1:30" ht="13">
      <c r="C39" s="68" t="s">
        <v>261</v>
      </c>
      <c r="D39" s="111"/>
      <c r="E39" s="3" t="s">
        <v>43</v>
      </c>
      <c r="F39" s="3" t="s">
        <v>110</v>
      </c>
      <c r="G39" s="76" t="s">
        <v>43</v>
      </c>
      <c r="H39" s="3" t="s">
        <v>110</v>
      </c>
      <c r="I39" s="248"/>
      <c r="J39" t="s">
        <v>272</v>
      </c>
      <c r="K39" s="115" t="e">
        <f>G39*I39/1000</f>
        <v>#VALUE!</v>
      </c>
      <c r="L39" s="3" t="s">
        <v>36</v>
      </c>
      <c r="M39" s="33"/>
      <c r="N39" s="248"/>
      <c r="O39" s="3" t="s">
        <v>36</v>
      </c>
      <c r="P39" s="76"/>
      <c r="Q39" s="76"/>
      <c r="R39" s="76"/>
      <c r="S39" s="179"/>
      <c r="T39" s="76"/>
      <c r="U39" s="76"/>
      <c r="V39" s="116">
        <f t="shared" si="16"/>
        <v>0</v>
      </c>
      <c r="W39" s="116">
        <f t="shared" si="16"/>
        <v>0</v>
      </c>
      <c r="X39" s="116">
        <f t="shared" si="16"/>
        <v>0</v>
      </c>
      <c r="Y39" s="116">
        <f t="shared" si="16"/>
        <v>0</v>
      </c>
      <c r="Z39" s="116">
        <f t="shared" si="16"/>
        <v>0</v>
      </c>
      <c r="AA39" s="116">
        <f t="shared" si="16"/>
        <v>0</v>
      </c>
      <c r="AB39" s="76"/>
    </row>
    <row r="40" spans="1:30" ht="13">
      <c r="C40" s="68" t="s">
        <v>262</v>
      </c>
      <c r="D40" s="76"/>
      <c r="E40" s="3" t="s">
        <v>43</v>
      </c>
      <c r="F40" s="3" t="s">
        <v>110</v>
      </c>
      <c r="G40" s="76" t="s">
        <v>43</v>
      </c>
      <c r="H40" s="3" t="s">
        <v>110</v>
      </c>
      <c r="I40" s="248"/>
      <c r="J40" t="s">
        <v>272</v>
      </c>
      <c r="K40" s="115" t="e">
        <f t="shared" ref="K40:K49" si="17">G40*I40/1000</f>
        <v>#VALUE!</v>
      </c>
      <c r="L40" s="3" t="s">
        <v>36</v>
      </c>
      <c r="M40" s="33"/>
      <c r="N40" s="248"/>
      <c r="O40" s="3" t="s">
        <v>36</v>
      </c>
      <c r="P40" s="76"/>
      <c r="Q40" s="76"/>
      <c r="R40" s="76"/>
      <c r="S40" s="179"/>
      <c r="T40" s="76"/>
      <c r="U40" s="76"/>
      <c r="V40" s="116">
        <f t="shared" ref="V40:V49" si="18">$N40*P40</f>
        <v>0</v>
      </c>
      <c r="W40" s="116">
        <f t="shared" ref="W40:W49" si="19">$N40*Q40</f>
        <v>0</v>
      </c>
      <c r="X40" s="116">
        <f t="shared" ref="X40:X49" si="20">$N40*R40</f>
        <v>0</v>
      </c>
      <c r="Y40" s="116">
        <f t="shared" ref="Y40:Y49" si="21">$N40*S40</f>
        <v>0</v>
      </c>
      <c r="Z40" s="116">
        <f t="shared" ref="Z40:Z49" si="22">$N40*T40</f>
        <v>0</v>
      </c>
      <c r="AA40" s="116">
        <f t="shared" ref="AA40:AA49" si="23">$N40*U40</f>
        <v>0</v>
      </c>
      <c r="AB40" s="76"/>
    </row>
    <row r="41" spans="1:30" ht="13">
      <c r="C41" s="68" t="s">
        <v>263</v>
      </c>
      <c r="D41" s="76"/>
      <c r="E41" s="3" t="s">
        <v>43</v>
      </c>
      <c r="F41" s="3" t="s">
        <v>110</v>
      </c>
      <c r="G41" s="76" t="s">
        <v>43</v>
      </c>
      <c r="H41" s="3" t="s">
        <v>110</v>
      </c>
      <c r="I41" s="248"/>
      <c r="J41" t="s">
        <v>272</v>
      </c>
      <c r="K41" s="115" t="e">
        <f t="shared" si="17"/>
        <v>#VALUE!</v>
      </c>
      <c r="L41" s="3" t="s">
        <v>36</v>
      </c>
      <c r="M41" s="33"/>
      <c r="N41" s="248"/>
      <c r="O41" s="3" t="s">
        <v>36</v>
      </c>
      <c r="P41" s="76"/>
      <c r="Q41" s="76"/>
      <c r="R41" s="76"/>
      <c r="S41" s="179"/>
      <c r="T41" s="76"/>
      <c r="U41" s="76"/>
      <c r="V41" s="116">
        <f t="shared" si="18"/>
        <v>0</v>
      </c>
      <c r="W41" s="116">
        <f t="shared" si="19"/>
        <v>0</v>
      </c>
      <c r="X41" s="116">
        <f t="shared" si="20"/>
        <v>0</v>
      </c>
      <c r="Y41" s="116">
        <f t="shared" si="21"/>
        <v>0</v>
      </c>
      <c r="Z41" s="116">
        <f t="shared" si="22"/>
        <v>0</v>
      </c>
      <c r="AA41" s="116">
        <f t="shared" si="23"/>
        <v>0</v>
      </c>
      <c r="AB41" s="76"/>
    </row>
    <row r="42" spans="1:30" ht="13">
      <c r="C42" s="68" t="s">
        <v>264</v>
      </c>
      <c r="D42" s="76"/>
      <c r="E42" s="3" t="s">
        <v>43</v>
      </c>
      <c r="F42" s="3" t="s">
        <v>110</v>
      </c>
      <c r="G42" s="76" t="s">
        <v>43</v>
      </c>
      <c r="H42" s="3" t="s">
        <v>110</v>
      </c>
      <c r="I42" s="248"/>
      <c r="J42" t="s">
        <v>272</v>
      </c>
      <c r="K42" s="115" t="e">
        <f t="shared" si="17"/>
        <v>#VALUE!</v>
      </c>
      <c r="L42" s="3" t="s">
        <v>36</v>
      </c>
      <c r="M42" s="33"/>
      <c r="N42" s="248"/>
      <c r="O42" s="3" t="s">
        <v>36</v>
      </c>
      <c r="P42" s="76"/>
      <c r="Q42" s="76"/>
      <c r="R42" s="76"/>
      <c r="S42" s="179"/>
      <c r="T42" s="76"/>
      <c r="U42" s="76"/>
      <c r="V42" s="116">
        <f t="shared" si="18"/>
        <v>0</v>
      </c>
      <c r="W42" s="116">
        <f t="shared" si="19"/>
        <v>0</v>
      </c>
      <c r="X42" s="116">
        <f t="shared" si="20"/>
        <v>0</v>
      </c>
      <c r="Y42" s="116">
        <f t="shared" si="21"/>
        <v>0</v>
      </c>
      <c r="Z42" s="116">
        <f t="shared" si="22"/>
        <v>0</v>
      </c>
      <c r="AA42" s="116">
        <f t="shared" si="23"/>
        <v>0</v>
      </c>
      <c r="AB42" s="76"/>
    </row>
    <row r="43" spans="1:30" ht="13">
      <c r="C43" s="68" t="s">
        <v>265</v>
      </c>
      <c r="D43" s="76"/>
      <c r="E43" s="3" t="s">
        <v>43</v>
      </c>
      <c r="F43" s="3" t="s">
        <v>110</v>
      </c>
      <c r="G43" s="76" t="s">
        <v>43</v>
      </c>
      <c r="H43" s="3" t="s">
        <v>110</v>
      </c>
      <c r="I43" s="248"/>
      <c r="J43" t="s">
        <v>272</v>
      </c>
      <c r="K43" s="115" t="e">
        <f t="shared" si="17"/>
        <v>#VALUE!</v>
      </c>
      <c r="L43" s="3" t="s">
        <v>36</v>
      </c>
      <c r="M43" s="33"/>
      <c r="N43" s="248"/>
      <c r="O43" s="3" t="s">
        <v>36</v>
      </c>
      <c r="P43" s="76"/>
      <c r="Q43" s="76"/>
      <c r="R43" s="76"/>
      <c r="S43" s="179"/>
      <c r="T43" s="76"/>
      <c r="U43" s="76"/>
      <c r="V43" s="116">
        <f t="shared" si="18"/>
        <v>0</v>
      </c>
      <c r="W43" s="116">
        <f t="shared" si="19"/>
        <v>0</v>
      </c>
      <c r="X43" s="116">
        <f t="shared" si="20"/>
        <v>0</v>
      </c>
      <c r="Y43" s="116">
        <f t="shared" si="21"/>
        <v>0</v>
      </c>
      <c r="Z43" s="116">
        <f t="shared" si="22"/>
        <v>0</v>
      </c>
      <c r="AA43" s="116">
        <f t="shared" si="23"/>
        <v>0</v>
      </c>
      <c r="AB43" s="76"/>
    </row>
    <row r="44" spans="1:30" ht="13">
      <c r="C44" s="68" t="s">
        <v>266</v>
      </c>
      <c r="D44" s="76"/>
      <c r="E44" s="3" t="s">
        <v>43</v>
      </c>
      <c r="F44" s="3" t="s">
        <v>110</v>
      </c>
      <c r="G44" s="76" t="s">
        <v>43</v>
      </c>
      <c r="H44" s="3" t="s">
        <v>110</v>
      </c>
      <c r="I44" s="248"/>
      <c r="J44" t="s">
        <v>272</v>
      </c>
      <c r="K44" s="115" t="e">
        <f t="shared" si="17"/>
        <v>#VALUE!</v>
      </c>
      <c r="L44" s="3" t="s">
        <v>36</v>
      </c>
      <c r="M44" s="33"/>
      <c r="N44" s="248"/>
      <c r="O44" s="3" t="s">
        <v>36</v>
      </c>
      <c r="P44" s="76"/>
      <c r="Q44" s="76"/>
      <c r="R44" s="76"/>
      <c r="S44" s="179"/>
      <c r="T44" s="76"/>
      <c r="U44" s="76"/>
      <c r="V44" s="116">
        <f t="shared" si="18"/>
        <v>0</v>
      </c>
      <c r="W44" s="116">
        <f t="shared" si="19"/>
        <v>0</v>
      </c>
      <c r="X44" s="116">
        <f t="shared" si="20"/>
        <v>0</v>
      </c>
      <c r="Y44" s="116">
        <f t="shared" si="21"/>
        <v>0</v>
      </c>
      <c r="Z44" s="116">
        <f t="shared" si="22"/>
        <v>0</v>
      </c>
      <c r="AA44" s="116">
        <f t="shared" si="23"/>
        <v>0</v>
      </c>
      <c r="AB44" s="76"/>
    </row>
    <row r="45" spans="1:30" ht="13">
      <c r="C45" s="68" t="s">
        <v>267</v>
      </c>
      <c r="D45" s="111"/>
      <c r="E45" s="3" t="s">
        <v>43</v>
      </c>
      <c r="F45" s="3" t="s">
        <v>110</v>
      </c>
      <c r="G45" s="76" t="s">
        <v>43</v>
      </c>
      <c r="H45" s="3" t="s">
        <v>110</v>
      </c>
      <c r="I45" s="248"/>
      <c r="J45" t="s">
        <v>272</v>
      </c>
      <c r="K45" s="115" t="e">
        <f t="shared" si="17"/>
        <v>#VALUE!</v>
      </c>
      <c r="L45" s="3" t="s">
        <v>36</v>
      </c>
      <c r="M45" s="33"/>
      <c r="N45" s="248"/>
      <c r="O45" s="3" t="s">
        <v>36</v>
      </c>
      <c r="P45" s="76"/>
      <c r="Q45" s="76"/>
      <c r="R45" s="76"/>
      <c r="S45" s="179"/>
      <c r="T45" s="76"/>
      <c r="U45" s="76"/>
      <c r="V45" s="116">
        <f t="shared" si="18"/>
        <v>0</v>
      </c>
      <c r="W45" s="116">
        <f t="shared" si="19"/>
        <v>0</v>
      </c>
      <c r="X45" s="116">
        <f t="shared" si="20"/>
        <v>0</v>
      </c>
      <c r="Y45" s="116">
        <f t="shared" si="21"/>
        <v>0</v>
      </c>
      <c r="Z45" s="116">
        <f t="shared" si="22"/>
        <v>0</v>
      </c>
      <c r="AA45" s="116">
        <f t="shared" si="23"/>
        <v>0</v>
      </c>
      <c r="AB45" s="76"/>
    </row>
    <row r="46" spans="1:30" ht="13">
      <c r="C46" s="68" t="s">
        <v>268</v>
      </c>
      <c r="D46" s="111"/>
      <c r="E46" s="3" t="s">
        <v>43</v>
      </c>
      <c r="F46" s="3" t="s">
        <v>110</v>
      </c>
      <c r="G46" s="76" t="s">
        <v>43</v>
      </c>
      <c r="H46" s="3" t="s">
        <v>110</v>
      </c>
      <c r="I46" s="248"/>
      <c r="J46" t="s">
        <v>272</v>
      </c>
      <c r="K46" s="115" t="e">
        <f t="shared" si="17"/>
        <v>#VALUE!</v>
      </c>
      <c r="L46" s="3" t="s">
        <v>36</v>
      </c>
      <c r="M46" s="33"/>
      <c r="N46" s="248"/>
      <c r="O46" s="3" t="s">
        <v>36</v>
      </c>
      <c r="P46" s="76"/>
      <c r="Q46" s="76"/>
      <c r="R46" s="76"/>
      <c r="S46" s="179"/>
      <c r="T46" s="76"/>
      <c r="U46" s="76"/>
      <c r="V46" s="116">
        <f t="shared" si="18"/>
        <v>0</v>
      </c>
      <c r="W46" s="116">
        <f t="shared" si="19"/>
        <v>0</v>
      </c>
      <c r="X46" s="116">
        <f t="shared" si="20"/>
        <v>0</v>
      </c>
      <c r="Y46" s="116">
        <f t="shared" si="21"/>
        <v>0</v>
      </c>
      <c r="Z46" s="116">
        <f t="shared" si="22"/>
        <v>0</v>
      </c>
      <c r="AA46" s="116">
        <f t="shared" si="23"/>
        <v>0</v>
      </c>
      <c r="AB46" s="76"/>
    </row>
    <row r="47" spans="1:30" ht="13">
      <c r="C47" s="68" t="s">
        <v>269</v>
      </c>
      <c r="D47" s="76"/>
      <c r="E47" s="3" t="s">
        <v>43</v>
      </c>
      <c r="F47" s="3" t="s">
        <v>110</v>
      </c>
      <c r="G47" s="76" t="s">
        <v>43</v>
      </c>
      <c r="H47" s="3" t="s">
        <v>110</v>
      </c>
      <c r="I47" s="248"/>
      <c r="J47" t="s">
        <v>272</v>
      </c>
      <c r="K47" s="115" t="e">
        <f t="shared" si="17"/>
        <v>#VALUE!</v>
      </c>
      <c r="L47" s="3" t="s">
        <v>36</v>
      </c>
      <c r="M47" s="33"/>
      <c r="N47" s="248"/>
      <c r="O47" s="3" t="s">
        <v>36</v>
      </c>
      <c r="P47" s="76"/>
      <c r="Q47" s="76"/>
      <c r="R47" s="76"/>
      <c r="S47" s="179"/>
      <c r="T47" s="76"/>
      <c r="U47" s="76"/>
      <c r="V47" s="116">
        <f t="shared" si="18"/>
        <v>0</v>
      </c>
      <c r="W47" s="116">
        <f t="shared" si="19"/>
        <v>0</v>
      </c>
      <c r="X47" s="116">
        <f t="shared" si="20"/>
        <v>0</v>
      </c>
      <c r="Y47" s="116">
        <f t="shared" si="21"/>
        <v>0</v>
      </c>
      <c r="Z47" s="116">
        <f t="shared" si="22"/>
        <v>0</v>
      </c>
      <c r="AA47" s="116">
        <f t="shared" si="23"/>
        <v>0</v>
      </c>
      <c r="AB47" s="76"/>
    </row>
    <row r="48" spans="1:30" ht="26">
      <c r="C48" s="68" t="s">
        <v>270</v>
      </c>
      <c r="D48" s="76"/>
      <c r="E48" s="3" t="s">
        <v>43</v>
      </c>
      <c r="F48" s="3" t="s">
        <v>110</v>
      </c>
      <c r="G48" s="76" t="s">
        <v>43</v>
      </c>
      <c r="H48" s="3" t="s">
        <v>110</v>
      </c>
      <c r="I48" s="248"/>
      <c r="J48" t="s">
        <v>272</v>
      </c>
      <c r="K48" s="115" t="e">
        <f t="shared" si="17"/>
        <v>#VALUE!</v>
      </c>
      <c r="L48" s="3" t="s">
        <v>36</v>
      </c>
      <c r="M48" s="33"/>
      <c r="N48" s="248"/>
      <c r="O48" s="3" t="s">
        <v>36</v>
      </c>
      <c r="P48" s="76"/>
      <c r="Q48" s="76"/>
      <c r="R48" s="76"/>
      <c r="S48" s="179"/>
      <c r="T48" s="76"/>
      <c r="U48" s="76"/>
      <c r="V48" s="116">
        <f t="shared" si="18"/>
        <v>0</v>
      </c>
      <c r="W48" s="116">
        <f t="shared" si="19"/>
        <v>0</v>
      </c>
      <c r="X48" s="116">
        <f t="shared" si="20"/>
        <v>0</v>
      </c>
      <c r="Y48" s="116">
        <f t="shared" si="21"/>
        <v>0</v>
      </c>
      <c r="Z48" s="116">
        <f t="shared" si="22"/>
        <v>0</v>
      </c>
      <c r="AA48" s="116">
        <f t="shared" si="23"/>
        <v>0</v>
      </c>
      <c r="AB48" s="76"/>
    </row>
    <row r="49" spans="2:30" ht="26">
      <c r="C49" s="68" t="s">
        <v>271</v>
      </c>
      <c r="D49" s="76"/>
      <c r="E49" s="3" t="s">
        <v>43</v>
      </c>
      <c r="F49" s="3" t="s">
        <v>110</v>
      </c>
      <c r="G49" s="76" t="s">
        <v>43</v>
      </c>
      <c r="H49" s="3" t="s">
        <v>110</v>
      </c>
      <c r="I49" s="248"/>
      <c r="J49" t="s">
        <v>272</v>
      </c>
      <c r="K49" s="115" t="e">
        <f t="shared" si="17"/>
        <v>#VALUE!</v>
      </c>
      <c r="L49" s="3" t="s">
        <v>36</v>
      </c>
      <c r="M49" s="33"/>
      <c r="N49" s="248"/>
      <c r="O49" s="3" t="s">
        <v>36</v>
      </c>
      <c r="P49" s="76"/>
      <c r="Q49" s="76"/>
      <c r="R49" s="76"/>
      <c r="S49" s="179"/>
      <c r="T49" s="76"/>
      <c r="U49" s="76"/>
      <c r="V49" s="116">
        <f t="shared" si="18"/>
        <v>0</v>
      </c>
      <c r="W49" s="116">
        <f t="shared" si="19"/>
        <v>0</v>
      </c>
      <c r="X49" s="116">
        <f t="shared" si="20"/>
        <v>0</v>
      </c>
      <c r="Y49" s="116">
        <f t="shared" si="21"/>
        <v>0</v>
      </c>
      <c r="Z49" s="116">
        <f t="shared" si="22"/>
        <v>0</v>
      </c>
      <c r="AA49" s="116">
        <f t="shared" si="23"/>
        <v>0</v>
      </c>
      <c r="AB49" s="76"/>
    </row>
    <row r="50" spans="2:30" s="55" customFormat="1" ht="13">
      <c r="B50" s="104"/>
      <c r="C50" s="175"/>
      <c r="D50" s="111"/>
      <c r="E50" s="104"/>
      <c r="F50" s="104"/>
      <c r="G50" s="76"/>
      <c r="H50" s="104"/>
      <c r="I50" s="248"/>
      <c r="J50" s="104"/>
      <c r="K50" s="168"/>
      <c r="L50" s="104"/>
      <c r="M50" s="164"/>
      <c r="N50" s="248"/>
      <c r="O50" s="104"/>
      <c r="P50" s="167"/>
      <c r="Q50" s="167"/>
      <c r="R50" s="167"/>
      <c r="S50" s="167"/>
      <c r="T50" s="167"/>
      <c r="U50" s="170"/>
      <c r="V50" s="116"/>
      <c r="W50" s="116"/>
      <c r="X50" s="116"/>
      <c r="Y50" s="116"/>
      <c r="Z50" s="116"/>
      <c r="AA50" s="116"/>
      <c r="AB50" s="76"/>
    </row>
    <row r="51" spans="2:30" ht="29">
      <c r="B51" s="3" t="s">
        <v>233</v>
      </c>
      <c r="C51" s="71" t="s">
        <v>231</v>
      </c>
      <c r="D51" s="111"/>
      <c r="E51" s="3" t="s">
        <v>43</v>
      </c>
      <c r="F51" s="3" t="s">
        <v>43</v>
      </c>
      <c r="G51" s="76" t="s">
        <v>43</v>
      </c>
      <c r="H51" s="3" t="s">
        <v>43</v>
      </c>
      <c r="I51" s="248"/>
      <c r="J51" t="s">
        <v>43</v>
      </c>
      <c r="K51" s="169" t="s">
        <v>43</v>
      </c>
      <c r="L51" s="3" t="s">
        <v>36</v>
      </c>
      <c r="M51" s="33"/>
      <c r="N51" s="248"/>
      <c r="O51" s="3" t="s">
        <v>36</v>
      </c>
      <c r="P51" s="76"/>
      <c r="Q51" s="76"/>
      <c r="R51" s="76"/>
      <c r="S51" s="76"/>
      <c r="T51" s="76"/>
      <c r="U51" s="76"/>
      <c r="V51" s="114">
        <f t="shared" ref="V51:AA51" si="24">$N51*P51</f>
        <v>0</v>
      </c>
      <c r="W51" s="114">
        <f t="shared" si="24"/>
        <v>0</v>
      </c>
      <c r="X51" s="114">
        <f t="shared" si="24"/>
        <v>0</v>
      </c>
      <c r="Y51" s="114">
        <f t="shared" si="24"/>
        <v>0</v>
      </c>
      <c r="Z51" s="114">
        <f t="shared" si="24"/>
        <v>0</v>
      </c>
      <c r="AA51" s="114">
        <f t="shared" si="24"/>
        <v>0</v>
      </c>
      <c r="AB51" s="76"/>
      <c r="AC51" s="25"/>
      <c r="AD51" s="3"/>
    </row>
    <row r="52" spans="2:30" s="55" customFormat="1" ht="14.5">
      <c r="B52" s="104"/>
      <c r="C52" s="176"/>
      <c r="D52" s="111"/>
      <c r="E52" s="104"/>
      <c r="F52" s="104"/>
      <c r="G52" s="76"/>
      <c r="H52" s="104"/>
      <c r="I52" s="248"/>
      <c r="K52" s="115"/>
      <c r="L52" s="104"/>
      <c r="M52" s="138"/>
      <c r="N52" s="248"/>
      <c r="O52" s="104"/>
      <c r="P52" s="76"/>
      <c r="Q52" s="76"/>
      <c r="R52" s="76"/>
      <c r="S52" s="76"/>
      <c r="T52" s="76"/>
      <c r="U52" s="76"/>
      <c r="V52" s="114"/>
      <c r="W52" s="114"/>
      <c r="X52" s="114"/>
      <c r="Y52" s="114"/>
      <c r="Z52" s="114"/>
      <c r="AA52" s="114"/>
      <c r="AB52" s="76"/>
      <c r="AC52" s="177"/>
      <c r="AD52" s="104"/>
    </row>
    <row r="53" spans="2:30" ht="28">
      <c r="B53" s="3" t="s">
        <v>234</v>
      </c>
      <c r="C53" s="72" t="s">
        <v>232</v>
      </c>
      <c r="D53" s="111"/>
      <c r="E53" s="3"/>
      <c r="F53" s="3"/>
      <c r="G53" s="76"/>
      <c r="H53" s="3"/>
      <c r="I53" s="248"/>
      <c r="K53" s="114"/>
      <c r="L53" s="3"/>
      <c r="M53" s="33"/>
      <c r="N53" s="248"/>
      <c r="O53" s="3"/>
      <c r="P53" s="76"/>
      <c r="Q53" s="76"/>
      <c r="R53" s="76"/>
      <c r="S53" s="76"/>
      <c r="T53" s="76"/>
      <c r="U53" s="76"/>
      <c r="V53" s="114">
        <f t="shared" ref="V53:AA53" si="25">SUM(V54:V70)</f>
        <v>0</v>
      </c>
      <c r="W53" s="114">
        <f t="shared" si="25"/>
        <v>0</v>
      </c>
      <c r="X53" s="114">
        <f t="shared" si="25"/>
        <v>0</v>
      </c>
      <c r="Y53" s="114">
        <f>SUM(Y54:Y70)</f>
        <v>0</v>
      </c>
      <c r="Z53" s="114">
        <f t="shared" si="25"/>
        <v>0</v>
      </c>
      <c r="AA53" s="114">
        <f t="shared" si="25"/>
        <v>0</v>
      </c>
      <c r="AB53" s="76"/>
      <c r="AC53" s="25"/>
      <c r="AD53" s="3"/>
    </row>
    <row r="54" spans="2:30" ht="14">
      <c r="B54" s="3"/>
      <c r="C54" s="73" t="s">
        <v>235</v>
      </c>
      <c r="D54" s="111"/>
      <c r="E54" s="3" t="s">
        <v>43</v>
      </c>
      <c r="F54" s="3" t="s">
        <v>43</v>
      </c>
      <c r="G54" s="76" t="s">
        <v>43</v>
      </c>
      <c r="H54" s="3" t="s">
        <v>43</v>
      </c>
      <c r="I54" s="248"/>
      <c r="J54" t="s">
        <v>43</v>
      </c>
      <c r="K54" s="115" t="s">
        <v>43</v>
      </c>
      <c r="L54" s="3" t="s">
        <v>36</v>
      </c>
      <c r="M54" s="33"/>
      <c r="N54" s="248"/>
      <c r="O54" s="3" t="s">
        <v>36</v>
      </c>
      <c r="P54" s="76"/>
      <c r="Q54" s="76"/>
      <c r="R54" s="76"/>
      <c r="S54" s="179"/>
      <c r="T54" s="76"/>
      <c r="U54" s="76"/>
      <c r="V54" s="116">
        <f t="shared" ref="V54:AA54" si="26">$N54*P54</f>
        <v>0</v>
      </c>
      <c r="W54" s="116">
        <f t="shared" si="26"/>
        <v>0</v>
      </c>
      <c r="X54" s="116">
        <f t="shared" si="26"/>
        <v>0</v>
      </c>
      <c r="Y54" s="116">
        <f t="shared" si="26"/>
        <v>0</v>
      </c>
      <c r="Z54" s="116">
        <f t="shared" si="26"/>
        <v>0</v>
      </c>
      <c r="AA54" s="116">
        <f t="shared" si="26"/>
        <v>0</v>
      </c>
      <c r="AB54" s="76"/>
    </row>
    <row r="55" spans="2:30" ht="14">
      <c r="B55" s="3"/>
      <c r="C55" s="73" t="s">
        <v>236</v>
      </c>
      <c r="D55" s="111"/>
      <c r="E55" s="3" t="s">
        <v>43</v>
      </c>
      <c r="F55" s="3" t="s">
        <v>43</v>
      </c>
      <c r="G55" s="76" t="s">
        <v>43</v>
      </c>
      <c r="H55" s="3" t="s">
        <v>43</v>
      </c>
      <c r="I55" s="248"/>
      <c r="J55" t="s">
        <v>43</v>
      </c>
      <c r="K55" s="115" t="s">
        <v>43</v>
      </c>
      <c r="L55" s="3" t="s">
        <v>36</v>
      </c>
      <c r="M55" s="33"/>
      <c r="N55" s="248"/>
      <c r="O55" s="3" t="s">
        <v>36</v>
      </c>
      <c r="P55" s="76"/>
      <c r="Q55" s="76"/>
      <c r="R55" s="76"/>
      <c r="S55" s="179"/>
      <c r="T55" s="76"/>
      <c r="U55" s="76"/>
      <c r="V55" s="116">
        <f t="shared" ref="V55:V69" si="27">$N55*P55</f>
        <v>0</v>
      </c>
      <c r="W55" s="116">
        <f t="shared" ref="W55:W69" si="28">$N55*Q55</f>
        <v>0</v>
      </c>
      <c r="X55" s="116">
        <f t="shared" ref="X55:Y69" si="29">$N55*R55</f>
        <v>0</v>
      </c>
      <c r="Y55" s="116">
        <f t="shared" si="29"/>
        <v>0</v>
      </c>
      <c r="Z55" s="116">
        <f t="shared" ref="Z55:Z69" si="30">$N55*T55</f>
        <v>0</v>
      </c>
      <c r="AA55" s="116">
        <f t="shared" ref="AA55:AA69" si="31">$N55*U55</f>
        <v>0</v>
      </c>
      <c r="AB55" s="76"/>
    </row>
    <row r="56" spans="2:30" ht="14">
      <c r="B56" s="3"/>
      <c r="C56" s="73" t="s">
        <v>237</v>
      </c>
      <c r="D56" s="111"/>
      <c r="E56" s="3" t="s">
        <v>43</v>
      </c>
      <c r="F56" s="3" t="s">
        <v>43</v>
      </c>
      <c r="G56" s="76" t="s">
        <v>43</v>
      </c>
      <c r="H56" s="3" t="s">
        <v>43</v>
      </c>
      <c r="I56" s="248"/>
      <c r="J56" t="s">
        <v>43</v>
      </c>
      <c r="K56" s="115" t="s">
        <v>43</v>
      </c>
      <c r="L56" s="3" t="s">
        <v>36</v>
      </c>
      <c r="M56" s="33"/>
      <c r="N56" s="248"/>
      <c r="O56" s="3" t="s">
        <v>36</v>
      </c>
      <c r="P56" s="76"/>
      <c r="Q56" s="76"/>
      <c r="R56" s="76"/>
      <c r="S56" s="179"/>
      <c r="T56" s="76"/>
      <c r="U56" s="76"/>
      <c r="V56" s="116">
        <f t="shared" si="27"/>
        <v>0</v>
      </c>
      <c r="W56" s="116">
        <f t="shared" si="28"/>
        <v>0</v>
      </c>
      <c r="X56" s="116">
        <f t="shared" si="29"/>
        <v>0</v>
      </c>
      <c r="Y56" s="116">
        <f t="shared" si="29"/>
        <v>0</v>
      </c>
      <c r="Z56" s="116">
        <f t="shared" si="30"/>
        <v>0</v>
      </c>
      <c r="AA56" s="116">
        <f t="shared" si="31"/>
        <v>0</v>
      </c>
      <c r="AB56" s="76"/>
    </row>
    <row r="57" spans="2:30" ht="14">
      <c r="B57" s="3"/>
      <c r="C57" s="73" t="s">
        <v>238</v>
      </c>
      <c r="D57" s="111"/>
      <c r="E57" s="3" t="s">
        <v>43</v>
      </c>
      <c r="F57" s="3" t="s">
        <v>43</v>
      </c>
      <c r="G57" s="76" t="s">
        <v>43</v>
      </c>
      <c r="H57" s="3" t="s">
        <v>43</v>
      </c>
      <c r="I57" s="248"/>
      <c r="J57" t="s">
        <v>43</v>
      </c>
      <c r="K57" s="115" t="s">
        <v>43</v>
      </c>
      <c r="L57" s="3" t="s">
        <v>36</v>
      </c>
      <c r="M57" s="33"/>
      <c r="N57" s="248"/>
      <c r="O57" s="3" t="s">
        <v>36</v>
      </c>
      <c r="P57" s="76"/>
      <c r="Q57" s="76"/>
      <c r="R57" s="76"/>
      <c r="S57" s="179"/>
      <c r="T57" s="76"/>
      <c r="U57" s="76"/>
      <c r="V57" s="116">
        <f t="shared" si="27"/>
        <v>0</v>
      </c>
      <c r="W57" s="116">
        <f t="shared" si="28"/>
        <v>0</v>
      </c>
      <c r="X57" s="116">
        <f t="shared" si="29"/>
        <v>0</v>
      </c>
      <c r="Y57" s="116">
        <f t="shared" si="29"/>
        <v>0</v>
      </c>
      <c r="Z57" s="116">
        <f t="shared" si="30"/>
        <v>0</v>
      </c>
      <c r="AA57" s="116">
        <f t="shared" si="31"/>
        <v>0</v>
      </c>
      <c r="AB57" s="76"/>
    </row>
    <row r="58" spans="2:30" ht="14">
      <c r="B58" s="3"/>
      <c r="C58" s="73" t="s">
        <v>239</v>
      </c>
      <c r="D58" s="111"/>
      <c r="E58" s="3" t="s">
        <v>43</v>
      </c>
      <c r="F58" s="3" t="s">
        <v>43</v>
      </c>
      <c r="G58" s="76" t="s">
        <v>43</v>
      </c>
      <c r="H58" s="3" t="s">
        <v>43</v>
      </c>
      <c r="I58" s="248"/>
      <c r="J58" t="s">
        <v>43</v>
      </c>
      <c r="K58" s="115" t="s">
        <v>43</v>
      </c>
      <c r="L58" s="3" t="s">
        <v>36</v>
      </c>
      <c r="M58" s="33"/>
      <c r="N58" s="248"/>
      <c r="O58" s="3" t="s">
        <v>36</v>
      </c>
      <c r="P58" s="76"/>
      <c r="Q58" s="76"/>
      <c r="R58" s="76"/>
      <c r="S58" s="179"/>
      <c r="T58" s="76"/>
      <c r="U58" s="76"/>
      <c r="V58" s="116">
        <f t="shared" si="27"/>
        <v>0</v>
      </c>
      <c r="W58" s="116">
        <f t="shared" si="28"/>
        <v>0</v>
      </c>
      <c r="X58" s="116">
        <f t="shared" si="29"/>
        <v>0</v>
      </c>
      <c r="Y58" s="116">
        <f t="shared" si="29"/>
        <v>0</v>
      </c>
      <c r="Z58" s="116">
        <f t="shared" si="30"/>
        <v>0</v>
      </c>
      <c r="AA58" s="116">
        <f t="shared" si="31"/>
        <v>0</v>
      </c>
      <c r="AB58" s="76"/>
    </row>
    <row r="59" spans="2:30" ht="28">
      <c r="B59" s="3"/>
      <c r="C59" s="73" t="s">
        <v>240</v>
      </c>
      <c r="D59" s="111"/>
      <c r="E59" s="3" t="s">
        <v>43</v>
      </c>
      <c r="F59" s="3" t="s">
        <v>43</v>
      </c>
      <c r="G59" s="76" t="s">
        <v>43</v>
      </c>
      <c r="H59" s="3" t="s">
        <v>43</v>
      </c>
      <c r="I59" s="248"/>
      <c r="J59" t="s">
        <v>43</v>
      </c>
      <c r="K59" s="115" t="s">
        <v>43</v>
      </c>
      <c r="L59" s="3" t="s">
        <v>36</v>
      </c>
      <c r="M59" s="33"/>
      <c r="N59" s="248"/>
      <c r="O59" s="3" t="s">
        <v>36</v>
      </c>
      <c r="P59" s="76"/>
      <c r="Q59" s="76"/>
      <c r="R59" s="76"/>
      <c r="S59" s="179"/>
      <c r="T59" s="76"/>
      <c r="U59" s="76"/>
      <c r="V59" s="116">
        <f t="shared" si="27"/>
        <v>0</v>
      </c>
      <c r="W59" s="116">
        <f t="shared" si="28"/>
        <v>0</v>
      </c>
      <c r="X59" s="116">
        <f t="shared" si="29"/>
        <v>0</v>
      </c>
      <c r="Y59" s="116">
        <f t="shared" si="29"/>
        <v>0</v>
      </c>
      <c r="Z59" s="116">
        <f t="shared" si="30"/>
        <v>0</v>
      </c>
      <c r="AA59" s="116">
        <f t="shared" si="31"/>
        <v>0</v>
      </c>
      <c r="AB59" s="76"/>
    </row>
    <row r="60" spans="2:30" ht="28">
      <c r="B60" s="3"/>
      <c r="C60" s="73" t="s">
        <v>241</v>
      </c>
      <c r="D60" s="111"/>
      <c r="E60" s="3" t="s">
        <v>43</v>
      </c>
      <c r="F60" s="3" t="s">
        <v>43</v>
      </c>
      <c r="G60" s="76" t="s">
        <v>43</v>
      </c>
      <c r="H60" s="3" t="s">
        <v>43</v>
      </c>
      <c r="I60" s="248"/>
      <c r="J60" t="s">
        <v>43</v>
      </c>
      <c r="K60" s="115" t="s">
        <v>43</v>
      </c>
      <c r="L60" s="3" t="s">
        <v>36</v>
      </c>
      <c r="M60" s="33"/>
      <c r="N60" s="248"/>
      <c r="O60" s="3" t="s">
        <v>36</v>
      </c>
      <c r="P60" s="76"/>
      <c r="Q60" s="76"/>
      <c r="R60" s="76"/>
      <c r="S60" s="179"/>
      <c r="T60" s="76"/>
      <c r="U60" s="76"/>
      <c r="V60" s="116">
        <f t="shared" si="27"/>
        <v>0</v>
      </c>
      <c r="W60" s="116">
        <f t="shared" si="28"/>
        <v>0</v>
      </c>
      <c r="X60" s="116">
        <f t="shared" si="29"/>
        <v>0</v>
      </c>
      <c r="Y60" s="116">
        <f t="shared" si="29"/>
        <v>0</v>
      </c>
      <c r="Z60" s="116">
        <f t="shared" si="30"/>
        <v>0</v>
      </c>
      <c r="AA60" s="116">
        <f t="shared" si="31"/>
        <v>0</v>
      </c>
      <c r="AB60" s="76"/>
    </row>
    <row r="61" spans="2:30" ht="42">
      <c r="B61" s="3"/>
      <c r="C61" s="73" t="s">
        <v>242</v>
      </c>
      <c r="D61" s="111"/>
      <c r="E61" s="3" t="s">
        <v>43</v>
      </c>
      <c r="F61" s="3" t="s">
        <v>43</v>
      </c>
      <c r="G61" s="76" t="s">
        <v>43</v>
      </c>
      <c r="H61" s="3" t="s">
        <v>43</v>
      </c>
      <c r="I61" s="248"/>
      <c r="J61" t="s">
        <v>43</v>
      </c>
      <c r="K61" s="115" t="s">
        <v>43</v>
      </c>
      <c r="L61" s="3" t="s">
        <v>36</v>
      </c>
      <c r="M61" s="33"/>
      <c r="N61" s="248"/>
      <c r="O61" s="3" t="s">
        <v>36</v>
      </c>
      <c r="P61" s="76"/>
      <c r="Q61" s="76"/>
      <c r="R61" s="76"/>
      <c r="S61" s="179"/>
      <c r="T61" s="76"/>
      <c r="U61" s="76"/>
      <c r="V61" s="116">
        <f t="shared" si="27"/>
        <v>0</v>
      </c>
      <c r="W61" s="116">
        <f t="shared" si="28"/>
        <v>0</v>
      </c>
      <c r="X61" s="116">
        <f t="shared" si="29"/>
        <v>0</v>
      </c>
      <c r="Y61" s="116">
        <f t="shared" si="29"/>
        <v>0</v>
      </c>
      <c r="Z61" s="116">
        <f t="shared" si="30"/>
        <v>0</v>
      </c>
      <c r="AA61" s="116">
        <f t="shared" si="31"/>
        <v>0</v>
      </c>
      <c r="AB61" s="76"/>
    </row>
    <row r="62" spans="2:30" ht="14">
      <c r="B62" s="3"/>
      <c r="C62" s="73" t="s">
        <v>243</v>
      </c>
      <c r="D62" s="111"/>
      <c r="E62" s="3" t="s">
        <v>43</v>
      </c>
      <c r="F62" s="3" t="s">
        <v>43</v>
      </c>
      <c r="G62" s="76" t="s">
        <v>43</v>
      </c>
      <c r="H62" s="3" t="s">
        <v>43</v>
      </c>
      <c r="I62" s="248"/>
      <c r="J62" t="s">
        <v>43</v>
      </c>
      <c r="K62" s="115" t="s">
        <v>43</v>
      </c>
      <c r="L62" s="3" t="s">
        <v>36</v>
      </c>
      <c r="M62" s="33"/>
      <c r="N62" s="248"/>
      <c r="O62" s="3" t="s">
        <v>36</v>
      </c>
      <c r="P62" s="76"/>
      <c r="Q62" s="76"/>
      <c r="R62" s="76"/>
      <c r="S62" s="179"/>
      <c r="T62" s="76"/>
      <c r="U62" s="76"/>
      <c r="V62" s="116">
        <f t="shared" si="27"/>
        <v>0</v>
      </c>
      <c r="W62" s="116">
        <f t="shared" si="28"/>
        <v>0</v>
      </c>
      <c r="X62" s="116">
        <f t="shared" si="29"/>
        <v>0</v>
      </c>
      <c r="Y62" s="116">
        <f t="shared" si="29"/>
        <v>0</v>
      </c>
      <c r="Z62" s="116">
        <f t="shared" si="30"/>
        <v>0</v>
      </c>
      <c r="AA62" s="116">
        <f t="shared" si="31"/>
        <v>0</v>
      </c>
      <c r="AB62" s="76"/>
    </row>
    <row r="63" spans="2:30" ht="14">
      <c r="B63" s="3"/>
      <c r="C63" s="73" t="s">
        <v>244</v>
      </c>
      <c r="D63" s="111"/>
      <c r="E63" s="3" t="s">
        <v>43</v>
      </c>
      <c r="F63" s="3" t="s">
        <v>43</v>
      </c>
      <c r="G63" s="76" t="s">
        <v>43</v>
      </c>
      <c r="H63" s="3" t="s">
        <v>43</v>
      </c>
      <c r="I63" s="248"/>
      <c r="J63" t="s">
        <v>43</v>
      </c>
      <c r="K63" s="115" t="s">
        <v>43</v>
      </c>
      <c r="L63" s="3" t="s">
        <v>36</v>
      </c>
      <c r="M63" s="33"/>
      <c r="N63" s="248"/>
      <c r="O63" s="3" t="s">
        <v>36</v>
      </c>
      <c r="P63" s="76"/>
      <c r="Q63" s="76"/>
      <c r="R63" s="76"/>
      <c r="S63" s="179"/>
      <c r="T63" s="76"/>
      <c r="U63" s="76"/>
      <c r="V63" s="116">
        <f t="shared" si="27"/>
        <v>0</v>
      </c>
      <c r="W63" s="116">
        <f t="shared" si="28"/>
        <v>0</v>
      </c>
      <c r="X63" s="116">
        <f t="shared" si="29"/>
        <v>0</v>
      </c>
      <c r="Y63" s="116">
        <f t="shared" si="29"/>
        <v>0</v>
      </c>
      <c r="Z63" s="116">
        <f t="shared" si="30"/>
        <v>0</v>
      </c>
      <c r="AA63" s="116">
        <f t="shared" si="31"/>
        <v>0</v>
      </c>
      <c r="AB63" s="76"/>
    </row>
    <row r="64" spans="2:30" ht="14">
      <c r="B64" s="3"/>
      <c r="C64" s="73" t="s">
        <v>245</v>
      </c>
      <c r="D64" s="111"/>
      <c r="E64" s="3" t="s">
        <v>43</v>
      </c>
      <c r="F64" s="3" t="s">
        <v>43</v>
      </c>
      <c r="G64" s="76" t="s">
        <v>43</v>
      </c>
      <c r="H64" s="3" t="s">
        <v>43</v>
      </c>
      <c r="I64" s="248"/>
      <c r="J64" t="s">
        <v>43</v>
      </c>
      <c r="K64" s="115" t="s">
        <v>43</v>
      </c>
      <c r="L64" s="3" t="s">
        <v>36</v>
      </c>
      <c r="M64" s="33"/>
      <c r="N64" s="248"/>
      <c r="O64" s="3" t="s">
        <v>36</v>
      </c>
      <c r="P64" s="76"/>
      <c r="Q64" s="76"/>
      <c r="R64" s="76"/>
      <c r="S64" s="179"/>
      <c r="T64" s="76"/>
      <c r="U64" s="76"/>
      <c r="V64" s="116">
        <f t="shared" si="27"/>
        <v>0</v>
      </c>
      <c r="W64" s="116">
        <f t="shared" si="28"/>
        <v>0</v>
      </c>
      <c r="X64" s="116">
        <f t="shared" si="29"/>
        <v>0</v>
      </c>
      <c r="Y64" s="116">
        <f t="shared" si="29"/>
        <v>0</v>
      </c>
      <c r="Z64" s="116">
        <f t="shared" si="30"/>
        <v>0</v>
      </c>
      <c r="AA64" s="116">
        <f t="shared" si="31"/>
        <v>0</v>
      </c>
      <c r="AB64" s="76"/>
    </row>
    <row r="65" spans="2:28" ht="28">
      <c r="B65" s="3"/>
      <c r="C65" s="73" t="s">
        <v>246</v>
      </c>
      <c r="D65" s="111"/>
      <c r="E65" s="3" t="s">
        <v>43</v>
      </c>
      <c r="F65" s="3" t="s">
        <v>43</v>
      </c>
      <c r="G65" s="76" t="s">
        <v>43</v>
      </c>
      <c r="H65" s="3" t="s">
        <v>43</v>
      </c>
      <c r="I65" s="248"/>
      <c r="J65" t="s">
        <v>43</v>
      </c>
      <c r="K65" s="115" t="s">
        <v>43</v>
      </c>
      <c r="L65" s="3" t="s">
        <v>36</v>
      </c>
      <c r="M65" s="33"/>
      <c r="N65" s="248"/>
      <c r="O65" s="3" t="s">
        <v>36</v>
      </c>
      <c r="P65" s="76"/>
      <c r="Q65" s="76"/>
      <c r="R65" s="76"/>
      <c r="S65" s="179"/>
      <c r="T65" s="76"/>
      <c r="U65" s="76"/>
      <c r="V65" s="116">
        <f t="shared" si="27"/>
        <v>0</v>
      </c>
      <c r="W65" s="116">
        <f t="shared" si="28"/>
        <v>0</v>
      </c>
      <c r="X65" s="116">
        <f t="shared" si="29"/>
        <v>0</v>
      </c>
      <c r="Y65" s="116">
        <f t="shared" si="29"/>
        <v>0</v>
      </c>
      <c r="Z65" s="116">
        <f t="shared" si="30"/>
        <v>0</v>
      </c>
      <c r="AA65" s="116">
        <f t="shared" si="31"/>
        <v>0</v>
      </c>
      <c r="AB65" s="76"/>
    </row>
    <row r="66" spans="2:28" ht="14">
      <c r="B66" s="3"/>
      <c r="C66" s="73" t="s">
        <v>247</v>
      </c>
      <c r="D66" s="111"/>
      <c r="E66" s="3" t="s">
        <v>43</v>
      </c>
      <c r="F66" s="3" t="s">
        <v>43</v>
      </c>
      <c r="G66" s="76" t="s">
        <v>43</v>
      </c>
      <c r="H66" s="3" t="s">
        <v>43</v>
      </c>
      <c r="I66" s="248"/>
      <c r="J66" t="s">
        <v>43</v>
      </c>
      <c r="K66" s="115" t="s">
        <v>43</v>
      </c>
      <c r="L66" s="3" t="s">
        <v>36</v>
      </c>
      <c r="M66" s="33"/>
      <c r="N66" s="248"/>
      <c r="O66" s="3" t="s">
        <v>36</v>
      </c>
      <c r="P66" s="76"/>
      <c r="Q66" s="76"/>
      <c r="R66" s="76"/>
      <c r="S66" s="179"/>
      <c r="T66" s="76"/>
      <c r="U66" s="76"/>
      <c r="V66" s="116">
        <f t="shared" si="27"/>
        <v>0</v>
      </c>
      <c r="W66" s="116">
        <f t="shared" si="28"/>
        <v>0</v>
      </c>
      <c r="X66" s="116">
        <f t="shared" si="29"/>
        <v>0</v>
      </c>
      <c r="Y66" s="116">
        <f t="shared" si="29"/>
        <v>0</v>
      </c>
      <c r="Z66" s="116">
        <f t="shared" si="30"/>
        <v>0</v>
      </c>
      <c r="AA66" s="116">
        <f t="shared" si="31"/>
        <v>0</v>
      </c>
      <c r="AB66" s="76"/>
    </row>
    <row r="67" spans="2:28" ht="14">
      <c r="B67" s="3"/>
      <c r="C67" s="73" t="s">
        <v>248</v>
      </c>
      <c r="D67" s="111"/>
      <c r="E67" s="3" t="s">
        <v>43</v>
      </c>
      <c r="F67" s="3" t="s">
        <v>43</v>
      </c>
      <c r="G67" s="76" t="s">
        <v>43</v>
      </c>
      <c r="H67" s="3" t="s">
        <v>43</v>
      </c>
      <c r="I67" s="248"/>
      <c r="J67" t="s">
        <v>43</v>
      </c>
      <c r="K67" s="115" t="s">
        <v>43</v>
      </c>
      <c r="L67" s="3" t="s">
        <v>36</v>
      </c>
      <c r="M67" s="33"/>
      <c r="N67" s="248"/>
      <c r="O67" s="3" t="s">
        <v>36</v>
      </c>
      <c r="P67" s="76"/>
      <c r="Q67" s="76"/>
      <c r="R67" s="76"/>
      <c r="S67" s="179"/>
      <c r="T67" s="76"/>
      <c r="U67" s="76"/>
      <c r="V67" s="116">
        <f t="shared" si="27"/>
        <v>0</v>
      </c>
      <c r="W67" s="116">
        <f t="shared" si="28"/>
        <v>0</v>
      </c>
      <c r="X67" s="116">
        <f t="shared" si="29"/>
        <v>0</v>
      </c>
      <c r="Y67" s="116">
        <f t="shared" si="29"/>
        <v>0</v>
      </c>
      <c r="Z67" s="116">
        <f t="shared" si="30"/>
        <v>0</v>
      </c>
      <c r="AA67" s="116">
        <f t="shared" si="31"/>
        <v>0</v>
      </c>
      <c r="AB67" s="76"/>
    </row>
    <row r="68" spans="2:28" ht="14">
      <c r="B68" s="3"/>
      <c r="C68" s="73" t="s">
        <v>249</v>
      </c>
      <c r="D68" s="111"/>
      <c r="E68" s="3" t="s">
        <v>43</v>
      </c>
      <c r="F68" s="3" t="s">
        <v>43</v>
      </c>
      <c r="G68" s="76" t="s">
        <v>43</v>
      </c>
      <c r="H68" s="3" t="s">
        <v>43</v>
      </c>
      <c r="I68" s="248"/>
      <c r="J68" t="s">
        <v>43</v>
      </c>
      <c r="K68" s="115" t="s">
        <v>43</v>
      </c>
      <c r="L68" s="3" t="s">
        <v>36</v>
      </c>
      <c r="M68" s="33"/>
      <c r="N68" s="248"/>
      <c r="O68" s="3" t="s">
        <v>36</v>
      </c>
      <c r="P68" s="76"/>
      <c r="Q68" s="76"/>
      <c r="R68" s="76"/>
      <c r="S68" s="179"/>
      <c r="T68" s="76"/>
      <c r="U68" s="76"/>
      <c r="V68" s="116">
        <f t="shared" si="27"/>
        <v>0</v>
      </c>
      <c r="W68" s="116">
        <f t="shared" si="28"/>
        <v>0</v>
      </c>
      <c r="X68" s="116">
        <f t="shared" si="29"/>
        <v>0</v>
      </c>
      <c r="Y68" s="116">
        <f t="shared" si="29"/>
        <v>0</v>
      </c>
      <c r="Z68" s="116">
        <f t="shared" si="30"/>
        <v>0</v>
      </c>
      <c r="AA68" s="116">
        <f t="shared" si="31"/>
        <v>0</v>
      </c>
      <c r="AB68" s="76"/>
    </row>
    <row r="69" spans="2:28" ht="14">
      <c r="B69" s="3"/>
      <c r="C69" s="73" t="s">
        <v>250</v>
      </c>
      <c r="D69" s="111"/>
      <c r="E69" s="3" t="s">
        <v>43</v>
      </c>
      <c r="F69" s="3" t="s">
        <v>43</v>
      </c>
      <c r="G69" s="76" t="s">
        <v>43</v>
      </c>
      <c r="H69" s="3" t="s">
        <v>43</v>
      </c>
      <c r="I69" s="248"/>
      <c r="J69" t="s">
        <v>43</v>
      </c>
      <c r="K69" s="115" t="s">
        <v>43</v>
      </c>
      <c r="L69" s="3" t="s">
        <v>36</v>
      </c>
      <c r="M69" s="33"/>
      <c r="N69" s="248"/>
      <c r="O69" s="3" t="s">
        <v>36</v>
      </c>
      <c r="P69" s="76"/>
      <c r="Q69" s="76"/>
      <c r="R69" s="76"/>
      <c r="S69" s="179"/>
      <c r="T69" s="76"/>
      <c r="U69" s="76"/>
      <c r="V69" s="116">
        <f t="shared" si="27"/>
        <v>0</v>
      </c>
      <c r="W69" s="116">
        <f t="shared" si="28"/>
        <v>0</v>
      </c>
      <c r="X69" s="116">
        <f t="shared" si="29"/>
        <v>0</v>
      </c>
      <c r="Y69" s="116">
        <f t="shared" si="29"/>
        <v>0</v>
      </c>
      <c r="Z69" s="116">
        <f t="shared" si="30"/>
        <v>0</v>
      </c>
      <c r="AA69" s="116">
        <f t="shared" si="31"/>
        <v>0</v>
      </c>
      <c r="AB69" s="76"/>
    </row>
    <row r="70" spans="2:28" ht="13">
      <c r="B70" s="3"/>
      <c r="C70" s="26" t="s">
        <v>251</v>
      </c>
      <c r="D70" s="111"/>
      <c r="E70" s="3" t="s">
        <v>43</v>
      </c>
      <c r="F70" s="3" t="s">
        <v>43</v>
      </c>
      <c r="G70" s="76" t="s">
        <v>43</v>
      </c>
      <c r="H70" s="3" t="s">
        <v>43</v>
      </c>
      <c r="I70" s="248"/>
      <c r="J70" t="s">
        <v>43</v>
      </c>
      <c r="K70" s="115" t="s">
        <v>43</v>
      </c>
      <c r="L70" s="3" t="s">
        <v>36</v>
      </c>
      <c r="M70" s="33"/>
      <c r="N70" s="248"/>
      <c r="O70" s="3" t="s">
        <v>36</v>
      </c>
      <c r="P70" s="76"/>
      <c r="Q70" s="76"/>
      <c r="R70" s="76"/>
      <c r="S70" s="179"/>
      <c r="T70" s="76"/>
      <c r="U70" s="76"/>
      <c r="V70" s="116">
        <f t="shared" ref="V70:AA70" si="32">$N70*P70</f>
        <v>0</v>
      </c>
      <c r="W70" s="116">
        <f t="shared" si="32"/>
        <v>0</v>
      </c>
      <c r="X70" s="116">
        <f t="shared" si="32"/>
        <v>0</v>
      </c>
      <c r="Y70" s="116">
        <f t="shared" si="32"/>
        <v>0</v>
      </c>
      <c r="Z70" s="116">
        <f t="shared" si="32"/>
        <v>0</v>
      </c>
      <c r="AA70" s="116">
        <f t="shared" si="32"/>
        <v>0</v>
      </c>
      <c r="AB70" s="76"/>
    </row>
    <row r="71" spans="2:28" ht="13">
      <c r="B71" s="3"/>
      <c r="C71" s="70"/>
      <c r="D71" s="111"/>
      <c r="E71" s="41"/>
      <c r="F71" s="3"/>
      <c r="G71" s="76"/>
      <c r="H71" s="3"/>
      <c r="I71" s="248"/>
      <c r="K71" s="115"/>
      <c r="L71" s="3"/>
      <c r="M71" s="16"/>
      <c r="N71" s="248"/>
      <c r="O71" s="17"/>
      <c r="P71" s="167"/>
      <c r="Q71" s="167"/>
      <c r="R71" s="167"/>
      <c r="S71" s="167"/>
      <c r="T71" s="167"/>
      <c r="U71" s="167"/>
      <c r="V71" s="116"/>
      <c r="W71" s="116"/>
      <c r="X71" s="116"/>
      <c r="Y71" s="116"/>
      <c r="Z71" s="116"/>
      <c r="AA71" s="116"/>
      <c r="AB71" s="76"/>
    </row>
    <row r="72" spans="2:28" s="55" customFormat="1" ht="13">
      <c r="B72" s="104"/>
      <c r="C72" s="178"/>
      <c r="D72" s="111"/>
      <c r="E72" s="104"/>
      <c r="F72" s="104"/>
      <c r="G72" s="76"/>
      <c r="H72" s="104"/>
      <c r="I72" s="248"/>
      <c r="K72" s="115"/>
      <c r="L72" s="104"/>
      <c r="M72" s="164"/>
      <c r="N72" s="247"/>
      <c r="O72" s="104"/>
      <c r="P72" s="131"/>
      <c r="Q72" s="131"/>
      <c r="R72" s="131"/>
      <c r="S72" s="131"/>
      <c r="T72" s="131"/>
      <c r="U72" s="131"/>
      <c r="V72" s="116"/>
      <c r="W72" s="116"/>
      <c r="X72" s="116"/>
      <c r="Y72" s="116"/>
      <c r="Z72" s="116"/>
      <c r="AA72" s="116"/>
      <c r="AB72" s="76"/>
    </row>
    <row r="73" spans="2:28" s="3" customFormat="1" ht="13">
      <c r="C73" s="40"/>
      <c r="D73" s="7"/>
      <c r="I73" s="249"/>
      <c r="K73" s="21"/>
      <c r="M73" s="59"/>
      <c r="N73" s="239"/>
      <c r="P73" s="60"/>
      <c r="Q73" s="60"/>
      <c r="R73" s="60"/>
      <c r="S73" s="60"/>
      <c r="T73" s="60"/>
      <c r="U73" s="60"/>
      <c r="V73" s="22"/>
      <c r="W73" s="22"/>
      <c r="X73" s="22"/>
      <c r="Y73" s="22"/>
      <c r="Z73" s="22"/>
      <c r="AA73" s="22"/>
    </row>
    <row r="74" spans="2:28" s="3" customFormat="1" ht="13">
      <c r="C74" s="7" t="s">
        <v>56</v>
      </c>
      <c r="D74" s="36" t="s">
        <v>219</v>
      </c>
      <c r="I74" s="249"/>
      <c r="K74" s="21"/>
      <c r="M74" s="59"/>
      <c r="N74" s="239"/>
      <c r="P74" s="60"/>
      <c r="Q74" s="60"/>
      <c r="R74" s="60"/>
      <c r="S74" s="60"/>
      <c r="T74" s="60"/>
      <c r="U74" s="60"/>
      <c r="V74" s="22"/>
      <c r="W74" s="22"/>
      <c r="X74" s="22"/>
      <c r="Y74" s="22"/>
      <c r="Z74" s="22"/>
      <c r="AA74" s="22"/>
    </row>
    <row r="75" spans="2:28" s="3" customFormat="1" ht="13">
      <c r="C75" s="40"/>
      <c r="D75" s="36" t="s">
        <v>220</v>
      </c>
      <c r="I75" s="249"/>
      <c r="K75" s="21"/>
      <c r="M75" s="59"/>
      <c r="N75" s="239"/>
      <c r="P75" s="60"/>
      <c r="Q75" s="60"/>
      <c r="R75" s="60"/>
      <c r="S75" s="60"/>
      <c r="T75" s="60"/>
      <c r="U75" s="60"/>
      <c r="V75" s="22"/>
      <c r="W75" s="22"/>
      <c r="X75" s="22"/>
      <c r="Y75" s="22"/>
      <c r="Z75" s="22"/>
      <c r="AA75" s="22"/>
    </row>
    <row r="76" spans="2:28" s="3" customFormat="1" ht="13">
      <c r="C76" s="40"/>
      <c r="D76" s="36" t="s">
        <v>350</v>
      </c>
      <c r="I76" s="249"/>
      <c r="K76" s="21"/>
      <c r="M76" s="59"/>
      <c r="N76" s="239"/>
      <c r="P76" s="60"/>
      <c r="Q76" s="60"/>
      <c r="R76" s="60"/>
      <c r="S76" s="60"/>
      <c r="T76" s="60"/>
      <c r="U76" s="60"/>
      <c r="V76" s="22"/>
      <c r="W76" s="22"/>
      <c r="X76" s="22"/>
      <c r="Y76" s="22"/>
      <c r="Z76" s="22"/>
      <c r="AA76" s="22"/>
    </row>
    <row r="77" spans="2:28" s="3" customFormat="1" ht="13">
      <c r="C77" s="40"/>
      <c r="D77" s="7"/>
      <c r="I77" s="249"/>
      <c r="K77" s="21"/>
      <c r="M77" s="59"/>
      <c r="N77" s="239"/>
      <c r="P77" s="60"/>
      <c r="Q77" s="60"/>
      <c r="R77" s="60"/>
      <c r="S77" s="60"/>
      <c r="T77" s="60"/>
      <c r="U77" s="60"/>
      <c r="V77" s="22"/>
      <c r="W77" s="22"/>
      <c r="X77" s="22"/>
      <c r="Y77" s="22"/>
      <c r="Z77" s="22"/>
      <c r="AA77" s="22"/>
    </row>
    <row r="78" spans="2:28" s="3" customFormat="1" ht="13">
      <c r="C78" s="61"/>
      <c r="D78" s="7"/>
      <c r="I78" s="249"/>
      <c r="K78" s="21"/>
      <c r="M78" s="59"/>
      <c r="N78" s="239"/>
      <c r="P78" s="60"/>
      <c r="Q78" s="60"/>
      <c r="R78" s="60"/>
      <c r="S78" s="60"/>
      <c r="T78" s="60"/>
      <c r="U78" s="60"/>
      <c r="V78" s="22"/>
      <c r="W78" s="22"/>
      <c r="X78" s="22"/>
      <c r="Y78" s="22"/>
      <c r="Z78" s="22"/>
      <c r="AA78" s="22"/>
    </row>
    <row r="79" spans="2:28" s="3" customFormat="1" ht="13">
      <c r="C79" s="61"/>
      <c r="E79" s="11"/>
      <c r="I79" s="249"/>
      <c r="K79" s="21"/>
      <c r="M79" s="62"/>
      <c r="N79" s="239"/>
      <c r="P79" s="60"/>
      <c r="Q79" s="60"/>
      <c r="R79" s="60"/>
      <c r="S79" s="60"/>
      <c r="T79" s="60"/>
      <c r="U79" s="60"/>
      <c r="V79" s="22"/>
      <c r="W79" s="22"/>
      <c r="X79" s="22"/>
      <c r="Y79" s="22"/>
      <c r="Z79" s="22"/>
      <c r="AA79" s="22"/>
    </row>
    <row r="80" spans="2:28" s="3" customFormat="1" ht="13">
      <c r="C80" s="61"/>
      <c r="E80" s="11"/>
      <c r="I80" s="249"/>
      <c r="K80" s="21"/>
      <c r="M80" s="62"/>
      <c r="N80" s="239"/>
      <c r="P80" s="60"/>
      <c r="Q80" s="60"/>
      <c r="R80" s="60"/>
      <c r="S80" s="60"/>
      <c r="T80" s="60"/>
      <c r="U80" s="60"/>
      <c r="V80" s="22"/>
      <c r="W80" s="22"/>
      <c r="X80" s="22"/>
      <c r="Y80" s="22"/>
      <c r="Z80" s="22"/>
      <c r="AA80" s="22"/>
    </row>
    <row r="81" spans="3:27" s="3" customFormat="1" ht="13">
      <c r="C81" s="61"/>
      <c r="E81" s="11"/>
      <c r="I81" s="249"/>
      <c r="K81" s="21"/>
      <c r="M81" s="62"/>
      <c r="N81" s="239"/>
      <c r="P81" s="60"/>
      <c r="Q81" s="60"/>
      <c r="R81" s="60"/>
      <c r="S81" s="60"/>
      <c r="T81" s="60"/>
      <c r="U81" s="60"/>
      <c r="V81" s="22"/>
      <c r="W81" s="22"/>
      <c r="X81" s="22"/>
      <c r="Y81" s="22"/>
      <c r="Z81" s="22"/>
      <c r="AA81" s="22"/>
    </row>
    <row r="82" spans="3:27" s="3" customFormat="1" ht="13">
      <c r="C82" s="61"/>
      <c r="E82" s="11"/>
      <c r="I82" s="249"/>
      <c r="K82" s="21"/>
      <c r="M82" s="63"/>
      <c r="N82" s="239"/>
      <c r="P82" s="23"/>
      <c r="Q82" s="23"/>
      <c r="R82" s="24"/>
      <c r="S82" s="24"/>
      <c r="T82" s="23"/>
      <c r="V82" s="22"/>
      <c r="W82" s="22"/>
      <c r="X82" s="22"/>
      <c r="Y82" s="22"/>
      <c r="Z82" s="22"/>
      <c r="AA82" s="22"/>
    </row>
    <row r="83" spans="3:27" s="3" customFormat="1" ht="13">
      <c r="C83" s="61"/>
      <c r="I83" s="239"/>
      <c r="M83" s="63"/>
      <c r="N83" s="239"/>
    </row>
    <row r="84" spans="3:27" s="3" customFormat="1" ht="13">
      <c r="C84" s="61"/>
      <c r="D84" s="7"/>
      <c r="I84" s="239"/>
      <c r="M84" s="64"/>
      <c r="N84" s="239"/>
      <c r="V84" s="25"/>
      <c r="W84" s="25"/>
      <c r="X84" s="25"/>
      <c r="Y84" s="25"/>
      <c r="Z84" s="25"/>
      <c r="AA84" s="25"/>
    </row>
    <row r="85" spans="3:27" s="3" customFormat="1" ht="13">
      <c r="C85" s="61"/>
      <c r="D85" s="7"/>
      <c r="I85" s="249"/>
      <c r="K85" s="21"/>
      <c r="M85" s="64"/>
      <c r="N85" s="249"/>
      <c r="P85" s="60"/>
      <c r="Q85" s="60"/>
      <c r="R85" s="60"/>
      <c r="S85" s="60"/>
      <c r="T85" s="60"/>
      <c r="U85" s="60"/>
      <c r="V85" s="22"/>
      <c r="W85" s="22"/>
      <c r="X85" s="22"/>
      <c r="Y85" s="22"/>
      <c r="Z85" s="22"/>
      <c r="AA85" s="22"/>
    </row>
    <row r="86" spans="3:27" ht="13">
      <c r="C86" s="42"/>
    </row>
    <row r="87" spans="3:27" ht="13">
      <c r="C87" s="42"/>
    </row>
    <row r="88" spans="3:27" ht="13">
      <c r="C88" s="42"/>
    </row>
    <row r="91" spans="3:27">
      <c r="H91">
        <f>35000000/500000000</f>
        <v>7.0000000000000007E-2</v>
      </c>
    </row>
    <row r="101" spans="7:7">
      <c r="G101" s="308"/>
    </row>
  </sheetData>
  <sheetProtection algorithmName="SHA-512" hashValue="PICbulqRYFe0SfhUsqxwSwqv+t2Nv+TFTZB1oteuXlmZvnspcKpJzk5NOzaXQc3sTAhGRGVLEYb1+Fz3giacew==" saltValue="0MoPOuSHlbq8PkiommHzl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N10"/>
  <sheetViews>
    <sheetView workbookViewId="0">
      <selection activeCell="C7" sqref="C7"/>
    </sheetView>
  </sheetViews>
  <sheetFormatPr defaultColWidth="9.1796875" defaultRowHeight="12.5"/>
  <cols>
    <col min="1" max="1" width="39" style="337" customWidth="1"/>
    <col min="2" max="2" width="8.81640625" style="357" customWidth="1"/>
    <col min="3" max="3" width="11.6328125" style="337" customWidth="1"/>
    <col min="4" max="4" width="35.1796875" style="337" customWidth="1"/>
    <col min="5" max="5" width="13.81640625" style="337" customWidth="1"/>
    <col min="6" max="8" width="9.1796875" style="337"/>
    <col min="9" max="9" width="12.453125" style="337" customWidth="1"/>
    <col min="10" max="10" width="9.1796875" style="337"/>
    <col min="11" max="11" width="16.1796875" style="337" customWidth="1"/>
    <col min="12" max="12" width="12.1796875" style="337" customWidth="1"/>
    <col min="13" max="13" width="9.1796875" style="337"/>
    <col min="14" max="14" width="0" style="337" hidden="1" customWidth="1"/>
    <col min="15" max="16384" width="9.1796875" style="337"/>
  </cols>
  <sheetData>
    <row r="1" spans="1:14" ht="13">
      <c r="A1" s="353" t="s">
        <v>1015</v>
      </c>
      <c r="B1" s="354"/>
    </row>
    <row r="2" spans="1:14" ht="30" customHeight="1">
      <c r="A2" s="884" t="str">
        <f>IF(ISNA(MATCH("n",N5:N6,0)),"",trans_warning)</f>
        <v/>
      </c>
      <c r="B2" s="885"/>
      <c r="C2" s="885"/>
      <c r="D2" s="885"/>
      <c r="E2" s="885"/>
      <c r="F2" s="885"/>
      <c r="G2" s="885"/>
      <c r="H2" s="885"/>
      <c r="I2" s="885"/>
      <c r="J2" s="885"/>
      <c r="K2" s="885"/>
      <c r="L2" s="886"/>
    </row>
    <row r="3" spans="1:14" s="358" customFormat="1" ht="25.5" customHeight="1">
      <c r="A3" s="717" t="s">
        <v>868</v>
      </c>
      <c r="B3" s="733" t="s">
        <v>869</v>
      </c>
      <c r="C3" s="733" t="s">
        <v>870</v>
      </c>
      <c r="D3" s="717"/>
      <c r="E3" s="731" t="s">
        <v>871</v>
      </c>
      <c r="F3" s="881" t="s">
        <v>872</v>
      </c>
      <c r="G3" s="882"/>
      <c r="H3" s="882"/>
      <c r="I3" s="882"/>
      <c r="J3" s="882"/>
      <c r="K3" s="883"/>
      <c r="L3" s="717"/>
    </row>
    <row r="4" spans="1:14" ht="65.5" thickBot="1">
      <c r="A4" s="717" t="s">
        <v>1016</v>
      </c>
      <c r="B4" s="724" t="str">
        <f>quest</f>
        <v>Да/Нет/?</v>
      </c>
      <c r="C4" s="721" t="s">
        <v>1017</v>
      </c>
      <c r="D4" s="733" t="s">
        <v>875</v>
      </c>
      <c r="E4" s="733" t="s">
        <v>876</v>
      </c>
      <c r="F4" s="723" t="s">
        <v>877</v>
      </c>
      <c r="G4" s="723" t="s">
        <v>878</v>
      </c>
      <c r="H4" s="723" t="s">
        <v>879</v>
      </c>
      <c r="I4" s="733" t="s">
        <v>880</v>
      </c>
      <c r="J4" s="733" t="s">
        <v>881</v>
      </c>
      <c r="K4" s="733" t="s">
        <v>1018</v>
      </c>
      <c r="L4" s="717" t="s">
        <v>883</v>
      </c>
      <c r="M4" s="321" t="s">
        <v>884</v>
      </c>
    </row>
    <row r="5" spans="1:14">
      <c r="A5" s="737" t="s">
        <v>1019</v>
      </c>
      <c r="B5" s="363"/>
      <c r="C5" s="376"/>
      <c r="D5" s="833" t="s">
        <v>1262</v>
      </c>
      <c r="E5" s="456" t="str">
        <f>IF(OR($B5=yes,$B5=yes),'5-10 Cremat and cem'!K6, IF(OR($B5=no,$B5=no),"-", IF($B5=que,que, pres)))</f>
        <v>Присутствует?</v>
      </c>
      <c r="F5" s="278" t="str">
        <f>IF(OR($B5=yes,$B5=yes),'5-10 Cremat and cem'!V6, IF(OR($B5=no,$B5=no),"-", IF($B5=que,que, pres)))</f>
        <v>Присутствует?</v>
      </c>
      <c r="G5" s="278" t="str">
        <f>IF(OR($B5=yes,$B5=yes),'5-10 Cremat and cem'!W6, IF(OR($B5=no,$B5=no),"-", IF($B5=que,que, pres)))</f>
        <v>Присутствует?</v>
      </c>
      <c r="H5" s="278" t="str">
        <f>IF(OR($B5=yes,$B5=yes),'5-10 Cremat and cem'!X6, IF(OR($B5=no,$B5=no),"-", IF($B5=que,que, pres)))</f>
        <v>Присутствует?</v>
      </c>
      <c r="I5" s="278" t="str">
        <f>IF(OR($B5=yes,$B5=yes),'5-10 Cremat and cem'!Y6, IF(OR($B5=no,$B5=no),"-", IF($B5=que,que, pres)))</f>
        <v>Присутствует?</v>
      </c>
      <c r="J5" s="278" t="str">
        <f>IF(OR($B5=yes,$B5=yes),'5-10 Cremat and cem'!Z6, IF(OR($B5=no,$B5=no),"-", IF($B5=que,que, pres)))</f>
        <v>Присутствует?</v>
      </c>
      <c r="K5" s="278" t="str">
        <f>IF(OR($B5=yes,$B5=yes),'5-10 Cremat and cem'!AA6, IF(OR($B5=no,$B5=no),"-", IF($B5=que,que, pres)))</f>
        <v>Присутствует?</v>
      </c>
      <c r="L5" s="271" t="s">
        <v>311</v>
      </c>
      <c r="M5" s="458"/>
      <c r="N5" s="337" t="str">
        <f>INDEX('Range-thresholds'!$G$6:$G$73,MATCH(A5,'Range-thresholds'!$A$6:$A$73,0))</f>
        <v/>
      </c>
    </row>
    <row r="6" spans="1:14" ht="13" thickBot="1">
      <c r="A6" s="737" t="s">
        <v>1020</v>
      </c>
      <c r="B6" s="364"/>
      <c r="C6" s="397"/>
      <c r="D6" s="833" t="s">
        <v>1263</v>
      </c>
      <c r="E6" s="456" t="str">
        <f>IF(OR($B6=yes,$B6=yes),'5-10 Cremat and cem'!K8, IF(OR($B6=no,$B6=no),"-", IF($B6=que,que, pres)))</f>
        <v>Присутствует?</v>
      </c>
      <c r="F6" s="278" t="str">
        <f>IF(OR($B6=yes,$B6=yes),'5-10 Cremat and cem'!V8, IF(OR($B6=no,$B6=no),"-", IF($B6=que,que, pres)))</f>
        <v>Присутствует?</v>
      </c>
      <c r="G6" s="278" t="str">
        <f>IF(OR($B6=yes,$B6=yes),'5-10 Cremat and cem'!W8, IF(OR($B6=no,$B6=no),"-", IF($B6=que,que, pres)))</f>
        <v>Присутствует?</v>
      </c>
      <c r="H6" s="278" t="str">
        <f>IF(OR($B6=yes,$B6=yes),'5-10 Cremat and cem'!X8, IF(OR($B6=no,$B6=no),"-", IF($B6=que,que, pres)))</f>
        <v>Присутствует?</v>
      </c>
      <c r="I6" s="278" t="str">
        <f>IF(OR($B6=yes,$B6=yes),'5-10 Cremat and cem'!Y8, IF(OR($B6=no,$B6=no),"-", IF($B6=que,que, pres)))</f>
        <v>Присутствует?</v>
      </c>
      <c r="J6" s="278" t="str">
        <f>IF(OR($B6=yes,$B6=yes),'5-10 Cremat and cem'!Z8, IF(OR($B6=no,$B6=no),"-", IF($B6=que,que, pres)))</f>
        <v>Присутствует?</v>
      </c>
      <c r="K6" s="278" t="str">
        <f>IF(OR($B6=yes,$B6=yes),'5-10 Cremat and cem'!AA8, IF(OR($B6=no,$B6=no),"-", IF($B6=que,que, pres)))</f>
        <v>Присутствует?</v>
      </c>
      <c r="L6" s="271" t="s">
        <v>312</v>
      </c>
      <c r="M6" s="458"/>
      <c r="N6" s="337" t="str">
        <f>INDEX('Range-thresholds'!$G$6:$G$73,MATCH(A6,'Range-thresholds'!$A$6:$A$73,0))</f>
        <v/>
      </c>
    </row>
    <row r="8" spans="1:14">
      <c r="C8" s="869">
        <f>'Этап 6-Hg-продукция - вещ-ва'!C11</f>
        <v>0.82919079065322876</v>
      </c>
      <c r="D8" s="897" t="str">
        <f>'Этап 6-Hg-продукция - вещ-ва'!D11</f>
        <v>Количество стоматологического персонала на 1000 жителей</v>
      </c>
      <c r="E8" s="897"/>
      <c r="F8" s="897"/>
      <c r="G8" s="897"/>
    </row>
    <row r="9" spans="1:14">
      <c r="A9" s="593" t="s">
        <v>722</v>
      </c>
    </row>
    <row r="10" spans="1:14">
      <c r="A10" s="593" t="s">
        <v>721</v>
      </c>
    </row>
  </sheetData>
  <sheetProtection algorithmName="SHA-512" hashValue="ajpsDC9LITYaVSS04ORb4uiviHf87kNk8L+MbR1EvxxRVXiXlXQdfipI+4sSUgH2+7OVKuGabHkngFSG2qc3MQ==" saltValue="0PQHvzI3+uI28tzVV7NCHQ==" spinCount="100000" sheet="1" objects="1" scenarios="1"/>
  <mergeCells count="3">
    <mergeCell ref="F3:K3"/>
    <mergeCell ref="A2:L2"/>
    <mergeCell ref="D8:G8"/>
  </mergeCells>
  <conditionalFormatting sqref="E5:E6">
    <cfRule type="expression" dxfId="8" priority="5" stopIfTrue="1">
      <formula>AND(B5="y",N5="n")</formula>
    </cfRule>
  </conditionalFormatting>
  <conditionalFormatting sqref="A2">
    <cfRule type="expression" dxfId="7" priority="4" stopIfTrue="1">
      <formula>$A$2&lt;&gt;""</formula>
    </cfRule>
  </conditionalFormatting>
  <dataValidations count="2">
    <dataValidation type="decimal" allowBlank="1" showInputMessage="1" showErrorMessage="1" errorTitle="Input error" error="Use digits and decimal mark only." prompt="Используйте только цифры и десятичную метку" sqref="C5:C6" xr:uid="{00000000-0002-0000-1100-000000000000}">
      <formula1>-9.99999999999999E+22</formula1>
      <formula2>9.99999999999999E+22</formula2>
    </dataValidation>
    <dataValidation type="list" allowBlank="1" showInputMessage="1" showErrorMessage="1" error="Введите только да или нет" prompt="Впишите только да, нет или ?" sqref="B5:B6" xr:uid="{00000000-0002-0000-1100-000001000000}">
      <formula1>yn?</formula1>
    </dataValidation>
  </dataValidations>
  <pageMargins left="0.39370078740157483" right="0.39370078740157483" top="0.74803149606299213" bottom="0.74803149606299213" header="0.31496062992125984" footer="0.31496062992125984"/>
  <pageSetup paperSize="9" scale="84"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 id="{171663B9-D7F6-46C8-B10B-8985F1E572F4}">
            <xm:f>'Вставьте рез. яч. IL2 '!$K77&lt;&gt;""</xm:f>
            <x14:dxf>
              <font>
                <color rgb="FFFF0000"/>
              </font>
            </x14:dxf>
          </x14:cfRule>
          <xm:sqref>A9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D31"/>
  <sheetViews>
    <sheetView workbookViewId="0">
      <selection activeCell="G18" sqref="G18"/>
    </sheetView>
  </sheetViews>
  <sheetFormatPr defaultColWidth="9.1796875" defaultRowHeight="12.5"/>
  <cols>
    <col min="1" max="1" width="66.81640625" style="337" customWidth="1"/>
    <col min="2" max="2" width="8.81640625" style="357" customWidth="1"/>
    <col min="3" max="16384" width="9.1796875" style="337"/>
  </cols>
  <sheetData>
    <row r="1" spans="1:4" ht="26">
      <c r="A1" s="784" t="s">
        <v>1021</v>
      </c>
      <c r="B1" s="790"/>
      <c r="C1" s="791"/>
      <c r="D1" s="203"/>
    </row>
    <row r="2" spans="1:4" s="358" customFormat="1" ht="38.25" customHeight="1">
      <c r="A2" s="736" t="s">
        <v>868</v>
      </c>
      <c r="B2" s="752" t="s">
        <v>869</v>
      </c>
      <c r="C2" s="792"/>
      <c r="D2" s="748" t="s">
        <v>884</v>
      </c>
    </row>
    <row r="3" spans="1:4" ht="13.5" thickBot="1">
      <c r="A3" s="783"/>
      <c r="B3" s="779" t="str">
        <f>quest</f>
        <v>Да/Нет/?</v>
      </c>
      <c r="C3" s="793"/>
      <c r="D3" s="794"/>
    </row>
    <row r="4" spans="1:4">
      <c r="A4" s="737" t="s">
        <v>1022</v>
      </c>
      <c r="B4" s="795"/>
      <c r="C4" s="793"/>
      <c r="D4" s="794"/>
    </row>
    <row r="5" spans="1:4">
      <c r="A5" s="737" t="s">
        <v>1023</v>
      </c>
      <c r="B5" s="796"/>
      <c r="C5" s="793"/>
      <c r="D5" s="794"/>
    </row>
    <row r="6" spans="1:4">
      <c r="A6" s="737" t="s">
        <v>1024</v>
      </c>
      <c r="B6" s="796"/>
      <c r="C6" s="793"/>
      <c r="D6" s="794"/>
    </row>
    <row r="7" spans="1:4">
      <c r="A7" s="737" t="s">
        <v>1025</v>
      </c>
      <c r="B7" s="796"/>
      <c r="C7" s="793"/>
      <c r="D7" s="794"/>
    </row>
    <row r="8" spans="1:4">
      <c r="A8" s="737" t="s">
        <v>1026</v>
      </c>
      <c r="B8" s="796"/>
      <c r="C8" s="793"/>
      <c r="D8" s="794"/>
    </row>
    <row r="9" spans="1:4" ht="25">
      <c r="A9" s="737" t="s">
        <v>1027</v>
      </c>
      <c r="B9" s="796"/>
      <c r="C9" s="793"/>
      <c r="D9" s="462"/>
    </row>
    <row r="10" spans="1:4" ht="37.5">
      <c r="A10" s="737" t="s">
        <v>1028</v>
      </c>
      <c r="B10" s="796"/>
      <c r="C10" s="793"/>
      <c r="D10" s="794"/>
    </row>
    <row r="11" spans="1:4">
      <c r="A11" s="737" t="s">
        <v>1029</v>
      </c>
      <c r="B11" s="796"/>
      <c r="C11" s="793"/>
      <c r="D11" s="794"/>
    </row>
    <row r="12" spans="1:4">
      <c r="A12" s="737" t="s">
        <v>1030</v>
      </c>
      <c r="B12" s="796"/>
      <c r="C12" s="793"/>
      <c r="D12" s="794"/>
    </row>
    <row r="13" spans="1:4">
      <c r="A13" s="737" t="s">
        <v>1031</v>
      </c>
      <c r="B13" s="796"/>
      <c r="C13" s="793"/>
      <c r="D13" s="794"/>
    </row>
    <row r="14" spans="1:4">
      <c r="A14" s="737" t="s">
        <v>1032</v>
      </c>
      <c r="B14" s="796"/>
      <c r="C14" s="793"/>
      <c r="D14" s="794"/>
    </row>
    <row r="15" spans="1:4">
      <c r="A15" s="737" t="s">
        <v>1033</v>
      </c>
      <c r="B15" s="796"/>
      <c r="C15" s="793"/>
      <c r="D15" s="794"/>
    </row>
    <row r="16" spans="1:4">
      <c r="A16" s="737" t="s">
        <v>1034</v>
      </c>
      <c r="B16" s="796"/>
      <c r="C16" s="793"/>
      <c r="D16" s="794"/>
    </row>
    <row r="17" spans="1:4">
      <c r="A17" s="737" t="s">
        <v>1035</v>
      </c>
      <c r="B17" s="796"/>
      <c r="C17" s="793"/>
      <c r="D17" s="794"/>
    </row>
    <row r="18" spans="1:4" ht="25">
      <c r="A18" s="737" t="s">
        <v>1036</v>
      </c>
      <c r="B18" s="796"/>
      <c r="C18" s="793"/>
      <c r="D18" s="794"/>
    </row>
    <row r="19" spans="1:4" ht="25">
      <c r="A19" s="737" t="s">
        <v>1037</v>
      </c>
      <c r="B19" s="796"/>
      <c r="C19" s="793"/>
      <c r="D19" s="794"/>
    </row>
    <row r="20" spans="1:4" ht="25">
      <c r="A20" s="737" t="s">
        <v>1038</v>
      </c>
      <c r="B20" s="796"/>
      <c r="C20" s="793"/>
      <c r="D20" s="794"/>
    </row>
    <row r="21" spans="1:4">
      <c r="A21" s="737" t="s">
        <v>1039</v>
      </c>
      <c r="B21" s="796"/>
      <c r="C21" s="793"/>
      <c r="D21" s="794"/>
    </row>
    <row r="22" spans="1:4" ht="25">
      <c r="A22" s="737" t="s">
        <v>1040</v>
      </c>
      <c r="B22" s="796"/>
      <c r="C22" s="793"/>
      <c r="D22" s="794"/>
    </row>
    <row r="23" spans="1:4">
      <c r="A23" s="737" t="s">
        <v>1041</v>
      </c>
      <c r="B23" s="796"/>
      <c r="C23" s="793"/>
      <c r="D23" s="794"/>
    </row>
    <row r="24" spans="1:4">
      <c r="A24" s="737" t="s">
        <v>1042</v>
      </c>
      <c r="B24" s="796"/>
      <c r="C24" s="793"/>
      <c r="D24" s="794"/>
    </row>
    <row r="25" spans="1:4">
      <c r="A25" s="737" t="s">
        <v>1043</v>
      </c>
      <c r="B25" s="796"/>
      <c r="C25" s="793"/>
      <c r="D25" s="794"/>
    </row>
    <row r="26" spans="1:4">
      <c r="A26" s="737" t="s">
        <v>1044</v>
      </c>
      <c r="B26" s="796"/>
      <c r="C26" s="793"/>
      <c r="D26" s="794"/>
    </row>
    <row r="27" spans="1:4">
      <c r="A27" s="737" t="s">
        <v>1045</v>
      </c>
      <c r="B27" s="796"/>
      <c r="C27" s="793"/>
      <c r="D27" s="794"/>
    </row>
    <row r="28" spans="1:4">
      <c r="A28" s="737" t="s">
        <v>1046</v>
      </c>
      <c r="B28" s="796"/>
      <c r="C28" s="793"/>
      <c r="D28" s="794"/>
    </row>
    <row r="29" spans="1:4">
      <c r="A29" s="737" t="s">
        <v>1047</v>
      </c>
      <c r="B29" s="796"/>
      <c r="C29" s="793"/>
      <c r="D29" s="794"/>
    </row>
    <row r="30" spans="1:4" ht="13" thickBot="1">
      <c r="A30" s="737" t="s">
        <v>1048</v>
      </c>
      <c r="B30" s="797"/>
      <c r="C30" s="793"/>
      <c r="D30" s="794"/>
    </row>
    <row r="31" spans="1:4">
      <c r="A31" s="798"/>
      <c r="B31" s="799"/>
      <c r="C31" s="800"/>
      <c r="D31" s="203"/>
    </row>
  </sheetData>
  <sheetProtection algorithmName="SHA-512" hashValue="vPYFoE7qRp7HSR2rxBB9EFI8V1roG03zPsRpbDE1mpMvu9XJd6qMN3/Oo3SmI+7MPVrduxuQF1zGoVlWhRLb2g==" saltValue="ejQBWK5BZLPHXroDv1Odzw==" spinCount="100000" sheet="1" objects="1" scenarios="1"/>
  <dataValidations count="1">
    <dataValidation allowBlank="1" showInputMessage="1" showErrorMessage="1" prompt="Впишите только да, нет или ?" sqref="B4:B30" xr:uid="{00000000-0002-0000-1200-000000000000}"/>
  </dataValidations>
  <pageMargins left="0.39370078740157483" right="0.39370078740157483" top="0.74803149606299213" bottom="0.74803149606299213" header="0.31496062992125984" footer="0.31496062992125984"/>
  <pageSetup paperSize="9" orientation="portrait" r:id="rId1"/>
  <headerFooter>
    <oddFooter>&amp;L&amp;A
Printed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N91"/>
  <sheetViews>
    <sheetView topLeftCell="A31" workbookViewId="0">
      <selection activeCell="A31" sqref="A31"/>
    </sheetView>
  </sheetViews>
  <sheetFormatPr defaultColWidth="9.1796875" defaultRowHeight="12.5"/>
  <cols>
    <col min="1" max="1" width="46.81640625" style="337" customWidth="1"/>
    <col min="2" max="2" width="10.81640625" style="337" customWidth="1"/>
    <col min="3" max="3" width="12.453125" style="337" customWidth="1"/>
    <col min="4" max="4" width="12.81640625" style="337" customWidth="1"/>
    <col min="5" max="5" width="11.6328125" style="337" customWidth="1"/>
    <col min="6" max="8" width="12.453125" style="337" customWidth="1"/>
    <col min="9" max="9" width="16.1796875" style="337" customWidth="1"/>
    <col min="10" max="10" width="102.1796875" style="337" customWidth="1"/>
    <col min="11" max="11" width="11" style="337" customWidth="1"/>
    <col min="12" max="16384" width="9.1796875" style="337"/>
  </cols>
  <sheetData>
    <row r="1" spans="1:14" ht="13">
      <c r="A1" s="749" t="s">
        <v>1152</v>
      </c>
      <c r="B1" s="203"/>
      <c r="C1" s="203"/>
      <c r="D1" s="203"/>
      <c r="E1" s="203"/>
      <c r="F1" s="203"/>
      <c r="G1" s="203"/>
      <c r="H1" s="203"/>
      <c r="I1" s="203"/>
      <c r="J1" s="203"/>
    </row>
    <row r="2" spans="1:14" ht="13">
      <c r="A2" s="803"/>
      <c r="B2" s="203"/>
      <c r="C2" s="203"/>
      <c r="D2" s="203"/>
      <c r="E2" s="203"/>
      <c r="F2" s="203"/>
      <c r="G2" s="203"/>
      <c r="H2" s="203"/>
      <c r="I2" s="203"/>
      <c r="J2" s="203"/>
    </row>
    <row r="3" spans="1:14" ht="13">
      <c r="A3" s="874" t="s">
        <v>1153</v>
      </c>
      <c r="B3" s="874"/>
      <c r="C3" s="874"/>
      <c r="D3" s="874"/>
      <c r="E3" s="874"/>
      <c r="F3" s="874"/>
      <c r="G3" s="874"/>
      <c r="H3" s="874"/>
      <c r="I3" s="874"/>
      <c r="J3" s="874"/>
    </row>
    <row r="4" spans="1:14" ht="13">
      <c r="A4" s="749" t="s">
        <v>1154</v>
      </c>
      <c r="B4" s="203"/>
      <c r="C4" s="203"/>
      <c r="D4" s="203"/>
      <c r="E4" s="203"/>
      <c r="F4" s="203"/>
      <c r="G4" s="203"/>
      <c r="H4" s="203"/>
      <c r="I4" s="203"/>
      <c r="J4" s="203"/>
    </row>
    <row r="5" spans="1:14" ht="13">
      <c r="A5" s="749" t="s">
        <v>1155</v>
      </c>
      <c r="B5" s="203"/>
      <c r="C5" s="203"/>
      <c r="D5" s="203"/>
      <c r="E5" s="203"/>
      <c r="F5" s="203"/>
      <c r="G5" s="203"/>
      <c r="H5" s="203"/>
      <c r="I5" s="203"/>
      <c r="J5" s="203"/>
    </row>
    <row r="6" spans="1:14" ht="13">
      <c r="A6" s="805" t="s">
        <v>1156</v>
      </c>
      <c r="B6" s="203"/>
      <c r="C6" s="203"/>
      <c r="D6" s="203"/>
      <c r="E6" s="203"/>
      <c r="F6" s="203"/>
      <c r="G6" s="203"/>
      <c r="H6" s="203"/>
      <c r="I6" s="203"/>
      <c r="J6" s="203"/>
    </row>
    <row r="7" spans="1:14" ht="13">
      <c r="A7" s="805" t="s">
        <v>1157</v>
      </c>
      <c r="B7" s="203"/>
      <c r="C7" s="203"/>
      <c r="D7" s="203"/>
      <c r="E7" s="203"/>
      <c r="F7" s="203"/>
      <c r="G7" s="203"/>
      <c r="H7" s="203"/>
      <c r="I7" s="203"/>
      <c r="J7" s="203"/>
    </row>
    <row r="8" spans="1:14" ht="13.5" thickBot="1">
      <c r="A8" s="523"/>
    </row>
    <row r="9" spans="1:14" s="358" customFormat="1" ht="25">
      <c r="A9" s="809" t="s">
        <v>868</v>
      </c>
      <c r="B9" s="810"/>
      <c r="C9" s="811" t="s">
        <v>1158</v>
      </c>
      <c r="D9" s="898" t="s">
        <v>1159</v>
      </c>
      <c r="E9" s="899"/>
      <c r="F9" s="899"/>
      <c r="G9" s="899"/>
      <c r="H9" s="899"/>
      <c r="I9" s="900"/>
      <c r="J9" s="829"/>
      <c r="K9" s="831"/>
      <c r="L9" s="821"/>
      <c r="M9" s="821"/>
      <c r="N9" s="821"/>
    </row>
    <row r="10" spans="1:14" ht="75.5" thickBot="1">
      <c r="A10" s="812"/>
      <c r="B10" s="813" t="s">
        <v>1160</v>
      </c>
      <c r="C10" s="814" t="s">
        <v>1161</v>
      </c>
      <c r="D10" s="815" t="s">
        <v>877</v>
      </c>
      <c r="E10" s="815" t="s">
        <v>878</v>
      </c>
      <c r="F10" s="815" t="s">
        <v>879</v>
      </c>
      <c r="G10" s="814" t="s">
        <v>880</v>
      </c>
      <c r="H10" s="814" t="s">
        <v>881</v>
      </c>
      <c r="I10" s="814" t="s">
        <v>882</v>
      </c>
      <c r="J10" s="827" t="s">
        <v>1162</v>
      </c>
      <c r="K10" s="830" t="s">
        <v>1243</v>
      </c>
      <c r="L10" s="595"/>
    </row>
    <row r="11" spans="1:14" ht="13">
      <c r="A11" s="611" t="str">
        <f>'Этап 2 - Потребление энергии'!A4</f>
        <v>Потребление энергии</v>
      </c>
      <c r="B11" s="612"/>
      <c r="C11" s="612"/>
      <c r="D11" s="612"/>
      <c r="E11" s="612"/>
      <c r="F11" s="612"/>
      <c r="G11" s="612"/>
      <c r="H11" s="612"/>
      <c r="I11" s="612"/>
      <c r="J11" s="832"/>
      <c r="K11" s="828" t="str">
        <f>IF(SUM(C12:I20)+SUM(C22:I24)&lt;&gt;0,"IL2","")</f>
        <v/>
      </c>
    </row>
    <row r="12" spans="1:14">
      <c r="A12" s="524" t="str">
        <f>'Этап 2 - Потребление энергии'!A5</f>
        <v>Сжигание угля на крупных электростанциях</v>
      </c>
      <c r="B12" s="263" t="str">
        <f>'Этап 2 - Потребление энергии'!M5</f>
        <v>5.1.1</v>
      </c>
      <c r="C12" s="532"/>
      <c r="D12" s="532"/>
      <c r="E12" s="532"/>
      <c r="F12" s="532"/>
      <c r="G12" s="532"/>
      <c r="H12" s="532"/>
      <c r="I12" s="532"/>
      <c r="J12" s="598"/>
      <c r="K12" s="601"/>
    </row>
    <row r="13" spans="1:14" ht="25">
      <c r="A13" s="524" t="str">
        <f>'Этап 2 - Потребление энергии'!A8</f>
        <v>Сжигание угля в угольных промышленных котлоагрегатах</v>
      </c>
      <c r="B13" s="263"/>
      <c r="C13" s="532"/>
      <c r="D13" s="532"/>
      <c r="E13" s="532"/>
      <c r="F13" s="532"/>
      <c r="G13" s="532"/>
      <c r="H13" s="532"/>
      <c r="I13" s="532"/>
      <c r="J13" s="598"/>
      <c r="K13" s="601"/>
    </row>
    <row r="14" spans="1:14">
      <c r="A14" s="524" t="str">
        <f>'Этап 2 - Потребление энергии'!A11</f>
        <v>Прочие способы применения угля</v>
      </c>
      <c r="B14" s="263" t="str">
        <f>'Этап 2 - Потребление энергии'!M11</f>
        <v>5.1.2.2</v>
      </c>
      <c r="C14" s="532"/>
      <c r="D14" s="532"/>
      <c r="E14" s="532"/>
      <c r="F14" s="532"/>
      <c r="G14" s="532"/>
      <c r="H14" s="532"/>
      <c r="I14" s="532"/>
      <c r="J14" s="598"/>
      <c r="K14" s="601"/>
    </row>
    <row r="15" spans="1:14" ht="25">
      <c r="A15" s="524" t="str">
        <f>'Этап 2 - Потребление энергии'!A12</f>
        <v>Сжигание/использование нефтяного кокса и тяжелого топлива</v>
      </c>
      <c r="B15" s="263" t="str">
        <f>'Этап 2 - Потребление энергии'!M12</f>
        <v>5.1.3</v>
      </c>
      <c r="C15" s="532"/>
      <c r="D15" s="532"/>
      <c r="E15" s="532"/>
      <c r="F15" s="532"/>
      <c r="G15" s="532"/>
      <c r="H15" s="532"/>
      <c r="I15" s="532"/>
      <c r="J15" s="598"/>
      <c r="K15" s="601"/>
    </row>
    <row r="16" spans="1:14" ht="25">
      <c r="A16" s="524" t="str">
        <f>'Этап 2 - Потребление энергии'!A15</f>
        <v>Сжигание/использование дизельного топлива, бензина, нефти, керосина</v>
      </c>
      <c r="B16" s="263" t="str">
        <f>'Этап 2 - Потребление энергии'!M15</f>
        <v>5.1.3</v>
      </c>
      <c r="C16" s="532"/>
      <c r="D16" s="532"/>
      <c r="E16" s="532"/>
      <c r="F16" s="532"/>
      <c r="G16" s="532"/>
      <c r="H16" s="532"/>
      <c r="I16" s="532"/>
      <c r="J16" s="598"/>
      <c r="K16" s="601"/>
    </row>
    <row r="17" spans="1:11" ht="25">
      <c r="A17" s="524" t="str">
        <f>'Этап 2 - Потребление энергии'!A18</f>
        <v xml:space="preserve">Использование неочищенного или предварительно очищенного природного газа </v>
      </c>
      <c r="B17" s="263" t="str">
        <f>'Этап 2 - Потребление энергии'!M18</f>
        <v>5.1.4</v>
      </c>
      <c r="C17" s="532"/>
      <c r="D17" s="532"/>
      <c r="E17" s="532"/>
      <c r="F17" s="532"/>
      <c r="G17" s="532"/>
      <c r="H17" s="532"/>
      <c r="I17" s="532"/>
      <c r="J17" s="598"/>
      <c r="K17" s="601"/>
    </row>
    <row r="18" spans="1:11" ht="25">
      <c r="A18" s="524" t="str">
        <f>'Этап 2 - Потребление энергии'!A19</f>
        <v>Использование газа, подаваемого по трубопроводу (качество потребителя)</v>
      </c>
      <c r="B18" s="263" t="str">
        <f>'Этап 2 - Потребление энергии'!M19</f>
        <v>5.1.4</v>
      </c>
      <c r="C18" s="532"/>
      <c r="D18" s="532"/>
      <c r="E18" s="532"/>
      <c r="F18" s="532"/>
      <c r="G18" s="532"/>
      <c r="H18" s="532"/>
      <c r="I18" s="532"/>
      <c r="J18" s="598"/>
      <c r="K18" s="601"/>
    </row>
    <row r="19" spans="1:11" ht="25">
      <c r="A19" s="524" t="str">
        <f>'Этап 2 - Потребление энергии'!A20</f>
        <v>Электростанции, работающие на биомассе и производство тепла</v>
      </c>
      <c r="B19" s="263" t="str">
        <f>'Этап 2 - Потребление энергии'!M20</f>
        <v>5.1.6</v>
      </c>
      <c r="C19" s="532"/>
      <c r="D19" s="532"/>
      <c r="E19" s="532"/>
      <c r="F19" s="532"/>
      <c r="G19" s="532"/>
      <c r="H19" s="532"/>
      <c r="I19" s="532"/>
      <c r="J19" s="598"/>
      <c r="K19" s="601"/>
    </row>
    <row r="20" spans="1:11" ht="13" thickBot="1">
      <c r="A20" s="525" t="str">
        <f>'Этап 2 - Потребление энергии'!A21</f>
        <v>Сжигание древесного угля</v>
      </c>
      <c r="B20" s="526" t="str">
        <f>'Этап 2 - Потребление энергии'!M21</f>
        <v>5.1.6</v>
      </c>
      <c r="C20" s="532"/>
      <c r="D20" s="532"/>
      <c r="E20" s="532"/>
      <c r="F20" s="532"/>
      <c r="G20" s="532"/>
      <c r="H20" s="532"/>
      <c r="I20" s="532"/>
      <c r="J20" s="599"/>
      <c r="K20" s="601"/>
    </row>
    <row r="21" spans="1:11" ht="13">
      <c r="A21" s="611" t="str">
        <f>'Этап 2 - Потребление энергии'!A23</f>
        <v>Производство топлива</v>
      </c>
      <c r="B21" s="612"/>
      <c r="C21" s="612"/>
      <c r="D21" s="612"/>
      <c r="E21" s="612"/>
      <c r="F21" s="612"/>
      <c r="G21" s="612"/>
      <c r="H21" s="612"/>
      <c r="I21" s="612"/>
      <c r="J21" s="597"/>
      <c r="K21" s="601"/>
    </row>
    <row r="22" spans="1:11">
      <c r="A22" s="524" t="str">
        <f>'Этап 2 - Потребление энергии'!A24</f>
        <v>Добыча нефти</v>
      </c>
      <c r="B22" s="263" t="str">
        <f>'Этап 2 - Потребление энергии'!M24</f>
        <v>5.1.3</v>
      </c>
      <c r="C22" s="532"/>
      <c r="D22" s="532"/>
      <c r="E22" s="532"/>
      <c r="F22" s="532"/>
      <c r="G22" s="532"/>
      <c r="H22" s="532"/>
      <c r="I22" s="532"/>
      <c r="J22" s="598"/>
      <c r="K22" s="601"/>
    </row>
    <row r="23" spans="1:11">
      <c r="A23" s="524" t="str">
        <f>'Этап 2 - Потребление энергии'!A25</f>
        <v>Нефтепереработка</v>
      </c>
      <c r="B23" s="263" t="str">
        <f>'Этап 2 - Потребление энергии'!M25</f>
        <v>5.1.3</v>
      </c>
      <c r="C23" s="532"/>
      <c r="D23" s="532"/>
      <c r="E23" s="532"/>
      <c r="F23" s="532"/>
      <c r="G23" s="532"/>
      <c r="H23" s="532"/>
      <c r="I23" s="532"/>
      <c r="J23" s="598"/>
      <c r="K23" s="601"/>
    </row>
    <row r="24" spans="1:11" ht="13" thickBot="1">
      <c r="A24" s="525" t="str">
        <f>'Этап 2 - Потребление энергии'!A26</f>
        <v>Добыча и обработка природного газа.</v>
      </c>
      <c r="B24" s="526" t="str">
        <f>'Этап 2 - Потребление энергии'!M26</f>
        <v>5.1.4</v>
      </c>
      <c r="C24" s="532"/>
      <c r="D24" s="532"/>
      <c r="E24" s="532"/>
      <c r="F24" s="532"/>
      <c r="G24" s="532"/>
      <c r="H24" s="532"/>
      <c r="I24" s="532"/>
      <c r="J24" s="599"/>
      <c r="K24" s="601"/>
    </row>
    <row r="25" spans="1:11" ht="13">
      <c r="A25" s="611" t="str">
        <f>'Этап 3 - Металлы - Сырье'!A5</f>
        <v>Производство первичного металла</v>
      </c>
      <c r="B25" s="612"/>
      <c r="C25" s="612"/>
      <c r="D25" s="612"/>
      <c r="E25" s="612"/>
      <c r="F25" s="612"/>
      <c r="G25" s="612"/>
      <c r="H25" s="612"/>
      <c r="I25" s="612"/>
      <c r="J25" s="597"/>
      <c r="K25" s="600" t="str">
        <f>IF(SUM(C26:I34)+SUM(C36:I37)&lt;&gt;0,"IL2","")</f>
        <v/>
      </c>
    </row>
    <row r="26" spans="1:11">
      <c r="A26" s="524" t="str">
        <f>'Этап 3 - Металлы - Сырье'!A6</f>
        <v>(Первичная) экстракция ртути и начальная обработка</v>
      </c>
      <c r="B26" s="263" t="str">
        <f>'Этап 3 - Металлы - Сырье'!M6</f>
        <v>5.2.1</v>
      </c>
      <c r="C26" s="532"/>
      <c r="D26" s="532"/>
      <c r="E26" s="532"/>
      <c r="F26" s="532"/>
      <c r="G26" s="532"/>
      <c r="H26" s="532"/>
      <c r="I26" s="532"/>
      <c r="J26" s="598"/>
      <c r="K26" s="601"/>
    </row>
    <row r="27" spans="1:11">
      <c r="A27" s="524" t="str">
        <f>'Этап 3 - Металлы - Сырье'!A7</f>
        <v>Производство цинка из продуктов обогащения</v>
      </c>
      <c r="B27" s="263" t="str">
        <f>'Этап 3 - Металлы - Сырье'!M7</f>
        <v>5.2.3</v>
      </c>
      <c r="C27" s="532"/>
      <c r="D27" s="532"/>
      <c r="E27" s="532"/>
      <c r="F27" s="532"/>
      <c r="G27" s="532"/>
      <c r="H27" s="532"/>
      <c r="I27" s="532"/>
      <c r="J27" s="598"/>
      <c r="K27" s="601"/>
    </row>
    <row r="28" spans="1:11">
      <c r="A28" s="524" t="str">
        <f>'Этап 3 - Металлы - Сырье'!A10</f>
        <v>Производство меди из продуктов обогащения</v>
      </c>
      <c r="B28" s="263" t="str">
        <f>'Этап 3 - Металлы - Сырье'!M10</f>
        <v>5.2.4</v>
      </c>
      <c r="C28" s="532"/>
      <c r="D28" s="532"/>
      <c r="E28" s="532"/>
      <c r="F28" s="532"/>
      <c r="G28" s="532"/>
      <c r="H28" s="532"/>
      <c r="I28" s="532"/>
      <c r="J28" s="598"/>
      <c r="K28" s="601"/>
    </row>
    <row r="29" spans="1:11">
      <c r="A29" s="524" t="str">
        <f>'Этап 3 - Металлы - Сырье'!A13</f>
        <v>Производство свинца из продуктов обогащения</v>
      </c>
      <c r="B29" s="263" t="str">
        <f>'Этап 3 - Металлы - Сырье'!M13</f>
        <v>5.2.5</v>
      </c>
      <c r="C29" s="532"/>
      <c r="D29" s="532"/>
      <c r="E29" s="532"/>
      <c r="F29" s="532"/>
      <c r="G29" s="532"/>
      <c r="H29" s="532"/>
      <c r="I29" s="532"/>
      <c r="J29" s="598"/>
      <c r="K29" s="601"/>
    </row>
    <row r="30" spans="1:11" ht="25">
      <c r="A30" s="524" t="str">
        <f>'Этап 3 - Металлы - Сырье'!A16</f>
        <v>Добыча золота способами, кроме процесса амальгамирования ртути</v>
      </c>
      <c r="B30" s="263" t="str">
        <f>'Этап 3 - Металлы - Сырье'!M16</f>
        <v>5.2.6</v>
      </c>
      <c r="C30" s="532"/>
      <c r="D30" s="532"/>
      <c r="E30" s="532"/>
      <c r="F30" s="532"/>
      <c r="G30" s="532"/>
      <c r="H30" s="532"/>
      <c r="I30" s="532"/>
      <c r="J30" s="598"/>
      <c r="K30" s="601"/>
    </row>
    <row r="31" spans="1:11" ht="25">
      <c r="A31" s="524" t="str">
        <f>'Этап 3 - Металлы - Сырье'!A17</f>
        <v>Производство глинозема из бокситов (производство алюминия)</v>
      </c>
      <c r="B31" s="263" t="str">
        <f>'Этап 3 - Металлы - Сырье'!M17</f>
        <v>5.2.7</v>
      </c>
      <c r="C31" s="532"/>
      <c r="D31" s="532"/>
      <c r="E31" s="532"/>
      <c r="F31" s="532"/>
      <c r="G31" s="532"/>
      <c r="H31" s="532"/>
      <c r="I31" s="532"/>
      <c r="J31" s="598"/>
      <c r="K31" s="601"/>
    </row>
    <row r="32" spans="1:11" ht="25">
      <c r="A32" s="524" t="str">
        <f>'Этап 3 - Металлы - Сырье'!A18</f>
        <v>Производство первичного черного металла (производство чугуна в болванках)</v>
      </c>
      <c r="B32" s="263" t="str">
        <f>'Этап 3 - Металлы - Сырье'!M18</f>
        <v>5.2.9</v>
      </c>
      <c r="C32" s="532"/>
      <c r="D32" s="532"/>
      <c r="E32" s="532"/>
      <c r="F32" s="532"/>
      <c r="G32" s="532"/>
      <c r="H32" s="532"/>
      <c r="I32" s="532"/>
      <c r="J32" s="598"/>
      <c r="K32" s="601"/>
    </row>
    <row r="33" spans="1:11" ht="25">
      <c r="A33" s="524" t="str">
        <f>'Этап 3 - Металлы - Сырье'!A19</f>
        <v>Добыча золота с помощью процесса амальгамирования ртути - Из недробленой руды</v>
      </c>
      <c r="B33" s="263" t="str">
        <f>'Этап 3 - Металлы - Сырье'!M19</f>
        <v>5.2.2</v>
      </c>
      <c r="C33" s="532"/>
      <c r="D33" s="532"/>
      <c r="E33" s="532"/>
      <c r="F33" s="532"/>
      <c r="G33" s="532"/>
      <c r="H33" s="532"/>
      <c r="I33" s="532"/>
      <c r="J33" s="598"/>
      <c r="K33" s="601"/>
    </row>
    <row r="34" spans="1:11" ht="25.5" thickBot="1">
      <c r="A34" s="525" t="str">
        <f>'Этап 3 - Металлы - Сырье'!A22</f>
        <v>Добыча золота с помощью процесса амальгамирования ртути - Из обогащенной руды</v>
      </c>
      <c r="B34" s="526" t="str">
        <f>'Этап 3 - Металлы - Сырье'!M22</f>
        <v>5.2.2</v>
      </c>
      <c r="C34" s="532"/>
      <c r="D34" s="532"/>
      <c r="E34" s="532"/>
      <c r="F34" s="532"/>
      <c r="G34" s="532"/>
      <c r="H34" s="532"/>
      <c r="I34" s="532"/>
      <c r="J34" s="599"/>
      <c r="K34" s="601"/>
    </row>
    <row r="35" spans="1:11" ht="13">
      <c r="A35" s="611" t="str">
        <f>'Этап 3 - Металлы - Сырье'!A25</f>
        <v>Производство других материалов</v>
      </c>
      <c r="B35" s="612"/>
      <c r="C35" s="612"/>
      <c r="D35" s="612"/>
      <c r="E35" s="612"/>
      <c r="F35" s="612"/>
      <c r="G35" s="612"/>
      <c r="H35" s="612"/>
      <c r="I35" s="612"/>
      <c r="J35" s="597"/>
      <c r="K35" s="601"/>
    </row>
    <row r="36" spans="1:11">
      <c r="A36" s="524" t="str">
        <f>'Этап 3 - Металлы - Сырье'!A26</f>
        <v>Производство цемента</v>
      </c>
      <c r="B36" s="263" t="str">
        <f>'Этап 3 - Металлы - Сырье'!M26</f>
        <v>5.3.1</v>
      </c>
      <c r="C36" s="532"/>
      <c r="D36" s="532"/>
      <c r="E36" s="532"/>
      <c r="F36" s="532"/>
      <c r="G36" s="532"/>
      <c r="H36" s="532"/>
      <c r="I36" s="532"/>
      <c r="J36" s="598"/>
      <c r="K36" s="601"/>
    </row>
    <row r="37" spans="1:11" ht="13" thickBot="1">
      <c r="A37" s="525" t="str">
        <f>'Этап 3 - Металлы - Сырье'!A31</f>
        <v>Производство целлюлозы и бумаги</v>
      </c>
      <c r="B37" s="526" t="str">
        <f>'Этап 3 - Металлы - Сырье'!M31</f>
        <v>5.3.2</v>
      </c>
      <c r="C37" s="532"/>
      <c r="D37" s="532"/>
      <c r="E37" s="532"/>
      <c r="F37" s="532"/>
      <c r="G37" s="532"/>
      <c r="H37" s="532"/>
      <c r="I37" s="532"/>
      <c r="J37" s="599"/>
      <c r="K37" s="601"/>
    </row>
    <row r="38" spans="1:11" ht="13">
      <c r="A38" s="611" t="str">
        <f>'Этап 4-Пром. прим. Hg'!A4</f>
        <v>Производство химических веществ</v>
      </c>
      <c r="B38" s="612"/>
      <c r="C38" s="612"/>
      <c r="D38" s="612"/>
      <c r="E38" s="612"/>
      <c r="F38" s="612"/>
      <c r="G38" s="612"/>
      <c r="H38" s="612"/>
      <c r="I38" s="612"/>
      <c r="J38" s="597"/>
      <c r="K38" s="600" t="str">
        <f>IF(SUM(C39:I41)+SUM(C43:I50)&lt;&gt;0,"IL2","")</f>
        <v/>
      </c>
    </row>
    <row r="39" spans="1:11" ht="25">
      <c r="A39" s="524" t="str">
        <f>'Этап 4-Пром. прим. Hg'!A5</f>
        <v>Производство хлорщелочи с использованием ртутных электролизеров</v>
      </c>
      <c r="B39" s="270" t="str">
        <f>'Этап 4-Пром. прим. Hg'!L5</f>
        <v>5.4.1</v>
      </c>
      <c r="C39" s="532"/>
      <c r="D39" s="532"/>
      <c r="E39" s="532"/>
      <c r="F39" s="532"/>
      <c r="G39" s="532"/>
      <c r="H39" s="532"/>
      <c r="I39" s="532"/>
      <c r="J39" s="598"/>
      <c r="K39" s="601"/>
    </row>
    <row r="40" spans="1:11" ht="25">
      <c r="A40" s="524" t="str">
        <f>'Этап 4-Пром. прим. Hg'!A6</f>
        <v>Производство винилхлорида с помощью ртутного катализатора</v>
      </c>
      <c r="B40" s="270" t="str">
        <f>'Этап 4-Пром. прим. Hg'!L6</f>
        <v>5.4.2</v>
      </c>
      <c r="C40" s="532"/>
      <c r="D40" s="532"/>
      <c r="E40" s="532"/>
      <c r="F40" s="532"/>
      <c r="G40" s="532"/>
      <c r="H40" s="532"/>
      <c r="I40" s="532"/>
      <c r="J40" s="598"/>
      <c r="K40" s="601"/>
    </row>
    <row r="41" spans="1:11" ht="25.5" thickBot="1">
      <c r="A41" s="525" t="str">
        <f>'Этап 4-Пром. прим. Hg'!A7</f>
        <v>Производство ацетальдегида с помощью ртутного катализатора</v>
      </c>
      <c r="B41" s="527" t="str">
        <f>'Этап 4-Пром. прим. Hg'!L7</f>
        <v>5.4.3</v>
      </c>
      <c r="C41" s="532"/>
      <c r="D41" s="532"/>
      <c r="E41" s="532"/>
      <c r="F41" s="532"/>
      <c r="G41" s="532"/>
      <c r="H41" s="532"/>
      <c r="I41" s="532"/>
      <c r="J41" s="599"/>
      <c r="K41" s="601"/>
    </row>
    <row r="42" spans="1:11" ht="13">
      <c r="A42" s="611" t="str">
        <f>'Этап 4-Пром. прим. Hg'!A9</f>
        <v>Производство продукции с содержанием ртути</v>
      </c>
      <c r="B42" s="612"/>
      <c r="C42" s="612"/>
      <c r="D42" s="612"/>
      <c r="E42" s="612"/>
      <c r="F42" s="612"/>
      <c r="G42" s="612"/>
      <c r="H42" s="612"/>
      <c r="I42" s="612"/>
      <c r="J42" s="597"/>
      <c r="K42" s="601"/>
    </row>
    <row r="43" spans="1:11" ht="25">
      <c r="A43" s="524" t="str">
        <f>'Этап 4-Пром. прим. Hg'!A10</f>
        <v xml:space="preserve">Ртутные термометры (медицинские, воздушные, лабораторные, промышленные и т. п.) </v>
      </c>
      <c r="B43" s="278" t="str">
        <f>'Этап 4-Пром. прим. Hg'!L10</f>
        <v>5.5.1</v>
      </c>
      <c r="C43" s="532"/>
      <c r="D43" s="532"/>
      <c r="E43" s="532"/>
      <c r="F43" s="532"/>
      <c r="G43" s="532"/>
      <c r="H43" s="532"/>
      <c r="I43" s="532"/>
      <c r="J43" s="598"/>
      <c r="K43" s="601"/>
    </row>
    <row r="44" spans="1:11">
      <c r="A44" s="524" t="str">
        <f>'Этап 4-Пром. прим. Hg'!A11</f>
        <v xml:space="preserve">Электрические переключатели и реле с ртутью </v>
      </c>
      <c r="B44" s="278" t="str">
        <f>'Этап 4-Пром. прим. Hg'!L11</f>
        <v>5.5.2</v>
      </c>
      <c r="C44" s="532"/>
      <c r="D44" s="532"/>
      <c r="E44" s="532"/>
      <c r="F44" s="532"/>
      <c r="G44" s="532"/>
      <c r="H44" s="532"/>
      <c r="I44" s="532"/>
      <c r="J44" s="598"/>
      <c r="K44" s="601"/>
    </row>
    <row r="45" spans="1:11" ht="25">
      <c r="A45" s="524" t="str">
        <f>'Этап 4-Пром. прим. Hg'!A12</f>
        <v>Источники света с ртутью (флуоресцентные, компактные, прочие: см. руководство)</v>
      </c>
      <c r="B45" s="278" t="str">
        <f>'Этап 4-Пром. прим. Hg'!L12</f>
        <v>5.5.3</v>
      </c>
      <c r="C45" s="532"/>
      <c r="D45" s="532"/>
      <c r="E45" s="532"/>
      <c r="F45" s="532"/>
      <c r="G45" s="532"/>
      <c r="H45" s="532"/>
      <c r="I45" s="532"/>
      <c r="J45" s="598"/>
      <c r="K45" s="601"/>
    </row>
    <row r="46" spans="1:11">
      <c r="A46" s="524" t="str">
        <f>'Этап 4-Пром. прим. Hg'!A13</f>
        <v xml:space="preserve">Ртутные батареи </v>
      </c>
      <c r="B46" s="278" t="str">
        <f>'Этап 4-Пром. прим. Hg'!L13</f>
        <v>5.5.4</v>
      </c>
      <c r="C46" s="532"/>
      <c r="D46" s="532"/>
      <c r="E46" s="532"/>
      <c r="F46" s="532"/>
      <c r="G46" s="532"/>
      <c r="H46" s="532"/>
      <c r="I46" s="532"/>
      <c r="J46" s="598"/>
      <c r="K46" s="601"/>
    </row>
    <row r="47" spans="1:11">
      <c r="A47" s="524" t="str">
        <f>'Этап 4-Пром. прим. Hg'!A14</f>
        <v xml:space="preserve">Ртутные манометры и датчики </v>
      </c>
      <c r="B47" s="270" t="str">
        <f>'Этап 4-Пром. прим. Hg'!L14</f>
        <v>5.6.2</v>
      </c>
      <c r="C47" s="532"/>
      <c r="D47" s="532"/>
      <c r="E47" s="532"/>
      <c r="F47" s="532"/>
      <c r="G47" s="532"/>
      <c r="H47" s="532"/>
      <c r="I47" s="532"/>
      <c r="J47" s="598"/>
      <c r="K47" s="601"/>
    </row>
    <row r="48" spans="1:11">
      <c r="A48" s="524" t="str">
        <f>'Этап 4-Пром. прим. Hg'!A15</f>
        <v xml:space="preserve">Ртутьсодержащие биоциды и пестициды </v>
      </c>
      <c r="B48" s="270" t="str">
        <f>'Этап 4-Пром. прим. Hg'!L15</f>
        <v>5.5.5</v>
      </c>
      <c r="C48" s="532"/>
      <c r="D48" s="532"/>
      <c r="E48" s="532"/>
      <c r="F48" s="532"/>
      <c r="G48" s="532"/>
      <c r="H48" s="532"/>
      <c r="I48" s="532"/>
      <c r="J48" s="598"/>
      <c r="K48" s="601"/>
    </row>
    <row r="49" spans="1:11">
      <c r="A49" s="524" t="str">
        <f>'Этап 4-Пром. прим. Hg'!A16</f>
        <v xml:space="preserve">Ртутьсодержащие краски </v>
      </c>
      <c r="B49" s="270" t="str">
        <f>'Этап 4-Пром. прим. Hg'!L16</f>
        <v>5.5.6</v>
      </c>
      <c r="C49" s="532"/>
      <c r="D49" s="532"/>
      <c r="E49" s="532"/>
      <c r="F49" s="532"/>
      <c r="G49" s="532"/>
      <c r="H49" s="532"/>
      <c r="I49" s="532"/>
      <c r="J49" s="598"/>
      <c r="K49" s="601"/>
    </row>
    <row r="50" spans="1:11" ht="25.5" thickBot="1">
      <c r="A50" s="525" t="str">
        <f>'Этап 4-Пром. прим. Hg'!A17</f>
        <v xml:space="preserve">Кремы для отбеливания кожи и мыло с содержанием элементов ртути </v>
      </c>
      <c r="B50" s="527" t="str">
        <f>'Этап 4-Пром. прим. Hg'!L17</f>
        <v>5.5.7</v>
      </c>
      <c r="C50" s="532"/>
      <c r="D50" s="532"/>
      <c r="E50" s="532"/>
      <c r="F50" s="532"/>
      <c r="G50" s="532"/>
      <c r="H50" s="532"/>
      <c r="I50" s="532"/>
      <c r="J50" s="599"/>
      <c r="K50" s="602"/>
    </row>
    <row r="51" spans="1:11" ht="13">
      <c r="A51" s="611" t="str">
        <f>'Этап 6-Hg-продукция - вещ-ва'!A6</f>
        <v>Использование и утилизация ртутьсодержащей продукции</v>
      </c>
      <c r="B51" s="612"/>
      <c r="C51" s="612"/>
      <c r="D51" s="612"/>
      <c r="E51" s="612"/>
      <c r="F51" s="612"/>
      <c r="G51" s="612"/>
      <c r="H51" s="612"/>
      <c r="I51" s="612"/>
      <c r="J51" s="597"/>
      <c r="K51" s="601" t="str">
        <f>IF(SUM(C52:I63)&lt;&gt;0,"IL2","")</f>
        <v/>
      </c>
    </row>
    <row r="52" spans="1:11" ht="25">
      <c r="A52" s="524" t="str">
        <f>'Этап 6-Hg-продукция - вещ-ва'!A7</f>
        <v>Амальгама для зубных пломб («серебряные» пломбы)</v>
      </c>
      <c r="B52" s="270" t="str">
        <f>'Этап 6-Hg-продукция - вещ-ва'!M7</f>
        <v>5.6.1</v>
      </c>
      <c r="C52" s="532"/>
      <c r="D52" s="532"/>
      <c r="E52" s="532"/>
      <c r="F52" s="532"/>
      <c r="G52" s="532"/>
      <c r="H52" s="532"/>
      <c r="I52" s="532"/>
      <c r="J52" s="598"/>
      <c r="K52" s="601"/>
    </row>
    <row r="53" spans="1:11">
      <c r="A53" s="524" t="str">
        <f>'Этап 6-Hg-продукция - вещ-ва'!A15</f>
        <v>Термометры</v>
      </c>
      <c r="B53" s="270" t="str">
        <f>'Этап 6-Hg-продукция - вещ-ва'!M15</f>
        <v>5.5.1</v>
      </c>
      <c r="C53" s="532"/>
      <c r="D53" s="532"/>
      <c r="E53" s="532"/>
      <c r="F53" s="532"/>
      <c r="G53" s="532"/>
      <c r="H53" s="532"/>
      <c r="I53" s="532"/>
      <c r="J53" s="598"/>
      <c r="K53" s="601"/>
    </row>
    <row r="54" spans="1:11">
      <c r="A54" s="524" t="str">
        <f>'Этап 6-Hg-продукция - вещ-ва'!A20</f>
        <v>Электрические переключатели и реле с ртутью</v>
      </c>
      <c r="B54" s="270" t="str">
        <f>'Этап 6-Hg-продукция - вещ-ва'!M20</f>
        <v>5.5.2</v>
      </c>
      <c r="C54" s="532"/>
      <c r="D54" s="532"/>
      <c r="E54" s="532"/>
      <c r="F54" s="532"/>
      <c r="G54" s="532"/>
      <c r="H54" s="532"/>
      <c r="I54" s="532"/>
      <c r="J54" s="598"/>
      <c r="K54" s="601"/>
    </row>
    <row r="55" spans="1:11">
      <c r="A55" s="524" t="str">
        <f>'Этап 6-Hg-продукция - вещ-ва'!A23</f>
        <v>Ртутьсодержащие источники света</v>
      </c>
      <c r="B55" s="270" t="str">
        <f>'Этап 6-Hg-продукция - вещ-ва'!M23</f>
        <v>5.5.3</v>
      </c>
      <c r="C55" s="532"/>
      <c r="D55" s="532"/>
      <c r="E55" s="532"/>
      <c r="F55" s="532"/>
      <c r="G55" s="532"/>
      <c r="H55" s="532"/>
      <c r="I55" s="532"/>
      <c r="J55" s="598"/>
      <c r="K55" s="601"/>
    </row>
    <row r="56" spans="1:11">
      <c r="A56" s="528" t="str">
        <f>'Этап 6-Hg-продукция - вещ-ва'!A28</f>
        <v>Ртутные батареи</v>
      </c>
      <c r="B56" s="270" t="str">
        <f>'Этап 6-Hg-продукция - вещ-ва'!M28</f>
        <v>5.5.4</v>
      </c>
      <c r="C56" s="532"/>
      <c r="D56" s="532"/>
      <c r="E56" s="532"/>
      <c r="F56" s="532"/>
      <c r="G56" s="532"/>
      <c r="H56" s="532"/>
      <c r="I56" s="532"/>
      <c r="J56" s="598"/>
      <c r="K56" s="601"/>
    </row>
    <row r="57" spans="1:11" ht="25">
      <c r="A57" s="524" t="str">
        <f>'Этап 6-Hg-продукция - вещ-ва'!A33</f>
        <v>Полиуретан (PU, PUR), полученный с помощью ртутного катализатора</v>
      </c>
      <c r="B57" s="270" t="str">
        <f>'Этап 6-Hg-продукция - вещ-ва'!M33</f>
        <v>5.5.5.</v>
      </c>
      <c r="C57" s="532"/>
      <c r="D57" s="532"/>
      <c r="E57" s="532"/>
      <c r="F57" s="532"/>
      <c r="G57" s="532"/>
      <c r="H57" s="532"/>
      <c r="I57" s="532"/>
      <c r="J57" s="598"/>
      <c r="K57" s="601"/>
    </row>
    <row r="58" spans="1:11">
      <c r="A58" s="524" t="str">
        <f>'Этап 6-Hg-продукция - вещ-ва'!A36</f>
        <v>Краски с ртутьсодержащими стабилизаторами</v>
      </c>
      <c r="B58" s="270" t="str">
        <f>'Этап 6-Hg-продукция - вещ-ва'!M36</f>
        <v>5.5.7</v>
      </c>
      <c r="C58" s="532"/>
      <c r="D58" s="532"/>
      <c r="E58" s="532"/>
      <c r="F58" s="532"/>
      <c r="G58" s="532"/>
      <c r="H58" s="532"/>
      <c r="I58" s="532"/>
      <c r="J58" s="598"/>
      <c r="K58" s="601"/>
    </row>
    <row r="59" spans="1:11" ht="25">
      <c r="A59" s="524" t="str">
        <f>'Этап 6-Hg-продукция - вещ-ва'!A38</f>
        <v>Кремы для отбеливания кожи и мыло с содержанием элементов ртути</v>
      </c>
      <c r="B59" s="270" t="str">
        <f>'Этап 6-Hg-продукция - вещ-ва'!M38</f>
        <v>5.5.8</v>
      </c>
      <c r="C59" s="532"/>
      <c r="D59" s="532"/>
      <c r="E59" s="532"/>
      <c r="F59" s="532"/>
      <c r="G59" s="532"/>
      <c r="H59" s="532"/>
      <c r="I59" s="532"/>
      <c r="J59" s="598"/>
      <c r="K59" s="601"/>
    </row>
    <row r="60" spans="1:11">
      <c r="A60" s="524" t="str">
        <f>'Этап 6-Hg-продукция - вещ-ва'!A40</f>
        <v>Медицинские тонометры (ртутные сфигмоманометры)</v>
      </c>
      <c r="B60" s="270" t="str">
        <f>'Этап 6-Hg-продукция - вещ-ва'!M40</f>
        <v>5.6.2</v>
      </c>
      <c r="C60" s="532"/>
      <c r="D60" s="532"/>
      <c r="E60" s="532"/>
      <c r="F60" s="532"/>
      <c r="G60" s="532"/>
      <c r="H60" s="532"/>
      <c r="I60" s="532"/>
      <c r="J60" s="598"/>
      <c r="K60" s="601"/>
    </row>
    <row r="61" spans="1:11">
      <c r="A61" s="524" t="str">
        <f>'Этап 6-Hg-продукция - вещ-ва'!A42</f>
        <v>Прочие ртутные манометры и датчики</v>
      </c>
      <c r="B61" s="270" t="str">
        <f>'Этап 6-Hg-продукция - вещ-ва'!M42</f>
        <v>5.6.2</v>
      </c>
      <c r="C61" s="532"/>
      <c r="D61" s="532"/>
      <c r="E61" s="532"/>
      <c r="F61" s="532"/>
      <c r="G61" s="532"/>
      <c r="H61" s="532"/>
      <c r="I61" s="532"/>
      <c r="J61" s="598"/>
      <c r="K61" s="601"/>
    </row>
    <row r="62" spans="1:11">
      <c r="A62" s="524" t="str">
        <f>'Этап 6-Hg-продукция - вещ-ва'!A45</f>
        <v>Химические вещества для лабораторий</v>
      </c>
      <c r="B62" s="270" t="str">
        <f>'Этап 6-Hg-продукция - вещ-ва'!M45</f>
        <v>5.6.3</v>
      </c>
      <c r="C62" s="532"/>
      <c r="D62" s="532"/>
      <c r="E62" s="532"/>
      <c r="F62" s="532"/>
      <c r="G62" s="532"/>
      <c r="H62" s="532"/>
      <c r="I62" s="532"/>
      <c r="J62" s="598"/>
      <c r="K62" s="601"/>
    </row>
    <row r="63" spans="1:11" ht="25.5" thickBot="1">
      <c r="A63" s="525" t="str">
        <f>'Этап 6-Hg-продукция - вещ-ва'!A48</f>
        <v xml:space="preserve">Прочее ртутьсодержащее лабораторное и медицинское оборудование </v>
      </c>
      <c r="B63" s="527" t="str">
        <f>'Этап 6-Hg-продукция - вещ-ва'!M48</f>
        <v>5.6.3, 5.6.5</v>
      </c>
      <c r="C63" s="532"/>
      <c r="D63" s="532"/>
      <c r="E63" s="532"/>
      <c r="F63" s="532"/>
      <c r="G63" s="532"/>
      <c r="H63" s="532"/>
      <c r="I63" s="532"/>
      <c r="J63" s="599"/>
      <c r="K63" s="601"/>
    </row>
    <row r="64" spans="1:11" ht="13">
      <c r="A64" s="611" t="str">
        <f>'Этап5-Обраб. отходов+перераб.'!A8</f>
        <v>Производство восстановленных металлов</v>
      </c>
      <c r="B64" s="612"/>
      <c r="C64" s="612"/>
      <c r="D64" s="612"/>
      <c r="E64" s="612"/>
      <c r="F64" s="612"/>
      <c r="G64" s="612"/>
      <c r="H64" s="612"/>
      <c r="I64" s="612"/>
      <c r="J64" s="597"/>
      <c r="K64" s="600" t="str">
        <f>IF(SUM(C65:I66)+SUM(C68:I72)+SUM(C74:I76)&lt;&gt;0,"IL2","")</f>
        <v/>
      </c>
    </row>
    <row r="65" spans="1:11" ht="25">
      <c r="A65" s="524" t="str">
        <f>'Этап5-Обраб. отходов+перераб.'!A9</f>
        <v>Производство повторно используемой ртути («вторичное производство»)</v>
      </c>
      <c r="B65" s="270" t="str">
        <f>'Этап5-Обраб. отходов+перераб.'!M9</f>
        <v>5.7.1</v>
      </c>
      <c r="C65" s="532"/>
      <c r="D65" s="532"/>
      <c r="E65" s="532"/>
      <c r="F65" s="532"/>
      <c r="G65" s="532"/>
      <c r="H65" s="532"/>
      <c r="I65" s="532"/>
      <c r="J65" s="598"/>
      <c r="K65" s="601"/>
    </row>
    <row r="66" spans="1:11" ht="25.5" thickBot="1">
      <c r="A66" s="525" t="str">
        <f>'Этап5-Обраб. отходов+перераб.'!A10</f>
        <v>Производство повторно используемых черных металлов (чугун и сталь)</v>
      </c>
      <c r="B66" s="527" t="str">
        <f>'Этап5-Обраб. отходов+перераб.'!M10</f>
        <v>5.7.2</v>
      </c>
      <c r="C66" s="532"/>
      <c r="D66" s="532"/>
      <c r="E66" s="532"/>
      <c r="F66" s="532"/>
      <c r="G66" s="532"/>
      <c r="H66" s="532"/>
      <c r="I66" s="532"/>
      <c r="J66" s="599"/>
      <c r="K66" s="601"/>
    </row>
    <row r="67" spans="1:11" ht="13">
      <c r="A67" s="611" t="str">
        <f>'Этап5-Обраб. отходов+перераб.'!A12</f>
        <v>Сжигание отходов</v>
      </c>
      <c r="B67" s="612"/>
      <c r="C67" s="612"/>
      <c r="D67" s="612"/>
      <c r="E67" s="612"/>
      <c r="F67" s="612"/>
      <c r="G67" s="612"/>
      <c r="H67" s="612"/>
      <c r="I67" s="612"/>
      <c r="J67" s="597"/>
      <c r="K67" s="601"/>
    </row>
    <row r="68" spans="1:11">
      <c r="A68" s="528" t="s">
        <v>447</v>
      </c>
      <c r="B68" s="270" t="str">
        <f>'Этап5-Обраб. отходов+перераб.'!M13</f>
        <v>5.8.1</v>
      </c>
      <c r="C68" s="532"/>
      <c r="D68" s="532"/>
      <c r="E68" s="532"/>
      <c r="F68" s="532"/>
      <c r="G68" s="532"/>
      <c r="H68" s="532"/>
      <c r="I68" s="532"/>
      <c r="J68" s="598"/>
      <c r="K68" s="601"/>
    </row>
    <row r="69" spans="1:11">
      <c r="A69" s="528" t="s">
        <v>448</v>
      </c>
      <c r="B69" s="270" t="str">
        <f>'Этап5-Обраб. отходов+перераб.'!M16</f>
        <v>5.8.2</v>
      </c>
      <c r="C69" s="532"/>
      <c r="D69" s="532"/>
      <c r="E69" s="532"/>
      <c r="F69" s="532"/>
      <c r="G69" s="532"/>
      <c r="H69" s="532"/>
      <c r="I69" s="532"/>
      <c r="J69" s="598"/>
      <c r="K69" s="601"/>
    </row>
    <row r="70" spans="1:11">
      <c r="A70" s="528" t="s">
        <v>449</v>
      </c>
      <c r="B70" s="270" t="str">
        <f>'Этап5-Обраб. отходов+перераб.'!M19</f>
        <v>5.8.3</v>
      </c>
      <c r="C70" s="532"/>
      <c r="D70" s="532"/>
      <c r="E70" s="532"/>
      <c r="F70" s="532"/>
      <c r="G70" s="532"/>
      <c r="H70" s="532"/>
      <c r="I70" s="532"/>
      <c r="J70" s="598"/>
      <c r="K70" s="601"/>
    </row>
    <row r="71" spans="1:11">
      <c r="A71" s="528" t="s">
        <v>450</v>
      </c>
      <c r="B71" s="270" t="str">
        <f>'Этап5-Обраб. отходов+перераб.'!M22</f>
        <v>5.8.4</v>
      </c>
      <c r="C71" s="532"/>
      <c r="D71" s="532"/>
      <c r="E71" s="532"/>
      <c r="F71" s="532"/>
      <c r="G71" s="532"/>
      <c r="H71" s="532"/>
      <c r="I71" s="532"/>
      <c r="J71" s="598"/>
      <c r="K71" s="601"/>
    </row>
    <row r="72" spans="1:11" ht="13" thickBot="1">
      <c r="A72" s="607" t="s">
        <v>451</v>
      </c>
      <c r="B72" s="608" t="str">
        <f>'Этап5-Обраб. отходов+перераб.'!M23</f>
        <v>5.8.5</v>
      </c>
      <c r="C72" s="609"/>
      <c r="D72" s="609"/>
      <c r="E72" s="609"/>
      <c r="F72" s="609"/>
      <c r="G72" s="609"/>
      <c r="H72" s="609"/>
      <c r="I72" s="609"/>
      <c r="J72" s="610"/>
      <c r="K72" s="601"/>
    </row>
    <row r="73" spans="1:11" ht="13">
      <c r="A73" s="611" t="str">
        <f>'Этап5-Обраб. отходов+перераб.'!A25</f>
        <v>Размещение отходов/ссыпание отходов в отвал и обработка сточных вод</v>
      </c>
      <c r="B73" s="612"/>
      <c r="C73" s="612"/>
      <c r="D73" s="612"/>
      <c r="E73" s="612"/>
      <c r="F73" s="612"/>
      <c r="G73" s="612"/>
      <c r="H73" s="612"/>
      <c r="I73" s="612"/>
      <c r="J73" s="603"/>
      <c r="K73" s="601"/>
    </row>
    <row r="74" spans="1:11">
      <c r="A74" s="528" t="s">
        <v>441</v>
      </c>
      <c r="B74" s="270" t="str">
        <f>'Этап5-Обраб. отходов+перераб.'!M26</f>
        <v>5.9.1</v>
      </c>
      <c r="C74" s="532"/>
      <c r="D74" s="532"/>
      <c r="E74" s="532"/>
      <c r="F74" s="532"/>
      <c r="G74" s="532"/>
      <c r="H74" s="532"/>
      <c r="I74" s="532"/>
      <c r="J74" s="604"/>
      <c r="K74" s="601"/>
    </row>
    <row r="75" spans="1:11">
      <c r="A75" s="528" t="s">
        <v>446</v>
      </c>
      <c r="B75" s="270" t="str">
        <f>'Этап5-Обраб. отходов+перераб.'!M27</f>
        <v>5.9.4</v>
      </c>
      <c r="C75" s="532"/>
      <c r="D75" s="532"/>
      <c r="E75" s="532"/>
      <c r="F75" s="532"/>
      <c r="G75" s="532"/>
      <c r="H75" s="532"/>
      <c r="I75" s="532"/>
      <c r="J75" s="604"/>
      <c r="K75" s="601"/>
    </row>
    <row r="76" spans="1:11" ht="13" thickBot="1">
      <c r="A76" s="529" t="s">
        <v>440</v>
      </c>
      <c r="B76" s="527" t="str">
        <f>'Этап5-Обраб. отходов+перераб.'!M29</f>
        <v>5.9.5</v>
      </c>
      <c r="C76" s="605"/>
      <c r="D76" s="605"/>
      <c r="E76" s="605"/>
      <c r="F76" s="605"/>
      <c r="G76" s="605"/>
      <c r="H76" s="605"/>
      <c r="I76" s="605"/>
      <c r="J76" s="606"/>
      <c r="K76" s="602"/>
    </row>
    <row r="77" spans="1:11" ht="13">
      <c r="A77" s="611" t="str">
        <f>'Этап 7 - Крематории-кладбища'!A4</f>
        <v>Крематории и кладбища</v>
      </c>
      <c r="B77" s="613"/>
      <c r="C77" s="613"/>
      <c r="D77" s="613"/>
      <c r="E77" s="613"/>
      <c r="F77" s="613"/>
      <c r="G77" s="613"/>
      <c r="H77" s="613"/>
      <c r="I77" s="613"/>
      <c r="J77" s="603"/>
      <c r="K77" s="601" t="str">
        <f>IF(SUM(C78:I79)&lt;&gt;0,"IL2","")</f>
        <v/>
      </c>
    </row>
    <row r="78" spans="1:11">
      <c r="A78" s="524" t="str">
        <f>'Этап 7 - Крематории-кладбища'!A5</f>
        <v>Крематории</v>
      </c>
      <c r="B78" s="270" t="str">
        <f>'Этап 7 - Крематории-кладбища'!L5</f>
        <v>5.10.1</v>
      </c>
      <c r="C78" s="532"/>
      <c r="D78" s="532"/>
      <c r="E78" s="532"/>
      <c r="F78" s="532"/>
      <c r="G78" s="532"/>
      <c r="H78" s="532"/>
      <c r="I78" s="532"/>
      <c r="J78" s="604"/>
      <c r="K78" s="601"/>
    </row>
    <row r="79" spans="1:11" ht="13" thickBot="1">
      <c r="A79" s="525" t="str">
        <f>'Этап 7 - Крематории-кладбища'!A6</f>
        <v>Кладбища</v>
      </c>
      <c r="B79" s="527" t="str">
        <f>'Этап 7 - Крематории-кладбища'!L6</f>
        <v>5.10.2</v>
      </c>
      <c r="C79" s="605"/>
      <c r="D79" s="605"/>
      <c r="E79" s="605"/>
      <c r="F79" s="605"/>
      <c r="G79" s="605"/>
      <c r="H79" s="605"/>
      <c r="I79" s="605"/>
      <c r="J79" s="606"/>
      <c r="K79" s="602"/>
    </row>
    <row r="80" spans="1:11">
      <c r="A80" s="321"/>
      <c r="C80" s="3"/>
    </row>
    <row r="81" spans="1:11">
      <c r="A81" s="321"/>
    </row>
    <row r="82" spans="1:11">
      <c r="K82" s="466"/>
    </row>
    <row r="85" spans="1:11">
      <c r="A85" s="321"/>
    </row>
    <row r="86" spans="1:11">
      <c r="A86" s="321"/>
    </row>
    <row r="87" spans="1:11">
      <c r="A87" s="321"/>
      <c r="K87" s="466"/>
    </row>
    <row r="88" spans="1:11">
      <c r="A88" s="321"/>
    </row>
    <row r="89" spans="1:11">
      <c r="K89" s="466"/>
    </row>
    <row r="91" spans="1:11">
      <c r="K91" s="466"/>
    </row>
  </sheetData>
  <sheetProtection algorithmName="SHA-512" hashValue="z1bPKyqiqKmgUuYSUKhkXVCAR1qef4duJ/yQKTNzuEaVj4b50qwaUz82IFFRwAWpiWJ8w51qwYae090z3kx/5A==" saltValue="wTiOdtM1BLYYS+fx0ry27A==" spinCount="100000" sheet="1" objects="1" scenarios="1"/>
  <mergeCells count="2">
    <mergeCell ref="D9:I9"/>
    <mergeCell ref="A3:J3"/>
  </mergeCells>
  <dataValidations count="2">
    <dataValidation type="decimal" allowBlank="1" showInputMessage="1" showErrorMessage="1" errorTitle="Input error" error="Use digits and decimal mark only." prompt="Используйте только цифры и десятичную метку" sqref="C12:I20 C22:I24 C26:I34 C36:I37 C39:I41 C43:I50 C65:I66 C68:I72 C74:I76 C78:I79" xr:uid="{00000000-0002-0000-1300-000000000000}">
      <formula1>-9.99999999999999E+22</formula1>
      <formula2>9.99999999999999E+22</formula2>
    </dataValidation>
    <dataValidation type="decimal" allowBlank="1" showInputMessage="1" showErrorMessage="1" errorTitle="Input error" error="Use digits and decimal mark only." prompt="Используйте только цифры и десятичную меткуly." sqref="C52:I63" xr:uid="{00000000-0002-0000-1300-000001000000}">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40"/>
  <sheetViews>
    <sheetView zoomScaleNormal="100" zoomScaleSheetLayoutView="80" workbookViewId="0">
      <selection activeCell="B5" sqref="B5"/>
    </sheetView>
  </sheetViews>
  <sheetFormatPr defaultColWidth="9.1796875" defaultRowHeight="12.5" outlineLevelRow="1"/>
  <cols>
    <col min="1" max="1" width="29.6328125" style="337" customWidth="1"/>
    <col min="2" max="2" width="11.1796875" style="357" customWidth="1"/>
    <col min="3" max="3" width="16" style="337" customWidth="1"/>
    <col min="4" max="4" width="24.1796875" style="358" customWidth="1"/>
    <col min="5" max="5" width="23" style="337" customWidth="1"/>
    <col min="6" max="6" width="15.1796875" style="337" customWidth="1"/>
    <col min="7" max="12" width="16.81640625" style="337" customWidth="1"/>
    <col min="13" max="13" width="7" style="337" customWidth="1"/>
    <col min="14" max="14" width="9.1796875" style="337" customWidth="1"/>
    <col min="15" max="15" width="1" style="337" hidden="1" customWidth="1"/>
    <col min="16" max="16" width="20.1796875" style="337" customWidth="1"/>
    <col min="17" max="16384" width="9.1796875" style="337"/>
  </cols>
  <sheetData>
    <row r="1" spans="1:17" ht="13">
      <c r="A1" s="749" t="s">
        <v>867</v>
      </c>
      <c r="B1" s="750"/>
      <c r="C1" s="203"/>
      <c r="D1" s="755"/>
      <c r="E1" s="203"/>
      <c r="F1" s="203"/>
      <c r="G1" s="203"/>
      <c r="H1" s="203"/>
      <c r="I1" s="203"/>
      <c r="J1" s="203"/>
      <c r="K1" s="203"/>
      <c r="L1" s="203"/>
      <c r="M1" s="203"/>
    </row>
    <row r="2" spans="1:17" ht="30" customHeight="1">
      <c r="A2" s="878" t="str">
        <f>IF(ISNA(MATCH("n",O5:O26,0)),"",trans_warning)</f>
        <v/>
      </c>
      <c r="B2" s="879"/>
      <c r="C2" s="879"/>
      <c r="D2" s="879"/>
      <c r="E2" s="879"/>
      <c r="F2" s="879"/>
      <c r="G2" s="879"/>
      <c r="H2" s="879"/>
      <c r="I2" s="879"/>
      <c r="J2" s="879"/>
      <c r="K2" s="879"/>
      <c r="L2" s="879"/>
      <c r="M2" s="880"/>
    </row>
    <row r="3" spans="1:17" s="358" customFormat="1" ht="56.25" customHeight="1">
      <c r="A3" s="766" t="s">
        <v>868</v>
      </c>
      <c r="B3" s="767" t="s">
        <v>869</v>
      </c>
      <c r="C3" s="768" t="s">
        <v>870</v>
      </c>
      <c r="D3" s="717"/>
      <c r="E3" s="769"/>
      <c r="F3" s="769" t="s">
        <v>871</v>
      </c>
      <c r="G3" s="876" t="s">
        <v>872</v>
      </c>
      <c r="H3" s="877"/>
      <c r="I3" s="877"/>
      <c r="J3" s="877"/>
      <c r="K3" s="877"/>
      <c r="L3" s="877"/>
      <c r="M3" s="766"/>
      <c r="N3" s="770"/>
      <c r="O3" s="770"/>
    </row>
    <row r="4" spans="1:17" ht="65.5" thickBot="1">
      <c r="A4" s="771" t="s">
        <v>873</v>
      </c>
      <c r="B4" s="716" t="str">
        <f>quest</f>
        <v>Да/Нет/?</v>
      </c>
      <c r="C4" s="772" t="s">
        <v>874</v>
      </c>
      <c r="D4" s="773" t="s">
        <v>875</v>
      </c>
      <c r="E4" s="722" t="s">
        <v>1187</v>
      </c>
      <c r="F4" s="768" t="s">
        <v>876</v>
      </c>
      <c r="G4" s="774" t="s">
        <v>877</v>
      </c>
      <c r="H4" s="774" t="s">
        <v>878</v>
      </c>
      <c r="I4" s="774" t="s">
        <v>879</v>
      </c>
      <c r="J4" s="768" t="s">
        <v>880</v>
      </c>
      <c r="K4" s="768" t="s">
        <v>881</v>
      </c>
      <c r="L4" s="768" t="s">
        <v>882</v>
      </c>
      <c r="M4" s="766" t="s">
        <v>883</v>
      </c>
      <c r="N4" s="775" t="s">
        <v>884</v>
      </c>
      <c r="O4" s="353"/>
    </row>
    <row r="5" spans="1:17" ht="25.5" thickBot="1">
      <c r="A5" s="753" t="s">
        <v>897</v>
      </c>
      <c r="B5" s="401"/>
      <c r="C5" s="400"/>
      <c r="D5" s="765" t="s">
        <v>909</v>
      </c>
      <c r="E5" s="668"/>
      <c r="F5" s="456" t="str">
        <f>IF(OR($B5=yes,$B5=yes),'5-1 Fuels'!$K$6, IF(OR($B5=no,$B5=no),"-", IF($B5=que,que, pres)))</f>
        <v>Присутствует?</v>
      </c>
      <c r="G5" s="457" t="str">
        <f>IF(OR($B5=yes,$B5=yes),'5-1 Fuels'!V6, IF(OR($B5=no,$B5=no),"-", IF($B5=que,que, pres)))</f>
        <v>Присутствует?</v>
      </c>
      <c r="H5" s="457" t="str">
        <f>IF(OR($B5=yes,$B5=yes),'5-1 Fuels'!W6, IF(OR($B5=no,$B5=no),"-", IF($B5=que,que, pres)))</f>
        <v>Присутствует?</v>
      </c>
      <c r="I5" s="457" t="str">
        <f>IF(OR($B5=yes,$B5=yes),'5-1 Fuels'!X6, IF(OR($B5=no,$B5=no),"-", IF($B5=que,que, pres)))</f>
        <v>Присутствует?</v>
      </c>
      <c r="J5" s="457" t="str">
        <f>IF(OR($B5=yes,$B5=yes),'5-1 Fuels'!Y6, IF(OR($B5=no,$B5=no),"-", IF($B5=que,que, pres)))</f>
        <v>Присутствует?</v>
      </c>
      <c r="K5" s="457" t="str">
        <f>IF(OR($B5=yes,$B5=yes),'5-1 Fuels'!Z6, IF(OR($B5=no,$B5=no),"-", IF($B5=que,que, pres)))</f>
        <v>Присутствует?</v>
      </c>
      <c r="L5" s="457" t="str">
        <f>IF(OR($B5=yes,$B5=yes),'5-1 Fuels'!AA6, IF(OR($B5=no,$B5=no),"-", IF($B5=que,que, pres)))</f>
        <v>Присутствует?</v>
      </c>
      <c r="M5" s="270" t="str">
        <f>'5-1 Fuels'!B6</f>
        <v>5.1.1</v>
      </c>
      <c r="N5" s="459"/>
      <c r="O5" s="337" t="str">
        <f>INDEX('Range-thresholds'!$G$6:$G$73,MATCH(A5,'Range-thresholds'!$A$6:$A$73,0))</f>
        <v/>
      </c>
      <c r="P5" s="321"/>
      <c r="Q5" s="466"/>
    </row>
    <row r="6" spans="1:17" ht="62.5" outlineLevel="1">
      <c r="A6" s="268"/>
      <c r="B6" s="650"/>
      <c r="C6" s="348"/>
      <c r="D6" s="654"/>
      <c r="E6" s="676" t="s">
        <v>1190</v>
      </c>
      <c r="F6" s="655"/>
      <c r="G6" s="655" t="s">
        <v>1192</v>
      </c>
      <c r="H6" s="655" t="s">
        <v>1193</v>
      </c>
      <c r="I6" s="655" t="s">
        <v>1194</v>
      </c>
      <c r="J6" s="655" t="s">
        <v>1195</v>
      </c>
      <c r="K6" s="655" t="s">
        <v>1196</v>
      </c>
      <c r="L6" s="655" t="s">
        <v>1197</v>
      </c>
      <c r="M6" s="270"/>
      <c r="N6" s="459"/>
      <c r="P6" s="321"/>
    </row>
    <row r="7" spans="1:17" ht="38" outlineLevel="1" thickBot="1">
      <c r="A7" s="268"/>
      <c r="B7" s="651"/>
      <c r="C7" s="345"/>
      <c r="D7" s="656" t="s">
        <v>1198</v>
      </c>
      <c r="E7" s="655" t="s">
        <v>1191</v>
      </c>
      <c r="F7" s="655"/>
      <c r="G7" s="658">
        <f>100-H7-I7-J7-K7-L7</f>
        <v>0</v>
      </c>
      <c r="H7" s="662">
        <v>100</v>
      </c>
      <c r="I7" s="662"/>
      <c r="J7" s="662"/>
      <c r="K7" s="662"/>
      <c r="L7" s="662"/>
      <c r="M7" s="695" t="s">
        <v>1257</v>
      </c>
      <c r="N7" s="459"/>
      <c r="P7" s="321"/>
    </row>
    <row r="8" spans="1:17" ht="25.5" thickBot="1">
      <c r="A8" s="596" t="s">
        <v>1188</v>
      </c>
      <c r="B8" s="617"/>
      <c r="C8" s="400"/>
      <c r="D8" s="765" t="s">
        <v>909</v>
      </c>
      <c r="E8" s="668"/>
      <c r="F8" s="456" t="str">
        <f>IF(OR($B8=yes,$B8=yes),'5-1 Fuels'!K16, IF(OR($B8=no,$B8=no),"-", IF($B8=que,que, pres)))</f>
        <v>Присутствует?</v>
      </c>
      <c r="G8" s="457" t="str">
        <f>IF(OR($B8=yes,$B8=yes),'5-1 Fuels'!V16, IF(OR($B8=no,$B8=no),"-", IF($B8=que,que, pres)))</f>
        <v>Присутствует?</v>
      </c>
      <c r="H8" s="457" t="str">
        <f>IF(OR($B8=yes,$B8=yes),'5-1 Fuels'!W16, IF(OR($B8=no,$B8=no),"-", IF($B8=que,que, pres)))</f>
        <v>Присутствует?</v>
      </c>
      <c r="I8" s="457" t="str">
        <f>IF(OR($B8=yes,$B8=yes),'5-1 Fuels'!X16, IF(OR($B8=no,$B8=no),"-", IF($B8=que,que, pres)))</f>
        <v>Присутствует?</v>
      </c>
      <c r="J8" s="457" t="str">
        <f>IF(OR($B8=yes,$B8=yes),'5-1 Fuels'!Y16, IF(OR($B8=no,$B8=no),"-", IF($B8=que,que, pres)))</f>
        <v>Присутствует?</v>
      </c>
      <c r="K8" s="457" t="str">
        <f>IF(OR($B8=yes,$B8=yes),'5-1 Fuels'!Z16, IF(OR($B8=no,$B8=no),"-", IF($B8=que,que, pres)))</f>
        <v>Присутствует?</v>
      </c>
      <c r="L8" s="457" t="str">
        <f>IF(OR($B8=yes,$B8=yes),'5-1 Fuels'!AA16, IF(OR($B8=no,$B8=no),"-", IF($B8=que,que, pres)))</f>
        <v>Присутствует?</v>
      </c>
      <c r="M8" s="270" t="str">
        <f>'5-1 Fuels'!B16</f>
        <v>5.1.2.1</v>
      </c>
      <c r="N8" s="459"/>
      <c r="O8" s="337">
        <f>INDEX('Range-thresholds'!$G$6:$G$73,MATCH(A8,'Range-thresholds'!$A$6:$A$73,0))</f>
        <v>0</v>
      </c>
      <c r="P8" s="321"/>
      <c r="Q8" s="466"/>
    </row>
    <row r="9" spans="1:17" ht="62.5" outlineLevel="1">
      <c r="A9" s="268"/>
      <c r="B9" s="652"/>
      <c r="C9" s="348"/>
      <c r="D9" s="533"/>
      <c r="E9" s="676" t="s">
        <v>1190</v>
      </c>
      <c r="F9" s="655"/>
      <c r="G9" s="655" t="s">
        <v>1192</v>
      </c>
      <c r="H9" s="655" t="s">
        <v>1193</v>
      </c>
      <c r="I9" s="655" t="s">
        <v>1194</v>
      </c>
      <c r="J9" s="655" t="s">
        <v>1195</v>
      </c>
      <c r="K9" s="655" t="s">
        <v>1196</v>
      </c>
      <c r="L9" s="655" t="s">
        <v>1197</v>
      </c>
      <c r="M9" s="270"/>
      <c r="N9" s="459"/>
      <c r="P9" s="321"/>
    </row>
    <row r="10" spans="1:17" ht="38" outlineLevel="1" thickBot="1">
      <c r="A10" s="268"/>
      <c r="B10" s="653"/>
      <c r="C10" s="345"/>
      <c r="D10" s="656" t="s">
        <v>1198</v>
      </c>
      <c r="E10" s="655" t="s">
        <v>1191</v>
      </c>
      <c r="F10" s="655"/>
      <c r="G10" s="658">
        <f>100-H10-I10-J10-K10-L10</f>
        <v>100</v>
      </c>
      <c r="H10" s="662">
        <v>0</v>
      </c>
      <c r="I10" s="662">
        <v>0</v>
      </c>
      <c r="J10" s="662"/>
      <c r="K10" s="662"/>
      <c r="L10" s="662"/>
      <c r="M10" s="701" t="s">
        <v>1257</v>
      </c>
      <c r="N10" s="459"/>
      <c r="P10" s="321"/>
    </row>
    <row r="11" spans="1:17" ht="25.5" thickBot="1">
      <c r="A11" s="737" t="s">
        <v>898</v>
      </c>
      <c r="B11" s="614"/>
      <c r="C11" s="376"/>
      <c r="D11" s="765" t="s">
        <v>910</v>
      </c>
      <c r="E11" s="343"/>
      <c r="F11" s="456" t="str">
        <f>IF(OR($B11=yes,$B11=yes),'5-1 Fuels'!K26, IF(OR($B11=no,$B11=no),"-", IF($B11=que,que, pres)))</f>
        <v>Присутствует?</v>
      </c>
      <c r="G11" s="457" t="str">
        <f>IF(OR($B11=yes,$B11=yes),'5-1 Fuels'!V26, IF(OR($B11=no,$B11=no),"-", IF($B11=que,que, pres)))</f>
        <v>Присутствует?</v>
      </c>
      <c r="H11" s="457" t="str">
        <f>IF(OR($B11=yes,$B11=yes),'5-1 Fuels'!W26, IF(OR($B11=no,$B11=no),"-", IF($B11=que,que, pres)))</f>
        <v>Присутствует?</v>
      </c>
      <c r="I11" s="457" t="str">
        <f>IF(OR($B11=yes,$B11=yes),'5-1 Fuels'!X26, IF(OR($B11=no,$B11=no),"-", IF($B11=que,que, pres)))</f>
        <v>Присутствует?</v>
      </c>
      <c r="J11" s="457" t="str">
        <f>IF(OR($B11=yes,$B11=yes),'5-1 Fuels'!Y26, IF(OR($B11=no,$B11=no),"-", IF($B11=que,que, pres)))</f>
        <v>Присутствует?</v>
      </c>
      <c r="K11" s="457" t="str">
        <f>IF(OR($B11=yes,$B11=yes),'5-1 Fuels'!Z26, IF(OR($B11=no,$B11=no),"-", IF($B11=que,que, pres)))</f>
        <v>Присутствует?</v>
      </c>
      <c r="L11" s="457" t="str">
        <f>IF(OR($B11=yes,$B11=yes),'5-1 Fuels'!AA26, IF(OR($B11=no,$B11=no),"-", IF($B11=que,que, pres)))</f>
        <v>Присутствует?</v>
      </c>
      <c r="M11" s="270" t="str">
        <f>'5-1 Fuels'!B26</f>
        <v>5.1.2.2</v>
      </c>
      <c r="N11" s="458"/>
      <c r="O11" s="337" t="str">
        <f>INDEX('Range-thresholds'!$G$6:$G$73,MATCH(A11,'Range-thresholds'!$A$6:$A$73,0))</f>
        <v/>
      </c>
      <c r="Q11" s="466"/>
    </row>
    <row r="12" spans="1:17" ht="38" thickBot="1">
      <c r="A12" s="737" t="s">
        <v>899</v>
      </c>
      <c r="B12" s="615"/>
      <c r="C12" s="397"/>
      <c r="D12" s="765" t="s">
        <v>911</v>
      </c>
      <c r="E12" s="668"/>
      <c r="F12" s="456" t="str">
        <f>IF(OR($B12=yes,$B12=yes),SUM('5-1 Fuels'!K38:K41), IF(OR($B12=no,$B12=no),"-", IF($B12=que,que, pres)))</f>
        <v>Присутствует?</v>
      </c>
      <c r="G12" s="457" t="str">
        <f>IF(OR($B12=yes,$B12=yes),SUM('5-1 Fuels'!V38:V41), IF(OR($B12=no,$B12=no),"-", IF($B12=que,que, pres)))</f>
        <v>Присутствует?</v>
      </c>
      <c r="H12" s="457" t="str">
        <f>IF(OR($B12=yes,$B12=yes),SUM('5-1 Fuels'!W38:W41), IF(OR($B12=no,$B12=no),"-", IF($B12=que,que, pres)))</f>
        <v>Присутствует?</v>
      </c>
      <c r="I12" s="457" t="str">
        <f>IF(OR($B12=yes,$B12=yes),SUM('5-1 Fuels'!X38:X41), IF(OR($B12=no,$B12=no),"-", IF($B12=que,que, pres)))</f>
        <v>Присутствует?</v>
      </c>
      <c r="J12" s="457" t="str">
        <f>IF(OR($B12=yes,$B12=yes),SUM('5-1 Fuels'!Y38:Y41), IF(OR($B12=no,$B12=no),"-", IF($B12=que,que, pres)))</f>
        <v>Присутствует?</v>
      </c>
      <c r="K12" s="457" t="str">
        <f>IF(OR($B12=yes,$B12=yes),SUM('5-1 Fuels'!Z38:Z41), IF(OR($B12=no,$B12=no),"-", IF($B12=que,que, pres)))</f>
        <v>Присутствует?</v>
      </c>
      <c r="L12" s="457" t="str">
        <f>IF(OR($B12=yes,$B12=yes),SUM('5-1 Fuels'!AA38:AA41), IF(OR($B12=no,$B12=no),"-", IF($B12=que,que, pres)))</f>
        <v>Присутствует?</v>
      </c>
      <c r="M12" s="270" t="str">
        <f>'5-1 Fuels'!B34</f>
        <v>5.1.3</v>
      </c>
      <c r="N12" s="458"/>
      <c r="O12" s="337" t="str">
        <f>INDEX('Range-thresholds'!$G$6:$G$73,MATCH(A12,'Range-thresholds'!$A$6:$A$73,0))</f>
        <v/>
      </c>
      <c r="Q12" s="466"/>
    </row>
    <row r="13" spans="1:17" ht="100" outlineLevel="1">
      <c r="A13" s="273"/>
      <c r="B13" s="650"/>
      <c r="C13" s="348"/>
      <c r="D13" s="654"/>
      <c r="E13" s="676" t="s">
        <v>1190</v>
      </c>
      <c r="F13" s="655"/>
      <c r="G13" s="655" t="s">
        <v>1199</v>
      </c>
      <c r="H13" s="655" t="s">
        <v>1200</v>
      </c>
      <c r="I13" s="655" t="s">
        <v>1201</v>
      </c>
      <c r="J13" s="457"/>
      <c r="K13" s="457"/>
      <c r="L13" s="457"/>
      <c r="M13" s="270"/>
      <c r="N13" s="458"/>
    </row>
    <row r="14" spans="1:17" ht="38" outlineLevel="1" thickBot="1">
      <c r="A14" s="273"/>
      <c r="B14" s="651"/>
      <c r="C14" s="345"/>
      <c r="D14" s="656" t="s">
        <v>1198</v>
      </c>
      <c r="E14" s="655" t="s">
        <v>1191</v>
      </c>
      <c r="F14" s="655"/>
      <c r="G14" s="658">
        <f>100-H14-I14</f>
        <v>100</v>
      </c>
      <c r="H14" s="662"/>
      <c r="I14" s="662"/>
      <c r="J14" s="457"/>
      <c r="K14" s="457"/>
      <c r="L14" s="457"/>
      <c r="M14" s="701" t="s">
        <v>1257</v>
      </c>
      <c r="N14" s="459"/>
    </row>
    <row r="15" spans="1:17" ht="43.5" customHeight="1" thickBot="1">
      <c r="A15" s="737" t="s">
        <v>900</v>
      </c>
      <c r="B15" s="401"/>
      <c r="C15" s="400"/>
      <c r="D15" s="765" t="s">
        <v>911</v>
      </c>
      <c r="E15" s="668"/>
      <c r="F15" s="456" t="str">
        <f>IF(OR($B15=yes,$B15=yes),'5-1 Fuels'!K43, IF(OR($B15=no,$B15=no),"-", IF($B15=que,que, pres)))</f>
        <v>Присутствует?</v>
      </c>
      <c r="G15" s="457" t="str">
        <f>IF(OR($B15=yes,$B15=yes),SUM('5-1 Fuels'!V43:V47), IF(OR($B15=no,$B15=no),"-", IF($B15=que,que, pres)))</f>
        <v>Присутствует?</v>
      </c>
      <c r="H15" s="457" t="str">
        <f>IF(OR($B15=yes,$B15=yes),SUM('5-1 Fuels'!W43:W47), IF(OR($B15=no,$B15=no),"-", IF($B15=que,que, pres)))</f>
        <v>Присутствует?</v>
      </c>
      <c r="I15" s="457" t="str">
        <f>IF(OR($B15=yes,$B15=yes),SUM('5-1 Fuels'!X43:X47), IF(OR($B15=no,$B15=no),"-", IF($B15=que,que, pres)))</f>
        <v>Присутствует?</v>
      </c>
      <c r="J15" s="457" t="str">
        <f>IF(OR($B15=yes,$B15=yes),SUM('5-1 Fuels'!Y43:Y47), IF(OR($B15=no,$B15=no),"-", IF($B15=que,que, pres)))</f>
        <v>Присутствует?</v>
      </c>
      <c r="K15" s="457" t="str">
        <f>IF(OR($B15=yes,$B15=yes),SUM('5-1 Fuels'!Z43:Z47), IF(OR($B15=no,$B15=no),"-", IF($B15=que,que, pres)))</f>
        <v>Присутствует?</v>
      </c>
      <c r="L15" s="457" t="str">
        <f>IF(OR($B15=yes,$B15=yes),SUM('5-1 Fuels'!AA43:AA47), IF(OR($B15=no,$B15=no),"-", IF($B15=que,que, pres)))</f>
        <v>Присутствует?</v>
      </c>
      <c r="M15" s="270" t="str">
        <f>M24</f>
        <v>5.1.3</v>
      </c>
      <c r="N15" s="459"/>
      <c r="O15" s="337" t="str">
        <f>INDEX('Range-thresholds'!$G$6:$G$73,MATCH(A15,'Range-thresholds'!$A$6:$A$73,0))</f>
        <v/>
      </c>
      <c r="Q15" s="466"/>
    </row>
    <row r="16" spans="1:17" ht="100">
      <c r="A16" s="596"/>
      <c r="B16" s="650"/>
      <c r="C16" s="348"/>
      <c r="D16" s="654"/>
      <c r="E16" s="676" t="s">
        <v>1190</v>
      </c>
      <c r="F16" s="655"/>
      <c r="G16" s="655" t="s">
        <v>1199</v>
      </c>
      <c r="H16" s="655" t="s">
        <v>1200</v>
      </c>
      <c r="I16" s="655" t="s">
        <v>1201</v>
      </c>
      <c r="J16" s="457"/>
      <c r="K16" s="457"/>
      <c r="L16" s="457"/>
      <c r="M16" s="270"/>
      <c r="N16" s="459"/>
    </row>
    <row r="17" spans="1:17" ht="38" thickBot="1">
      <c r="A17" s="596"/>
      <c r="B17" s="651"/>
      <c r="C17" s="345"/>
      <c r="D17" s="656" t="s">
        <v>1198</v>
      </c>
      <c r="E17" s="655" t="s">
        <v>1191</v>
      </c>
      <c r="F17" s="655"/>
      <c r="G17" s="658">
        <f>100-H17-I17</f>
        <v>100</v>
      </c>
      <c r="H17" s="662"/>
      <c r="I17" s="662"/>
      <c r="J17" s="457"/>
      <c r="K17" s="457"/>
      <c r="L17" s="457"/>
      <c r="M17" s="701" t="s">
        <v>1257</v>
      </c>
      <c r="N17" s="459"/>
    </row>
    <row r="18" spans="1:17" ht="37.5">
      <c r="A18" s="737" t="s">
        <v>901</v>
      </c>
      <c r="B18" s="375"/>
      <c r="C18" s="376"/>
      <c r="D18" s="765" t="s">
        <v>912</v>
      </c>
      <c r="E18" s="343"/>
      <c r="F18" s="456" t="str">
        <f>IF(OR($B18=yes,$B18=yes),'5-1 Fuels'!K52, IF(OR($B18=no,$B18=no),"-", IF($B18=que,que, pres)))</f>
        <v>Присутствует?</v>
      </c>
      <c r="G18" s="457" t="str">
        <f>IF(OR($B18=yes,$B18=yes),'5-1 Fuels'!V52, IF(OR($B18=no,$B18=no),"-", IF($B18=que,que, pres)))</f>
        <v>Присутствует?</v>
      </c>
      <c r="H18" s="457" t="str">
        <f>IF(OR($B18=yes,$B18=yes),'5-1 Fuels'!W52, IF(OR($B18=no,$B18=no),"-", IF($B18=que,que, pres)))</f>
        <v>Присутствует?</v>
      </c>
      <c r="I18" s="457" t="str">
        <f>IF(OR($B18=yes,$B18=yes),'5-1 Fuels'!X52, IF(OR($B18=no,$B18=no),"-", IF($B18=que,que, pres)))</f>
        <v>Присутствует?</v>
      </c>
      <c r="J18" s="457" t="str">
        <f>IF(OR($B18=yes,$B18=yes),'5-1 Fuels'!Y52, IF(OR($B18=no,$B18=no),"-", IF($B18=que,que, pres)))</f>
        <v>Присутствует?</v>
      </c>
      <c r="K18" s="457" t="str">
        <f>IF(OR($B18=yes,$B18=yes),'5-1 Fuels'!Z52, IF(OR($B18=no,$B18=no),"-", IF($B18=que,que, pres)))</f>
        <v>Присутствует?</v>
      </c>
      <c r="L18" s="457" t="str">
        <f>IF(OR($B18=yes,$B18=yes),'5-1 Fuels'!AA52, IF(OR($B18=no,$B18=no),"-", IF($B18=que,que, pres)))</f>
        <v>Присутствует?</v>
      </c>
      <c r="M18" s="270" t="str">
        <f>'5-1 Fuels'!B49</f>
        <v>5.1.4</v>
      </c>
      <c r="N18" s="459"/>
      <c r="O18" s="337" t="str">
        <f>INDEX('Range-thresholds'!$G$6:$G$73,MATCH(A18,'Range-thresholds'!$A$6:$A$73,0))</f>
        <v/>
      </c>
      <c r="Q18" s="466"/>
    </row>
    <row r="19" spans="1:17" ht="37.5">
      <c r="A19" s="737" t="s">
        <v>902</v>
      </c>
      <c r="B19" s="377"/>
      <c r="C19" s="378"/>
      <c r="D19" s="765" t="s">
        <v>912</v>
      </c>
      <c r="E19" s="343"/>
      <c r="F19" s="456" t="str">
        <f>IF(OR($B19=yes,$B19=yes),'5-1 Fuels'!K53, IF(OR($B19=no,$B19=no),"-", IF($B19=que,que, pres)))</f>
        <v>Присутствует?</v>
      </c>
      <c r="G19" s="457" t="str">
        <f>IF(OR($B19=yes,$B19=yes),'5-1 Fuels'!V53, IF(OR($B19=no,$B19=no),"-", IF($B19=que,que, pres)))</f>
        <v>Присутствует?</v>
      </c>
      <c r="H19" s="457" t="str">
        <f>IF(OR($B19=yes,$B19=yes),'5-1 Fuels'!W53, IF(OR($B19=no,$B19=no),"-", IF($B19=que,que, pres)))</f>
        <v>Присутствует?</v>
      </c>
      <c r="I19" s="457" t="str">
        <f>IF(OR($B19=yes,$B19=yes),'5-1 Fuels'!X53, IF(OR($B19=no,$B19=no),"-", IF($B19=que,que, pres)))</f>
        <v>Присутствует?</v>
      </c>
      <c r="J19" s="457" t="str">
        <f>IF(OR($B19=yes,$B19=yes),'5-1 Fuels'!Y53, IF(OR($B19=no,$B19=no),"-", IF($B19=que,que, pres)))</f>
        <v>Присутствует?</v>
      </c>
      <c r="K19" s="457" t="str">
        <f>IF(OR($B19=yes,$B19=yes),'5-1 Fuels'!Z53, IF(OR($B19=no,$B19=no),"-", IF($B19=que,que, pres)))</f>
        <v>Присутствует?</v>
      </c>
      <c r="L19" s="457" t="str">
        <f>IF(OR($B19=yes,$B19=yes),'5-1 Fuels'!AA53, IF(OR($B19=no,$B19=no),"-", IF($B19=que,que, pres)))</f>
        <v>Присутствует?</v>
      </c>
      <c r="M19" s="270" t="str">
        <f>M18</f>
        <v>5.1.4</v>
      </c>
      <c r="N19" s="458"/>
      <c r="O19" s="337" t="str">
        <f>INDEX('Range-thresholds'!$G$6:$G$73,MATCH(A19,'Range-thresholds'!$A$6:$A$73,0))</f>
        <v/>
      </c>
      <c r="Q19" s="466"/>
    </row>
    <row r="20" spans="1:17" ht="25">
      <c r="A20" s="762" t="s">
        <v>903</v>
      </c>
      <c r="B20" s="377"/>
      <c r="C20" s="379"/>
      <c r="D20" s="765" t="s">
        <v>913</v>
      </c>
      <c r="E20" s="343"/>
      <c r="F20" s="456" t="str">
        <f>IF(OR($B20=yes,$B20=yes),'5-1 Fuels'!K62, IF(OR($B20=no,$B20=no),"-", IF($B20=que,que, pres)))</f>
        <v>Присутствует?</v>
      </c>
      <c r="G20" s="457" t="str">
        <f>IF(OR($B20=yes,$B20=yes),'5-1 Fuels'!V62, IF(OR($B20=no,$B20=no),"-", IF($B20=que,que, pres)))</f>
        <v>Присутствует?</v>
      </c>
      <c r="H20" s="457" t="str">
        <f>IF(OR($B20=yes,$B20=yes),'5-1 Fuels'!W62, IF(OR($B20=no,$B20=no),"-", IF($B20=que,que, pres)))</f>
        <v>Присутствует?</v>
      </c>
      <c r="I20" s="457" t="str">
        <f>IF(OR($B20=yes,$B20=yes),'5-1 Fuels'!X62, IF(OR($B20=no,$B20=no),"-", IF($B20=que,que, pres)))</f>
        <v>Присутствует?</v>
      </c>
      <c r="J20" s="457" t="str">
        <f>IF(OR($B20=yes,$B20=yes),'5-1 Fuels'!Y62, IF(OR($B20=no,$B20=no),"-", IF($B20=que,que, pres)))</f>
        <v>Присутствует?</v>
      </c>
      <c r="K20" s="457" t="str">
        <f>IF(OR($B20=yes,$B20=yes),'5-1 Fuels'!Z62, IF(OR($B20=no,$B20=no),"-", IF($B20=que,que, pres)))</f>
        <v>Присутствует?</v>
      </c>
      <c r="L20" s="457" t="str">
        <f>IF(OR($B20=yes,$B20=yes),'5-1 Fuels'!AA62, IF(OR($B20=no,$B20=no),"-", IF($B20=que,que, pres)))</f>
        <v>Присутствует?</v>
      </c>
      <c r="M20" s="270" t="str">
        <f>'5-1 Fuels'!B62</f>
        <v>5.1.6</v>
      </c>
      <c r="N20" s="458"/>
      <c r="O20" s="337" t="str">
        <f>INDEX('Range-thresholds'!$G$6:$G$73,MATCH(A20,'Range-thresholds'!$A$6:$A$73,0))</f>
        <v/>
      </c>
      <c r="Q20" s="466"/>
    </row>
    <row r="21" spans="1:17" ht="25.5" thickBot="1">
      <c r="A21" s="737" t="s">
        <v>904</v>
      </c>
      <c r="B21" s="380"/>
      <c r="C21" s="397"/>
      <c r="D21" s="765" t="s">
        <v>914</v>
      </c>
      <c r="E21" s="343"/>
      <c r="F21" s="456" t="str">
        <f>IF(OR($B21=yes,$B21=yes),'5-1 Fuels'!K63, IF(OR($B21=no,$B21=no),"-", IF($B21=que,que, pres)))</f>
        <v>Присутствует?</v>
      </c>
      <c r="G21" s="457" t="str">
        <f>IF(OR($B21=yes,$B21=yes),'5-1 Fuels'!V63, IF(OR($B21=no,$B21=no),"-", IF($B21=que,que, pres)))</f>
        <v>Присутствует?</v>
      </c>
      <c r="H21" s="457" t="str">
        <f>IF(OR($B21=yes,$B21=yes),'5-1 Fuels'!W63, IF(OR($B21=no,$B21=no),"-", IF($B21=que,que, pres)))</f>
        <v>Присутствует?</v>
      </c>
      <c r="I21" s="457" t="str">
        <f>IF(OR($B21=yes,$B21=yes),'5-1 Fuels'!X63, IF(OR($B21=no,$B21=no),"-", IF($B21=que,que, pres)))</f>
        <v>Присутствует?</v>
      </c>
      <c r="J21" s="457" t="str">
        <f>IF(OR($B21=yes,$B21=yes),'5-1 Fuels'!Y63, IF(OR($B21=no,$B21=no),"-", IF($B21=que,que, pres)))</f>
        <v>Присутствует?</v>
      </c>
      <c r="K21" s="457" t="str">
        <f>IF(OR($B21=yes,$B21=yes),'5-1 Fuels'!Z63, IF(OR($B21=no,$B21=no),"-", IF($B21=que,que, pres)))</f>
        <v>Присутствует?</v>
      </c>
      <c r="L21" s="457" t="str">
        <f>IF(OR($B21=yes,$B21=yes),'5-1 Fuels'!AA63, IF(OR($B21=no,$B21=no),"-", IF($B21=que,que, pres)))</f>
        <v>Присутствует?</v>
      </c>
      <c r="M21" s="270" t="str">
        <f>'5-1 Fuels'!B62</f>
        <v>5.1.6</v>
      </c>
      <c r="N21" s="458"/>
      <c r="O21" s="337" t="str">
        <f>INDEX('Range-thresholds'!$G$6:$G$73,MATCH(A21,'Range-thresholds'!$A$6:$A$73,0))</f>
        <v/>
      </c>
      <c r="Q21" s="466"/>
    </row>
    <row r="22" spans="1:17">
      <c r="A22" s="270"/>
      <c r="B22" s="474"/>
      <c r="C22" s="374"/>
      <c r="D22" s="263"/>
      <c r="E22" s="270"/>
      <c r="F22" s="456"/>
      <c r="G22" s="456"/>
      <c r="H22" s="456"/>
      <c r="I22" s="456"/>
      <c r="J22" s="456"/>
      <c r="K22" s="456"/>
      <c r="L22" s="456"/>
      <c r="M22" s="270"/>
      <c r="N22" s="458"/>
      <c r="Q22" s="466"/>
    </row>
    <row r="23" spans="1:17" ht="13.5" thickBot="1">
      <c r="A23" s="756" t="s">
        <v>905</v>
      </c>
      <c r="B23" s="473"/>
      <c r="C23" s="381"/>
      <c r="D23" s="263"/>
      <c r="E23" s="270"/>
      <c r="F23" s="456"/>
      <c r="G23" s="456"/>
      <c r="H23" s="456"/>
      <c r="I23" s="456"/>
      <c r="J23" s="456"/>
      <c r="K23" s="456"/>
      <c r="L23" s="456"/>
      <c r="M23" s="270"/>
      <c r="N23" s="458"/>
      <c r="O23" s="337" t="str">
        <f>INDEX('Range-thresholds'!$G$6:$G$73,MATCH(A23,'Range-thresholds'!$A$6:$A$73,0))</f>
        <v/>
      </c>
      <c r="Q23" s="466"/>
    </row>
    <row r="24" spans="1:17" ht="25">
      <c r="A24" s="739" t="s">
        <v>906</v>
      </c>
      <c r="B24" s="382"/>
      <c r="C24" s="383"/>
      <c r="D24" s="736" t="s">
        <v>915</v>
      </c>
      <c r="E24" s="270"/>
      <c r="F24" s="456" t="str">
        <f>IF(OR($B24=yes,$B24=yes),'5-1 Fuels'!K35, IF(OR($B24=no,$B24=no),"-", IF($B24=que,que, pres)))</f>
        <v>Присутствует?</v>
      </c>
      <c r="G24" s="457" t="str">
        <f>IF(OR($B24=yes,$B24=yes),'5-1 Fuels'!V35, IF(OR($B24=no,$B24=no),"-", IF($B24=que,que, pres)))</f>
        <v>Присутствует?</v>
      </c>
      <c r="H24" s="457" t="str">
        <f>IF(OR($B24=yes,$B24=yes),'5-1 Fuels'!W35, IF(OR($B24=no,$B24=no),"-", IF($B24=que,que, pres)))</f>
        <v>Присутствует?</v>
      </c>
      <c r="I24" s="457" t="str">
        <f>IF(OR($B24=yes,$B24=yes),'5-1 Fuels'!X35, IF(OR($B24=no,$B24=no),"-", IF($B24=que,que, pres)))</f>
        <v>Присутствует?</v>
      </c>
      <c r="J24" s="457" t="str">
        <f>IF(OR($B24=yes,$B24=yes),'5-1 Fuels'!Y35, IF(OR($B24=no,$B24=no),"-", IF($B24=que,que, pres)))</f>
        <v>Присутствует?</v>
      </c>
      <c r="K24" s="457" t="str">
        <f>IF(OR($B24=yes,$B24=yes),'5-1 Fuels'!Z35, IF(OR($B24=no,$B24=no),"-", IF($B24=que,que, pres)))</f>
        <v>Присутствует?</v>
      </c>
      <c r="L24" s="457" t="str">
        <f>IF(OR($B24=yes,$B24=yes),'5-1 Fuels'!AA35, IF(OR($B24=no,$B24=no),"-", IF($B24=que,que, pres)))</f>
        <v>Присутствует?</v>
      </c>
      <c r="M24" s="270" t="str">
        <f>M12</f>
        <v>5.1.3</v>
      </c>
      <c r="N24" s="458"/>
      <c r="O24" s="337" t="str">
        <f>INDEX('Range-thresholds'!$G$6:$G$73,MATCH(A24,'Range-thresholds'!$A$6:$A$73,0))</f>
        <v/>
      </c>
      <c r="Q24" s="466"/>
    </row>
    <row r="25" spans="1:17" ht="25.5" thickBot="1">
      <c r="A25" s="737" t="s">
        <v>907</v>
      </c>
      <c r="B25" s="377"/>
      <c r="C25" s="379"/>
      <c r="D25" s="765" t="s">
        <v>916</v>
      </c>
      <c r="E25" s="352"/>
      <c r="F25" s="456" t="str">
        <f>IF(OR($B25=yes,$B25=yes),'5-1 Fuels'!K36, IF(OR($B25=no,$B25=no),"-", IF($B25=que,que, pres)))</f>
        <v>Присутствует?</v>
      </c>
      <c r="G25" s="457" t="str">
        <f>IF(OR($B25=yes,$B25=yes),'5-1 Fuels'!V36, IF(OR($B25=no,$B25=no),"-", IF($B25=que,que, pres)))</f>
        <v>Присутствует?</v>
      </c>
      <c r="H25" s="457" t="str">
        <f>IF(OR($B25=yes,$B25=yes),'5-1 Fuels'!W36, IF(OR($B25=no,$B25=no),"-", IF($B25=que,que, pres)))</f>
        <v>Присутствует?</v>
      </c>
      <c r="I25" s="457" t="str">
        <f>IF(OR($B25=yes,$B25=yes),'5-1 Fuels'!X36, IF(OR($B25=no,$B25=no),"-", IF($B25=que,que, pres)))</f>
        <v>Присутствует?</v>
      </c>
      <c r="J25" s="457" t="str">
        <f>IF(OR($B25=yes,$B25=yes),'5-1 Fuels'!Y36, IF(OR($B25=no,$B25=no),"-", IF($B25=que,que, pres)))</f>
        <v>Присутствует?</v>
      </c>
      <c r="K25" s="457" t="str">
        <f>IF(OR($B25=yes,$B25=yes),'5-1 Fuels'!Z36, IF(OR($B25=no,$B25=no),"-", IF($B25=que,que, pres)))</f>
        <v>Присутствует?</v>
      </c>
      <c r="L25" s="457" t="str">
        <f>IF(OR($B25=yes,$B25=yes),'5-1 Fuels'!AA36, IF(OR($B25=no,$B25=no),"-", IF($B25=que,que, pres)))</f>
        <v>Присутствует?</v>
      </c>
      <c r="M25" s="270" t="str">
        <f>M24</f>
        <v>5.1.3</v>
      </c>
      <c r="N25" s="458"/>
      <c r="O25" s="337" t="str">
        <f>INDEX('Range-thresholds'!$G$6:$G$73,MATCH(A25,'Range-thresholds'!$A$6:$A$73,0))</f>
        <v/>
      </c>
      <c r="Q25" s="466"/>
    </row>
    <row r="26" spans="1:17" ht="25.5" thickBot="1">
      <c r="A26" s="737" t="s">
        <v>908</v>
      </c>
      <c r="B26" s="380"/>
      <c r="C26" s="397"/>
      <c r="D26" s="765" t="s">
        <v>917</v>
      </c>
      <c r="E26" s="668"/>
      <c r="F26" s="647" t="str">
        <f>IF(OR($B26=yes,$B26=yes),'5-1 Fuels'!K50, IF(OR($B26=no,$B26=no),"-", IF($B26=que,que, pres)))</f>
        <v>Присутствует?</v>
      </c>
      <c r="G26" s="648" t="str">
        <f>IF(OR($B26=yes,$B26=yes),SUM('5-1 Fuels'!V50:V51), IF(OR($B26=no,$B26=no),"-", IF($B26=que,que, pres)))</f>
        <v>Присутствует?</v>
      </c>
      <c r="H26" s="648" t="str">
        <f>IF(OR($B26=yes,$B26=yes),SUM('5-1 Fuels'!W50:W51), IF(OR($B26=no,$B26=no),"-", IF($B26=que,que, pres)))</f>
        <v>Присутствует?</v>
      </c>
      <c r="I26" s="648" t="str">
        <f>IF(OR($B26=yes,$B26=yes),SUM('5-1 Fuels'!X50:X51), IF(OR($B26=no,$B26=no),"-", IF($B26=que,que, pres)))</f>
        <v>Присутствует?</v>
      </c>
      <c r="J26" s="648" t="str">
        <f>IF(OR($B26=yes,$B26=yes),SUM('5-1 Fuels'!Y50:Y51), IF(OR($B26=no,$B26=no),"-", IF($B26=que,que, pres)))</f>
        <v>Присутствует?</v>
      </c>
      <c r="K26" s="648" t="str">
        <f>IF(OR($B26=yes,$B26=yes),SUM('5-1 Fuels'!Z50:Z51), IF(OR($B26=no,$B26=no),"-", IF($B26=que,que, pres)))</f>
        <v>Присутствует?</v>
      </c>
      <c r="L26" s="648" t="str">
        <f>IF(OR($B26=yes,$B26=yes),'5-1 Fuels'!AA49, IF(OR($B26=no,$B26=no),"-", IF($B26=que,que, pres)))</f>
        <v>Присутствует?</v>
      </c>
      <c r="M26" s="608" t="str">
        <f>'5-1 Fuels'!B49</f>
        <v>5.1.4</v>
      </c>
      <c r="N26" s="458"/>
      <c r="O26" s="337" t="str">
        <f>INDEX('Range-thresholds'!$G$6:$G$73,MATCH(A26,'Range-thresholds'!$A$6:$A$73,0))</f>
        <v/>
      </c>
      <c r="Q26" s="466"/>
    </row>
    <row r="27" spans="1:17" ht="62.5">
      <c r="A27" s="365"/>
      <c r="B27" s="650"/>
      <c r="C27" s="348"/>
      <c r="D27" s="654"/>
      <c r="E27" s="676" t="s">
        <v>1190</v>
      </c>
      <c r="F27" s="655"/>
      <c r="G27" s="655" t="s">
        <v>1202</v>
      </c>
      <c r="H27" s="655" t="s">
        <v>1203</v>
      </c>
      <c r="I27" s="457"/>
      <c r="J27" s="457"/>
      <c r="K27" s="457"/>
      <c r="L27" s="457"/>
      <c r="M27" s="270"/>
      <c r="N27" s="458"/>
    </row>
    <row r="28" spans="1:17" ht="37.5">
      <c r="A28" s="365"/>
      <c r="B28" s="649"/>
      <c r="C28" s="373"/>
      <c r="D28" s="656" t="s">
        <v>1198</v>
      </c>
      <c r="E28" s="655" t="s">
        <v>1191</v>
      </c>
      <c r="F28" s="655"/>
      <c r="G28" s="658">
        <f>100-H28-I28</f>
        <v>50</v>
      </c>
      <c r="H28" s="657">
        <v>50</v>
      </c>
      <c r="I28" s="457"/>
      <c r="J28" s="457"/>
      <c r="K28" s="457"/>
      <c r="L28" s="457"/>
      <c r="M28" s="701" t="s">
        <v>1257</v>
      </c>
      <c r="N28" s="459"/>
      <c r="P28" s="358"/>
    </row>
    <row r="31" spans="1:17">
      <c r="A31" s="593" t="s">
        <v>722</v>
      </c>
    </row>
    <row r="32" spans="1:17">
      <c r="A32" s="593"/>
    </row>
    <row r="40" spans="9:9">
      <c r="I40" s="595"/>
    </row>
  </sheetData>
  <sheetProtection algorithmName="SHA-512" hashValue="O3SfpXyzWJfHaljDq6+BA0tPNWN765o2QrgWx+pEkoWB21tBVjzFQ09iWSWopFlcyHTknZWcWA8Rng1Y1+kAjw==" saltValue="WUnuhS3otb8HGMak9t3Dlw==" spinCount="100000" sheet="1" objects="1" scenarios="1"/>
  <dataConsolidate link="1"/>
  <mergeCells count="2">
    <mergeCell ref="G3:L3"/>
    <mergeCell ref="A2:M2"/>
  </mergeCells>
  <conditionalFormatting sqref="F5 F11:F12 F15 F18:F26">
    <cfRule type="expression" dxfId="126" priority="52" stopIfTrue="1">
      <formula>AND(B5="y",O5="n")</formula>
    </cfRule>
  </conditionalFormatting>
  <conditionalFormatting sqref="F8">
    <cfRule type="expression" dxfId="125" priority="46" stopIfTrue="1">
      <formula>AND(B8="y",O8="n")</formula>
    </cfRule>
  </conditionalFormatting>
  <conditionalFormatting sqref="E6:K6">
    <cfRule type="expression" dxfId="124" priority="44">
      <formula>OR($E$5="y", $E$5="s", $E$5="o", $E$5="Да")</formula>
    </cfRule>
  </conditionalFormatting>
  <conditionalFormatting sqref="E7:G7">
    <cfRule type="expression" dxfId="123" priority="43">
      <formula>OR($E$5="y", $E$5="s", $E$5="o", $E$5="Да")</formula>
    </cfRule>
  </conditionalFormatting>
  <conditionalFormatting sqref="H7:L7">
    <cfRule type="expression" dxfId="122" priority="42">
      <formula>OR($E$5="y", $E$5="s", $E$5="o", $E$5="Да")</formula>
    </cfRule>
  </conditionalFormatting>
  <conditionalFormatting sqref="G7">
    <cfRule type="expression" dxfId="121" priority="41">
      <formula>$G$7&lt;0</formula>
    </cfRule>
  </conditionalFormatting>
  <conditionalFormatting sqref="D7">
    <cfRule type="expression" dxfId="120" priority="40">
      <formula>$G$7&lt;0</formula>
    </cfRule>
  </conditionalFormatting>
  <conditionalFormatting sqref="F9:L9">
    <cfRule type="expression" dxfId="119" priority="38">
      <formula>OR($E$8="y", $E$8="s", $E$8="o", $E$8="Да")</formula>
    </cfRule>
  </conditionalFormatting>
  <conditionalFormatting sqref="E10:F10">
    <cfRule type="expression" dxfId="118" priority="37">
      <formula>OR($E$8="y", $E$8="s", $E$8="o", $E$8="Да")</formula>
    </cfRule>
  </conditionalFormatting>
  <conditionalFormatting sqref="H10:L10">
    <cfRule type="expression" dxfId="117" priority="36">
      <formula>OR($E$8="y", $E$8="s", $E$8="o", $E$8="Да")</formula>
    </cfRule>
  </conditionalFormatting>
  <conditionalFormatting sqref="D10">
    <cfRule type="expression" dxfId="116" priority="34">
      <formula>$G$10&lt;0</formula>
    </cfRule>
  </conditionalFormatting>
  <conditionalFormatting sqref="E13:I13">
    <cfRule type="expression" dxfId="115" priority="29">
      <formula>OR($E$12="y", $E$12="s", $E$12="o", $E$12="Да")</formula>
    </cfRule>
  </conditionalFormatting>
  <conditionalFormatting sqref="E14:G14">
    <cfRule type="expression" dxfId="114" priority="28">
      <formula>OR($E$12="y", $E$12="s", $E$12="o", $E$12="Да")</formula>
    </cfRule>
  </conditionalFormatting>
  <conditionalFormatting sqref="H14:I14">
    <cfRule type="expression" dxfId="113" priority="27">
      <formula>OR($E$12="y", $E$12="s", $E$12="o", $E$12="Да")</formula>
    </cfRule>
  </conditionalFormatting>
  <conditionalFormatting sqref="G14">
    <cfRule type="expression" dxfId="112" priority="26">
      <formula>$G$14&lt;0</formula>
    </cfRule>
  </conditionalFormatting>
  <conditionalFormatting sqref="D14">
    <cfRule type="expression" dxfId="111" priority="25">
      <formula>$G$14&lt;0</formula>
    </cfRule>
  </conditionalFormatting>
  <conditionalFormatting sqref="E16:I16">
    <cfRule type="expression" dxfId="110" priority="24">
      <formula>OR($E$15="y", $E$15="s", $E$15="o", $E$15="Да")</formula>
    </cfRule>
  </conditionalFormatting>
  <conditionalFormatting sqref="E17:G17">
    <cfRule type="expression" dxfId="109" priority="23">
      <formula>OR($E$15="y", $E$15="s", $E$15="o", $E$15="Да")</formula>
    </cfRule>
  </conditionalFormatting>
  <conditionalFormatting sqref="H17:I17">
    <cfRule type="expression" dxfId="108" priority="22">
      <formula>OR($E$15="y", $E$15="s", $E$15="o", $E$15="Да")</formula>
    </cfRule>
  </conditionalFormatting>
  <conditionalFormatting sqref="G17">
    <cfRule type="expression" dxfId="107" priority="21">
      <formula>$G$17&lt;0</formula>
    </cfRule>
  </conditionalFormatting>
  <conditionalFormatting sqref="D17">
    <cfRule type="expression" dxfId="106" priority="20">
      <formula>$G$17&lt;0</formula>
    </cfRule>
  </conditionalFormatting>
  <conditionalFormatting sqref="E27:H27">
    <cfRule type="expression" dxfId="105" priority="19">
      <formula>OR($E$26="y", $E$26="s", $E$26="o", $E$26="Да")</formula>
    </cfRule>
  </conditionalFormatting>
  <conditionalFormatting sqref="E28:G28">
    <cfRule type="expression" dxfId="104" priority="18">
      <formula>OR($E$26="y", $E$26="s", $E$26="o", $E$26="Да")</formula>
    </cfRule>
  </conditionalFormatting>
  <conditionalFormatting sqref="H28">
    <cfRule type="expression" dxfId="103" priority="17">
      <formula>OR($E$26="y", $E$26="s", $E$26="o", $E$26="Да")</formula>
    </cfRule>
  </conditionalFormatting>
  <conditionalFormatting sqref="G28">
    <cfRule type="expression" dxfId="102" priority="16">
      <formula>$G$28&lt;0</formula>
    </cfRule>
  </conditionalFormatting>
  <conditionalFormatting sqref="D28">
    <cfRule type="expression" dxfId="101" priority="15">
      <formula>$G$28&lt;0</formula>
    </cfRule>
  </conditionalFormatting>
  <conditionalFormatting sqref="E9">
    <cfRule type="expression" dxfId="100" priority="14">
      <formula>OR($E$8="y", $E$8="s", $E$8="o", $E$8="Да")</formula>
    </cfRule>
  </conditionalFormatting>
  <conditionalFormatting sqref="G10">
    <cfRule type="expression" dxfId="99" priority="7">
      <formula>OR($E$8="y", $E$8="s", $E$8="o", $E$8="Да")</formula>
    </cfRule>
  </conditionalFormatting>
  <conditionalFormatting sqref="G10">
    <cfRule type="expression" dxfId="98" priority="6">
      <formula>$G$10&lt;0</formula>
    </cfRule>
  </conditionalFormatting>
  <conditionalFormatting sqref="L6">
    <cfRule type="expression" dxfId="97" priority="2">
      <formula>OR($E$5="y", $E$5="s", $E$5="o", $E$5="Да")</formula>
    </cfRule>
  </conditionalFormatting>
  <conditionalFormatting sqref="A2">
    <cfRule type="expression" dxfId="96" priority="1" stopIfTrue="1">
      <formula>$A$2&lt;&gt;""</formula>
    </cfRule>
  </conditionalFormatting>
  <dataValidations count="10">
    <dataValidation type="decimal" allowBlank="1" showInputMessage="1" showErrorMessage="1" errorTitle="Input error" error="Use digits and decimal mark only." promptTitle="Input cell" prompt="Use digits and decimal mark only." sqref="C27:C28 C22:C23 C16:C17 C13:C14 C9:C10 C6:C7" xr:uid="{00000000-0002-0000-0100-000000000000}">
      <formula1>-9.99999999999999E+22</formula1>
      <formula2>9.99999999999999E+22</formula2>
    </dataValidation>
    <dataValidation type="list" allowBlank="1" showInputMessage="1" showErrorMessage="1" errorTitle="Input error" error="Enter only y, n or ? (or translation of these)" sqref="B27:B28 B16:B17 B13:B14 B9:B10 B6:B7" xr:uid="{00000000-0002-0000-0100-000001000000}">
      <formula1>yn?</formula1>
    </dataValidation>
    <dataValidation allowBlank="1" showInputMessage="1" showErrorMessage="1" prompt="Чтобы вернуться к стандартным настройкам контроля, выберите стандартные настройки во вкладке «Стандартные настройки контроля» для соответствующей подкатегории." sqref="M28 M7 M10 M17 M14" xr:uid="{00000000-0002-0000-0100-000002000000}"/>
    <dataValidation type="list" allowBlank="1" showInputMessage="1" showErrorMessage="1" sqref="E5 E8 E12 E15 E26" xr:uid="{00000000-0002-0000-0100-000005000000}">
      <formula1>yn</formula1>
    </dataValidation>
    <dataValidation allowBlank="1" showErrorMessage="1" sqref="G17 G14" xr:uid="{00000000-0002-0000-0100-000006000000}"/>
    <dataValidation allowBlank="1" showInputMessage="1" showErrorMessage="1" prompt="Укажите процент общего фактора входа, используемый на объектах с вышеуказанной конфигурацией системы контроля." sqref="H10:L10 H7:L7 H14:I14 H17:I17 H28" xr:uid="{00000000-0002-0000-0100-000008000000}"/>
    <dataValidation allowBlank="1" showErrorMessage="1" prompt="Укажите процент общего фактора входа, используемый на объектах с вышеуказанной конфигурацией системы контроля." sqref="G10 G7 H6:L6 H9:L9" xr:uid="{00000000-0002-0000-0100-000009000000}"/>
    <dataValidation type="list" allowBlank="1" showInputMessage="1" showErrorMessage="1" error="Введите только да или нет" prompt="Впишите только да, нет или ?" sqref="B5 B8 B11 B12 B15 B18 B19 B20 B21 B24 B25 B26" xr:uid="{00000000-0002-0000-0100-00000A000000}">
      <formula1>yn?</formula1>
    </dataValidation>
    <dataValidation allowBlank="1" showInputMessage="1" showErrorMessage="1" error="Введите только да или нет" sqref="F30" xr:uid="{00000000-0002-0000-0100-00000B000000}"/>
    <dataValidation type="decimal" allowBlank="1" showInputMessage="1" showErrorMessage="1" error="Вы ввели номер?" prompt="Используйте только цифры и десятичную метку" sqref="C5 C8 C11 C12 C15 C18:C21 C24:C26" xr:uid="{00000000-0002-0000-0100-00000C000000}">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70"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47" id="{2D294E8F-C094-4B04-BBCF-78E62FF6E629}">
            <xm:f>'Вставьте рез. яч. IL2 '!$K$11&lt;&gt;""</xm:f>
            <x14:dxf>
              <font>
                <color rgb="FFFF0000"/>
              </font>
            </x14:dxf>
          </x14:cfRule>
          <xm:sqref>A31</xm:sqref>
        </x14:conditionalFormatting>
        <x14:conditionalFormatting xmlns:xm="http://schemas.microsoft.com/office/excel/2006/main">
          <x14:cfRule type="expression" priority="13" id="{BBB71621-48E4-43F1-BF33-B613791E30C0}">
            <xm:f>OR($G$7&lt;&gt;'Controls defaults'!$C$6,$H$7&lt;&gt;'Controls defaults'!$D$6,$I$7&lt;&gt;'Controls defaults'!$E$6,$J$7&lt;&gt;'Controls defaults'!$F$6,$K$7&lt;&gt;'Controls defaults'!$G$6,$L$7&lt;&gt;'Controls defaults'!$H$6)</xm:f>
            <x14:dxf>
              <font>
                <color theme="1"/>
              </font>
              <fill>
                <patternFill>
                  <bgColor theme="8" tint="0.39994506668294322"/>
                </patternFill>
              </fill>
            </x14:dxf>
          </x14:cfRule>
          <xm:sqref>M7</xm:sqref>
        </x14:conditionalFormatting>
        <x14:conditionalFormatting xmlns:xm="http://schemas.microsoft.com/office/excel/2006/main">
          <x14:cfRule type="expression" priority="11" id="{7E23BB15-3F6D-467C-B8C5-9DCCE2EE1A6E}">
            <xm:f>OR($K$14&lt;&gt;'Controls defaults'!$G$12,$L$14&lt;&gt;'Controls defaults'!$H$12,$G$14&lt;&gt;'Controls defaults'!$C$12,$H$14&lt;&gt;'Controls defaults'!$D$12,$H$14&lt;&gt;'Controls defaults'!$D$12,$I$14&lt;&gt;'Controls defaults'!$E$12)</xm:f>
            <x14:dxf>
              <font>
                <color theme="1"/>
              </font>
              <fill>
                <patternFill>
                  <bgColor theme="8" tint="0.39994506668294322"/>
                </patternFill>
              </fill>
            </x14:dxf>
          </x14:cfRule>
          <xm:sqref>M14</xm:sqref>
        </x14:conditionalFormatting>
        <x14:conditionalFormatting xmlns:xm="http://schemas.microsoft.com/office/excel/2006/main">
          <x14:cfRule type="expression" priority="10" id="{F1D6B63C-C8FF-4F6A-9602-7BBCCCF31E2B}">
            <xm:f>OR($G$17&lt;&gt;'Controls defaults'!$C$15,$L$17&lt;&gt;'Controls defaults'!$D$15,$I$17&lt;&gt;'Controls defaults'!$E$15,$J$17&lt;&gt;'Controls defaults'!$F$15,$K$17&lt;&gt;'Controls defaults'!$G$15,$L$17&lt;&gt;'Controls defaults'!$H$15)</xm:f>
            <x14:dxf>
              <font>
                <color theme="1"/>
              </font>
              <fill>
                <patternFill>
                  <bgColor theme="8" tint="0.39994506668294322"/>
                </patternFill>
              </fill>
            </x14:dxf>
          </x14:cfRule>
          <xm:sqref>M17</xm:sqref>
        </x14:conditionalFormatting>
        <x14:conditionalFormatting xmlns:xm="http://schemas.microsoft.com/office/excel/2006/main">
          <x14:cfRule type="expression" priority="9" id="{1E5D644E-96F6-4F3C-AB8E-CE7C359D602F}">
            <xm:f>OR($G$28&lt;&gt;'Controls defaults'!$C$18,$H$28&lt;&gt;'Controls defaults'!$D$18,$I$28&lt;&gt;'Controls defaults'!$E$18,$J$28&lt;&gt;'Controls defaults'!$F$18,$K$28&lt;&gt;'Controls defaults'!$G$18,$L$28&lt;&gt;'Controls defaults'!$H$18)</xm:f>
            <x14:dxf>
              <font>
                <color theme="1"/>
              </font>
              <fill>
                <patternFill>
                  <bgColor theme="8" tint="0.39994506668294322"/>
                </patternFill>
              </fill>
            </x14:dxf>
          </x14:cfRule>
          <xm:sqref>M28</xm:sqref>
        </x14:conditionalFormatting>
        <x14:conditionalFormatting xmlns:xm="http://schemas.microsoft.com/office/excel/2006/main">
          <x14:cfRule type="expression" priority="3" id="{A3D2E5E3-BB88-4B3A-A917-5E650B7790D3}">
            <xm:f>OR($G$10&lt;&gt;'Controls defaults'!$C$9,$H$10&lt;&gt;'Controls defaults'!$D$9,$I$10&lt;&gt;'Controls defaults'!$E$9,$J$10&lt;&gt;'Controls defaults'!$F$9,$K$10&lt;&gt;'Controls defaults'!$G$9,$L$10&lt;&gt;'Controls defaults'!$H$9)</xm:f>
            <x14:dxf>
              <font>
                <color theme="1"/>
              </font>
              <fill>
                <patternFill>
                  <bgColor theme="8" tint="0.39994506668294322"/>
                </patternFill>
              </fill>
            </x14:dxf>
          </x14:cfRule>
          <xm:sqref>M10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G73"/>
  <sheetViews>
    <sheetView zoomScale="70" zoomScaleNormal="70" workbookViewId="0">
      <selection activeCell="F67" sqref="F67"/>
    </sheetView>
  </sheetViews>
  <sheetFormatPr defaultColWidth="8.81640625" defaultRowHeight="12.5"/>
  <cols>
    <col min="1" max="1" width="50.1796875" customWidth="1"/>
    <col min="2" max="3" width="15.6328125" customWidth="1"/>
    <col min="4" max="4" width="15.81640625" customWidth="1"/>
    <col min="5" max="5" width="19" customWidth="1"/>
    <col min="6" max="6" width="15.81640625" customWidth="1"/>
  </cols>
  <sheetData>
    <row r="1" spans="1:7" ht="43.5">
      <c r="A1" s="353" t="s">
        <v>422</v>
      </c>
      <c r="B1" s="12" t="s">
        <v>707</v>
      </c>
      <c r="C1" s="12" t="s">
        <v>711</v>
      </c>
      <c r="D1" s="583" t="s">
        <v>716</v>
      </c>
      <c r="E1" s="12" t="s">
        <v>708</v>
      </c>
    </row>
    <row r="2" spans="1:7" ht="26">
      <c r="A2" s="449" t="s">
        <v>314</v>
      </c>
      <c r="B2" s="12"/>
      <c r="C2" s="12" t="s">
        <v>712</v>
      </c>
      <c r="D2" s="585"/>
      <c r="E2" s="53" t="s">
        <v>709</v>
      </c>
    </row>
    <row r="3" spans="1:7" ht="14.5">
      <c r="A3" s="449"/>
      <c r="B3" s="12"/>
      <c r="C3" s="53">
        <v>10</v>
      </c>
      <c r="D3" s="585"/>
      <c r="E3" s="9"/>
    </row>
    <row r="4" spans="1:7" ht="52">
      <c r="A4" s="58"/>
      <c r="B4" s="12" t="s">
        <v>687</v>
      </c>
      <c r="C4" s="540" t="s">
        <v>715</v>
      </c>
      <c r="D4" s="12" t="s">
        <v>717</v>
      </c>
      <c r="E4" s="12" t="s">
        <v>710</v>
      </c>
      <c r="F4" s="93" t="s">
        <v>718</v>
      </c>
      <c r="G4" s="93" t="s">
        <v>719</v>
      </c>
    </row>
    <row r="5" spans="1:7" ht="13">
      <c r="A5" s="390" t="str">
        <f>'Этап 2 - Потребление энергии'!A4</f>
        <v>Потребление энергии</v>
      </c>
      <c r="D5" s="584"/>
    </row>
    <row r="6" spans="1:7">
      <c r="A6" s="449" t="str">
        <f>'Этап 2 - Потребление энергии'!A5</f>
        <v>Сжигание угля на крупных электростанциях</v>
      </c>
      <c r="B6">
        <v>6.7227168213380929E-4</v>
      </c>
      <c r="C6">
        <f>$C$3</f>
        <v>10</v>
      </c>
      <c r="D6" s="582">
        <f t="shared" ref="D6:D34" si="0">IF(ISNUMBER(B6),B6*C6,"SKIP")</f>
        <v>6.7227168213380931E-3</v>
      </c>
      <c r="E6" s="586">
        <f>IF(ISNUMBER(D6),D6*'Этап 1 - Информация о стране'!$B$6,"SKIP")</f>
        <v>0</v>
      </c>
      <c r="F6" s="590" t="str">
        <f>IF('Ур.1-свод. инф. по факт.вх.Hg'!E5="","",'Ур.1-свод. инф. по факт.вх.Hg'!E5)</f>
        <v>Присутствует?</v>
      </c>
      <c r="G6" t="str">
        <f>IF(ISNUMBER(F6),IF(F6&lt;E6,"y","n"),"")</f>
        <v/>
      </c>
    </row>
    <row r="7" spans="1:7">
      <c r="A7" s="449" t="str">
        <f>'Этап 2 - Потребление энергии'!A8</f>
        <v>Сжигание угля в угольных промышленных котлоагрегатах</v>
      </c>
      <c r="D7" s="582"/>
      <c r="E7" s="586"/>
      <c r="F7" s="590" t="str">
        <f>IF('Ур.1-свод. инф. по факт.вх.Hg'!E6="","",'Ур.1-свод. инф. по факт.вх.Hg'!E6)</f>
        <v>Присутствует?</v>
      </c>
    </row>
    <row r="8" spans="1:7">
      <c r="A8" s="449" t="str">
        <f>'Этап 2 - Потребление энергии'!A11</f>
        <v>Прочие способы применения угля</v>
      </c>
      <c r="B8">
        <v>2.2364446616113013E-4</v>
      </c>
      <c r="C8" s="314">
        <v>20</v>
      </c>
      <c r="D8" s="582">
        <f t="shared" si="0"/>
        <v>4.4728893232226022E-3</v>
      </c>
      <c r="E8" s="586">
        <f>IF(ISNUMBER(D8),D8*'Этап 1 - Информация о стране'!$B$6,"SKIP")</f>
        <v>0</v>
      </c>
      <c r="F8" s="590" t="str">
        <f>IF('Ур.1-свод. инф. по факт.вх.Hg'!E7="","",'Ур.1-свод. инф. по факт.вх.Hg'!E7)</f>
        <v>Присутствует?</v>
      </c>
      <c r="G8" t="str">
        <f t="shared" ref="G8:G71" si="1">IF(ISNUMBER(F8),IF(F8&lt;E8,"y","n"),"")</f>
        <v/>
      </c>
    </row>
    <row r="9" spans="1:7" ht="25">
      <c r="A9" s="449" t="str">
        <f>'Этап 2 - Потребление энергии'!A12</f>
        <v>Сжигание/использование нефтяного кокса и тяжелого топлива</v>
      </c>
      <c r="B9">
        <v>1.0032298136645963E-4</v>
      </c>
      <c r="C9">
        <f t="shared" ref="C9:C71" si="2">$C$3</f>
        <v>10</v>
      </c>
      <c r="D9" s="582">
        <f t="shared" si="0"/>
        <v>1.0032298136645962E-3</v>
      </c>
      <c r="E9" s="586">
        <f>IF(ISNUMBER(D9),D9*'Этап 1 - Информация о стране'!$B$6,"SKIP")</f>
        <v>0</v>
      </c>
      <c r="F9" s="590" t="str">
        <f>IF('Ур.1-свод. инф. по факт.вх.Hg'!E8="","",'Ур.1-свод. инф. по факт.вх.Hg'!E8)</f>
        <v>Присутствует?</v>
      </c>
      <c r="G9" t="str">
        <f t="shared" si="1"/>
        <v/>
      </c>
    </row>
    <row r="10" spans="1:7" ht="25">
      <c r="A10" s="449" t="str">
        <f>'Этап 2 - Потребление энергии'!A15</f>
        <v>Сжигание/использование дизельного топлива, бензина, нефти, керосина</v>
      </c>
      <c r="B10">
        <v>1.6173158415841584E-5</v>
      </c>
      <c r="C10">
        <f t="shared" si="2"/>
        <v>10</v>
      </c>
      <c r="D10" s="582">
        <f t="shared" si="0"/>
        <v>1.6173158415841584E-4</v>
      </c>
      <c r="E10" s="586">
        <f>IF(ISNUMBER(D10),D10*'Этап 1 - Информация о стране'!$B$6,"SKIP")</f>
        <v>0</v>
      </c>
      <c r="F10" s="590" t="str">
        <f>IF('Ур.1-свод. инф. по факт.вх.Hg'!E9="","",'Ур.1-свод. инф. по факт.вх.Hg'!E9)</f>
        <v>Присутствует?</v>
      </c>
      <c r="G10" t="str">
        <f t="shared" si="1"/>
        <v/>
      </c>
    </row>
    <row r="11" spans="1:7" ht="25">
      <c r="A11" s="449" t="str">
        <f>'Этап 2 - Потребление энергии'!A18</f>
        <v xml:space="preserve">Использование неочищенного или предварительно очищенного природного газа </v>
      </c>
      <c r="B11">
        <v>3.7316770186335403E-5</v>
      </c>
      <c r="C11">
        <f t="shared" si="2"/>
        <v>10</v>
      </c>
      <c r="D11" s="582">
        <f t="shared" si="0"/>
        <v>3.7316770186335404E-4</v>
      </c>
      <c r="E11" s="586">
        <f>IF(ISNUMBER(D11),D11*'Этап 1 - Информация о стране'!$B$6,"SKIP")</f>
        <v>0</v>
      </c>
      <c r="F11" s="590" t="str">
        <f>IF('Ур.1-свод. инф. по факт.вх.Hg'!E10="","",'Ур.1-свод. инф. по факт.вх.Hg'!E10)</f>
        <v>Присутствует?</v>
      </c>
      <c r="G11" t="str">
        <f t="shared" si="1"/>
        <v/>
      </c>
    </row>
    <row r="12" spans="1:7" ht="25">
      <c r="A12" s="449" t="str">
        <f>'Этап 2 - Потребление энергии'!A19</f>
        <v>Использование газа, подаваемого по трубопроводу (качество потребителя)</v>
      </c>
      <c r="B12">
        <v>3.066424807808586E-6</v>
      </c>
      <c r="C12" s="314">
        <v>100</v>
      </c>
      <c r="D12" s="582">
        <f t="shared" si="0"/>
        <v>3.0664248078085858E-4</v>
      </c>
      <c r="E12" s="586">
        <f>IF(ISNUMBER(D12),D12*'Этап 1 - Информация о стране'!$B$6,"SKIP")</f>
        <v>0</v>
      </c>
      <c r="F12" s="590" t="str">
        <f>IF('Ур.1-свод. инф. по факт.вх.Hg'!E11="","",'Ур.1-свод. инф. по факт.вх.Hg'!E11)</f>
        <v>Присутствует?</v>
      </c>
      <c r="G12" t="str">
        <f t="shared" si="1"/>
        <v/>
      </c>
    </row>
    <row r="13" spans="1:7" ht="25">
      <c r="A13" s="449" t="str">
        <f>'Этап 2 - Потребление энергии'!A20</f>
        <v>Электростанции, работающие на биомассе и производство тепла</v>
      </c>
      <c r="B13">
        <v>2.1352177849016704E-5</v>
      </c>
      <c r="C13">
        <f t="shared" si="2"/>
        <v>10</v>
      </c>
      <c r="D13" s="582">
        <f t="shared" si="0"/>
        <v>2.1352177849016704E-4</v>
      </c>
      <c r="E13" s="586">
        <f>IF(ISNUMBER(D13),D13*'Этап 1 - Информация о стране'!$B$6,"SKIP")</f>
        <v>0</v>
      </c>
      <c r="F13" s="590" t="str">
        <f>IF('Ур.1-свод. инф. по факт.вх.Hg'!E12="","",'Ур.1-свод. инф. по факт.вх.Hg'!E12)</f>
        <v>Присутствует?</v>
      </c>
      <c r="G13" t="str">
        <f t="shared" si="1"/>
        <v/>
      </c>
    </row>
    <row r="14" spans="1:7">
      <c r="A14" s="449" t="str">
        <f>'Этап 2 - Потребление энергии'!A21</f>
        <v>Сжигание древесного угля</v>
      </c>
      <c r="B14">
        <v>2.6555239118131514E-5</v>
      </c>
      <c r="C14">
        <f t="shared" si="2"/>
        <v>10</v>
      </c>
      <c r="D14" s="582">
        <f t="shared" si="0"/>
        <v>2.6555239118131516E-4</v>
      </c>
      <c r="E14" s="586">
        <f>IF(ISNUMBER(D14),D14*'Этап 1 - Информация о стране'!$B$6,"SKIP")</f>
        <v>0</v>
      </c>
      <c r="F14" s="590" t="str">
        <f>IF('Ур.1-свод. инф. по факт.вх.Hg'!E13="","",'Ур.1-свод. инф. по факт.вх.Hg'!E13)</f>
        <v>Присутствует?</v>
      </c>
      <c r="G14" t="str">
        <f t="shared" si="1"/>
        <v/>
      </c>
    </row>
    <row r="15" spans="1:7" ht="13">
      <c r="A15" s="390" t="str">
        <f>'Этап 2 - Потребление энергии'!A23</f>
        <v>Производство топлива</v>
      </c>
      <c r="B15">
        <v>0</v>
      </c>
      <c r="C15">
        <f t="shared" si="2"/>
        <v>10</v>
      </c>
      <c r="D15" s="582">
        <f t="shared" si="0"/>
        <v>0</v>
      </c>
      <c r="E15" s="586">
        <f>IF(ISNUMBER(D15),D15*'Этап 1 - Информация о стране'!$B$6,"SKIP")</f>
        <v>0</v>
      </c>
      <c r="F15" s="590" t="str">
        <f>IF('Ур.1-свод. инф. по факт.вх.Hg'!E14="","",'Ур.1-свод. инф. по факт.вх.Hg'!E14)</f>
        <v/>
      </c>
      <c r="G15" t="str">
        <f t="shared" si="1"/>
        <v/>
      </c>
    </row>
    <row r="16" spans="1:7">
      <c r="A16" s="449" t="str">
        <f>'Этап 2 - Потребление энергии'!A24</f>
        <v>Добыча нефти</v>
      </c>
      <c r="B16">
        <v>5.112380952380952E-4</v>
      </c>
      <c r="C16">
        <f t="shared" si="2"/>
        <v>10</v>
      </c>
      <c r="D16" s="582">
        <f t="shared" si="0"/>
        <v>5.1123809523809516E-3</v>
      </c>
      <c r="E16" s="586">
        <f>IF(ISNUMBER(D16),D16*'Этап 1 - Информация о стране'!$B$6,"SKIP")</f>
        <v>0</v>
      </c>
      <c r="F16" s="590" t="str">
        <f>IF('Ур.1-свод. инф. по факт.вх.Hg'!E15="","",'Ур.1-свод. инф. по факт.вх.Hg'!E15)</f>
        <v>Присутствует?</v>
      </c>
      <c r="G16" t="str">
        <f t="shared" si="1"/>
        <v/>
      </c>
    </row>
    <row r="17" spans="1:7">
      <c r="A17" s="449" t="str">
        <f>'Этап 2 - Потребление энергии'!A25</f>
        <v>Нефтепереработка</v>
      </c>
      <c r="B17">
        <v>1.7505590062111802E-4</v>
      </c>
      <c r="C17" s="314">
        <v>30</v>
      </c>
      <c r="D17" s="582">
        <f t="shared" si="0"/>
        <v>5.2516770186335406E-3</v>
      </c>
      <c r="E17" s="586">
        <f>IF(ISNUMBER(D17),D17*'Этап 1 - Информация о стране'!$B$6,"SKIP")</f>
        <v>0</v>
      </c>
      <c r="F17" s="590" t="str">
        <f>IF('Ур.1-свод. инф. по факт.вх.Hg'!E16="","",'Ур.1-свод. инф. по факт.вх.Hg'!E16)</f>
        <v>Присутствует?</v>
      </c>
      <c r="G17" t="str">
        <f t="shared" si="1"/>
        <v/>
      </c>
    </row>
    <row r="18" spans="1:7">
      <c r="A18" s="449" t="str">
        <f>'Этап 2 - Потребление энергии'!A26</f>
        <v>Добыча и обработка природного газа.</v>
      </c>
      <c r="B18">
        <v>2.0723809523809524E-4</v>
      </c>
      <c r="C18">
        <f t="shared" si="2"/>
        <v>10</v>
      </c>
      <c r="D18" s="582">
        <f t="shared" si="0"/>
        <v>2.0723809523809523E-3</v>
      </c>
      <c r="E18" s="586">
        <f>IF(ISNUMBER(D18),D18*'Этап 1 - Информация о стране'!$B$6,"SKIP")</f>
        <v>0</v>
      </c>
      <c r="F18" s="590" t="str">
        <f>IF('Ур.1-свод. инф. по факт.вх.Hg'!E17="","",'Ур.1-свод. инф. по факт.вх.Hg'!E17)</f>
        <v>Присутствует?</v>
      </c>
      <c r="G18" t="str">
        <f t="shared" si="1"/>
        <v/>
      </c>
    </row>
    <row r="19" spans="1:7" ht="13">
      <c r="A19" s="390" t="str">
        <f>'Этап 3 - Металлы - Сырье'!A5</f>
        <v>Производство первичного металла</v>
      </c>
      <c r="B19">
        <v>0</v>
      </c>
      <c r="C19">
        <f t="shared" si="2"/>
        <v>10</v>
      </c>
      <c r="D19" s="582">
        <f t="shared" si="0"/>
        <v>0</v>
      </c>
      <c r="E19" s="586">
        <f>IF(ISNUMBER(D19),D19*'Этап 1 - Информация о стране'!$B$6,"SKIP")</f>
        <v>0</v>
      </c>
      <c r="F19" s="590" t="str">
        <f>IF('Ур.1-свод. инф. по факт.вх.Hg'!E18="","",'Ур.1-свод. инф. по факт.вх.Hg'!E18)</f>
        <v/>
      </c>
      <c r="G19" t="str">
        <f t="shared" si="1"/>
        <v/>
      </c>
    </row>
    <row r="20" spans="1:7" ht="14.5">
      <c r="A20" s="579" t="str">
        <f>'Этап 3 - Металлы - Сырье'!A6</f>
        <v>(Первичная) экстракция ртути и начальная обработка</v>
      </c>
      <c r="B20">
        <v>4.9587833629833274E-2</v>
      </c>
      <c r="C20">
        <f t="shared" si="2"/>
        <v>10</v>
      </c>
      <c r="D20" s="582">
        <f t="shared" si="0"/>
        <v>0.49587833629833272</v>
      </c>
      <c r="E20" s="586">
        <f>IF(ISNUMBER(D20),D20*'Этап 1 - Информация о стране'!$B$6,"SKIP")</f>
        <v>0</v>
      </c>
      <c r="F20" s="590" t="str">
        <f>IF('Ур.1-свод. инф. по факт.вх.Hg'!E19="","",'Ур.1-свод. инф. по факт.вх.Hg'!E19)</f>
        <v>Присутствует?</v>
      </c>
      <c r="G20" t="str">
        <f t="shared" si="1"/>
        <v/>
      </c>
    </row>
    <row r="21" spans="1:7">
      <c r="A21" s="449" t="str">
        <f>'Этап 3 - Металлы - Сырье'!A7</f>
        <v>Производство цинка из продуктов обогащения</v>
      </c>
      <c r="B21">
        <v>4.7096817600753547E-4</v>
      </c>
      <c r="C21" s="314">
        <v>200</v>
      </c>
      <c r="D21" s="582">
        <f t="shared" si="0"/>
        <v>9.41936352015071E-2</v>
      </c>
      <c r="E21" s="586">
        <f>IF(ISNUMBER(D21),D21*'Этап 1 - Информация о стране'!$B$6,"SKIP")</f>
        <v>0</v>
      </c>
      <c r="F21" s="590" t="str">
        <f>IF('Ур.1-свод. инф. по факт.вх.Hg'!E20="","",'Ур.1-свод. инф. по факт.вх.Hg'!E20)</f>
        <v>Присутствует?</v>
      </c>
      <c r="G21" t="str">
        <f t="shared" si="1"/>
        <v/>
      </c>
    </row>
    <row r="22" spans="1:7">
      <c r="A22" s="449" t="str">
        <f>'Этап 3 - Металлы - Сырье'!A10</f>
        <v>Производство меди из продуктов обогащения</v>
      </c>
      <c r="B22">
        <v>1.1711757298861753E-2</v>
      </c>
      <c r="C22">
        <f t="shared" si="2"/>
        <v>10</v>
      </c>
      <c r="D22" s="582">
        <f t="shared" si="0"/>
        <v>0.11711757298861752</v>
      </c>
      <c r="E22" s="586">
        <f>IF(ISNUMBER(D22),D22*'Этап 1 - Информация о стране'!$B$6,"SKIP")</f>
        <v>0</v>
      </c>
      <c r="F22" s="590" t="str">
        <f>IF('Ур.1-свод. инф. по факт.вх.Hg'!E21="","",'Ур.1-свод. инф. по факт.вх.Hg'!E21)</f>
        <v>Присутствует?</v>
      </c>
      <c r="G22" t="str">
        <f t="shared" si="1"/>
        <v/>
      </c>
    </row>
    <row r="23" spans="1:7">
      <c r="A23" s="449" t="str">
        <f>'Этап 3 - Металлы - Сырье'!A13</f>
        <v>Производство свинца из продуктов обогащения</v>
      </c>
      <c r="B23">
        <v>4.5302653120724842E-4</v>
      </c>
      <c r="C23" s="314">
        <v>200</v>
      </c>
      <c r="D23" s="582">
        <f t="shared" si="0"/>
        <v>9.060530624144969E-2</v>
      </c>
      <c r="E23" s="586">
        <f>IF(ISNUMBER(D23),D23*'Этап 1 - Информация о стране'!$B$6,"SKIP")</f>
        <v>0</v>
      </c>
      <c r="F23" s="590" t="str">
        <f>IF('Ур.1-свод. инф. по факт.вх.Hg'!E22="","",'Ур.1-свод. инф. по факт.вх.Hg'!E22)</f>
        <v>Присутствует?</v>
      </c>
      <c r="G23" t="str">
        <f t="shared" si="1"/>
        <v/>
      </c>
    </row>
    <row r="24" spans="1:7" ht="25">
      <c r="A24" s="449" t="str">
        <f>'Этап 3 - Металлы - Сырье'!A16</f>
        <v>Добыча золота способами, кроме процесса амальгамирования ртути</v>
      </c>
      <c r="B24">
        <v>0.19547223276627479</v>
      </c>
      <c r="C24">
        <f t="shared" si="2"/>
        <v>10</v>
      </c>
      <c r="D24" s="582">
        <f t="shared" si="0"/>
        <v>1.9547223276627479</v>
      </c>
      <c r="E24" s="586">
        <f>IF(ISNUMBER(D24),D24*'Этап 1 - Информация о стране'!$B$6,"SKIP")</f>
        <v>0</v>
      </c>
      <c r="F24" s="590" t="str">
        <f>IF('Ур.1-свод. инф. по факт.вх.Hg'!E23="","",'Ур.1-свод. инф. по факт.вх.Hg'!E23)</f>
        <v>Присутствует?</v>
      </c>
      <c r="G24" t="str">
        <f t="shared" si="1"/>
        <v/>
      </c>
    </row>
    <row r="25" spans="1:7" ht="25">
      <c r="A25" s="449" t="str">
        <f>'Этап 3 - Металлы - Сырье'!A17</f>
        <v>Производство глинозема из бокситов (производство алюминия)</v>
      </c>
      <c r="B25">
        <v>1.024066800980033E-5</v>
      </c>
      <c r="C25">
        <f t="shared" si="2"/>
        <v>10</v>
      </c>
      <c r="D25" s="582">
        <f t="shared" si="0"/>
        <v>1.024066800980033E-4</v>
      </c>
      <c r="E25" s="586">
        <f>IF(ISNUMBER(D25),D25*'Этап 1 - Информация о стране'!$B$6,"SKIP")</f>
        <v>0</v>
      </c>
      <c r="F25" s="590" t="str">
        <f>IF('Ур.1-свод. инф. по факт.вх.Hg'!E24="","",'Ур.1-свод. инф. по факт.вх.Hg'!E24)</f>
        <v>Присутствует?</v>
      </c>
      <c r="G25" t="str">
        <f t="shared" si="1"/>
        <v/>
      </c>
    </row>
    <row r="26" spans="1:7" ht="25">
      <c r="A26" s="449" t="str">
        <f>'Этап 3 - Металлы - Сырье'!A18</f>
        <v>Производство первичного черного металла (производство чугуна в болванках)</v>
      </c>
      <c r="B26">
        <v>6.6708080643022112E-5</v>
      </c>
      <c r="C26">
        <f t="shared" si="2"/>
        <v>10</v>
      </c>
      <c r="D26" s="582">
        <f t="shared" si="0"/>
        <v>6.6708080643022112E-4</v>
      </c>
      <c r="E26" s="586">
        <f>IF(ISNUMBER(D26),D26*'Этап 1 - Информация о стране'!$B$6,"SKIP")</f>
        <v>0</v>
      </c>
      <c r="F26" s="590" t="str">
        <f>IF('Ур.1-свод. инф. по факт.вх.Hg'!E25="","",'Ур.1-свод. инф. по факт.вх.Hg'!E25)</f>
        <v>Присутствует?</v>
      </c>
      <c r="G26" t="str">
        <f t="shared" si="1"/>
        <v/>
      </c>
    </row>
    <row r="27" spans="1:7" ht="25">
      <c r="A27" s="449" t="str">
        <f>'Этап 3 - Металлы - Сырье'!A19</f>
        <v>Добыча золота с помощью процесса амальгамирования ртути - Из недробленой руды</v>
      </c>
      <c r="B27">
        <v>1.0861473345961381E-3</v>
      </c>
      <c r="C27">
        <f t="shared" si="2"/>
        <v>10</v>
      </c>
      <c r="D27" s="582">
        <f t="shared" si="0"/>
        <v>1.0861473345961381E-2</v>
      </c>
      <c r="E27" s="586">
        <f>IF(ISNUMBER(D27),D27*'Этап 1 - Информация о стране'!$B$6,"SKIP")</f>
        <v>0</v>
      </c>
      <c r="F27" s="590" t="str">
        <f>IF('Ур.1-свод. инф. по факт.вх.Hg'!E26="","",'Ур.1-свод. инф. по факт.вх.Hg'!E26)</f>
        <v>Присутствует?</v>
      </c>
      <c r="G27" t="str">
        <f t="shared" si="1"/>
        <v/>
      </c>
    </row>
    <row r="28" spans="1:7" ht="25">
      <c r="A28" s="449" t="str">
        <f>'Этап 3 - Металлы - Сырье'!A22</f>
        <v>Добыча золота с помощью процесса амальгамирования ртути - Из обогащенной руды</v>
      </c>
      <c r="B28">
        <v>6.50839232784204E-10</v>
      </c>
      <c r="C28" s="314">
        <v>1000000</v>
      </c>
      <c r="D28" s="582">
        <f t="shared" si="0"/>
        <v>6.5083923278420398E-4</v>
      </c>
      <c r="E28" s="586">
        <f>IF(ISNUMBER(D28),D28*'Этап 1 - Информация о стране'!$B$6,"SKIP")</f>
        <v>0</v>
      </c>
      <c r="F28" s="590" t="str">
        <f>IF('Ур.1-свод. инф. по факт.вх.Hg'!E27="","",'Ур.1-свод. инф. по факт.вх.Hg'!E27)</f>
        <v>Присутствует?</v>
      </c>
      <c r="G28" t="str">
        <f t="shared" si="1"/>
        <v/>
      </c>
    </row>
    <row r="29" spans="1:7" ht="13">
      <c r="A29" s="390" t="str">
        <f>'Этап 3 - Металлы - Сырье'!A25</f>
        <v>Производство других материалов</v>
      </c>
      <c r="B29">
        <v>0</v>
      </c>
      <c r="C29">
        <f t="shared" si="2"/>
        <v>10</v>
      </c>
      <c r="D29" s="582">
        <f t="shared" si="0"/>
        <v>0</v>
      </c>
      <c r="E29" s="586">
        <f>IF(ISNUMBER(D29),D29*'Этап 1 - Информация о стране'!$B$6,"SKIP")</f>
        <v>0</v>
      </c>
      <c r="F29" s="590" t="str">
        <f>IF('Ур.1-свод. инф. по факт.вх.Hg'!E28="","",'Ур.1-свод. инф. по факт.вх.Hg'!E28)</f>
        <v/>
      </c>
      <c r="G29" t="str">
        <f t="shared" si="1"/>
        <v/>
      </c>
    </row>
    <row r="30" spans="1:7">
      <c r="A30" s="449" t="str">
        <f>'Этап 3 - Металлы - Сырье'!A26</f>
        <v>Производство цемента</v>
      </c>
      <c r="B30">
        <v>4.1647022787699354E-4</v>
      </c>
      <c r="C30">
        <f t="shared" si="2"/>
        <v>10</v>
      </c>
      <c r="D30" s="582">
        <f t="shared" si="0"/>
        <v>4.1647022787699352E-3</v>
      </c>
      <c r="E30" s="586">
        <f>IF(ISNUMBER(D30),D30*'Этап 1 - Информация о стране'!$B$6,"SKIP")</f>
        <v>0</v>
      </c>
      <c r="F30" s="590" t="str">
        <f>IF('Ур.1-свод. инф. по факт.вх.Hg'!E29="","",'Ур.1-свод. инф. по факт.вх.Hg'!E29)</f>
        <v>Присутствует?</v>
      </c>
      <c r="G30" t="str">
        <f t="shared" si="1"/>
        <v/>
      </c>
    </row>
    <row r="31" spans="1:7">
      <c r="A31" s="449" t="str">
        <f>'Этап 3 - Металлы - Сырье'!A31</f>
        <v>Производство целлюлозы и бумаги</v>
      </c>
      <c r="B31">
        <v>2.1555240695590912E-6</v>
      </c>
      <c r="C31">
        <f t="shared" si="2"/>
        <v>10</v>
      </c>
      <c r="D31" s="582">
        <f t="shared" si="0"/>
        <v>2.1555240695590913E-5</v>
      </c>
      <c r="E31" s="586">
        <f>IF(ISNUMBER(D31),D31*'Этап 1 - Информация о стране'!$B$6,"SKIP")</f>
        <v>0</v>
      </c>
      <c r="F31" s="590" t="str">
        <f>IF('Ур.1-свод. инф. по факт.вх.Hg'!E30="","",'Ур.1-свод. инф. по факт.вх.Hg'!E30)</f>
        <v>Присутствует?</v>
      </c>
      <c r="G31" t="str">
        <f t="shared" si="1"/>
        <v/>
      </c>
    </row>
    <row r="32" spans="1:7" ht="13">
      <c r="A32" s="390" t="str">
        <f>'Этап 4-Пром. прим. Hg'!A4</f>
        <v>Производство химических веществ</v>
      </c>
      <c r="B32">
        <v>0</v>
      </c>
      <c r="C32">
        <f t="shared" si="2"/>
        <v>10</v>
      </c>
      <c r="D32" s="582">
        <f t="shared" si="0"/>
        <v>0</v>
      </c>
      <c r="E32" s="586">
        <f>IF(ISNUMBER(D32),D32*'Этап 1 - Информация о стране'!$B$6,"SKIP")</f>
        <v>0</v>
      </c>
      <c r="F32" s="590" t="str">
        <f>IF('Ур.1-свод. инф. по факт.вх.Hg'!E31="","",'Ур.1-свод. инф. по факт.вх.Hg'!E31)</f>
        <v/>
      </c>
      <c r="G32" t="str">
        <f t="shared" si="1"/>
        <v/>
      </c>
    </row>
    <row r="33" spans="1:7" ht="25">
      <c r="A33" s="449" t="str">
        <f>'Этап 4-Пром. прим. Hg'!A5</f>
        <v>Производство хлорщелочи с использованием ртутных электролизеров</v>
      </c>
      <c r="B33">
        <v>1.2788374205267939E-4</v>
      </c>
      <c r="C33">
        <f t="shared" si="2"/>
        <v>10</v>
      </c>
      <c r="D33" s="582">
        <f t="shared" si="0"/>
        <v>1.2788374205267938E-3</v>
      </c>
      <c r="E33" s="586">
        <f>IF(ISNUMBER(D33),D33*'Этап 1 - Информация о стране'!$B$6,"SKIP")</f>
        <v>0</v>
      </c>
      <c r="F33" s="590" t="str">
        <f>IF('Ур.1-свод. инф. по факт.вх.Hg'!E32="","",'Ур.1-свод. инф. по факт.вх.Hg'!E32)</f>
        <v>Присутствует?</v>
      </c>
      <c r="G33" t="str">
        <f t="shared" si="1"/>
        <v/>
      </c>
    </row>
    <row r="34" spans="1:7" ht="29">
      <c r="A34" s="579" t="str">
        <f>'Этап 4-Пром. прим. Hg'!A6</f>
        <v>Производство винилхлорида с помощью ртутного катализатора</v>
      </c>
      <c r="B34">
        <v>1.0916327136237051E-4</v>
      </c>
      <c r="C34" s="314">
        <v>200</v>
      </c>
      <c r="D34" s="582">
        <f t="shared" si="0"/>
        <v>2.1832654272474102E-2</v>
      </c>
      <c r="E34" s="586">
        <f>IF(ISNUMBER(D34),D34*'Этап 1 - Информация о стране'!$B$6,"SKIP")</f>
        <v>0</v>
      </c>
      <c r="F34" s="590" t="str">
        <f>IF('Ур.1-свод. инф. по факт.вх.Hg'!E33="","",'Ур.1-свод. инф. по факт.вх.Hg'!E33)</f>
        <v>Присутствует?</v>
      </c>
      <c r="G34" t="str">
        <f t="shared" si="1"/>
        <v/>
      </c>
    </row>
    <row r="35" spans="1:7" ht="29">
      <c r="A35" s="579" t="str">
        <f>'Этап 4-Пром. прим. Hg'!A7</f>
        <v>Производство ацетальдегида с помощью ртутного катализатора</v>
      </c>
      <c r="B35" s="581" t="s">
        <v>713</v>
      </c>
      <c r="C35">
        <f t="shared" si="2"/>
        <v>10</v>
      </c>
      <c r="D35" s="582" t="str">
        <f>IF(ISNUMBER(B35),B35*C35,"SKIP")</f>
        <v>SKIP</v>
      </c>
      <c r="E35" s="586" t="str">
        <f>IF(ISNUMBER(D35),D35*'Этап 1 - Информация о стране'!$B$6,"SKIP")</f>
        <v>SKIP</v>
      </c>
      <c r="F35" s="590" t="str">
        <f>IF('Ур.1-свод. инф. по факт.вх.Hg'!E34="","",'Ур.1-свод. инф. по факт.вх.Hg'!E34)</f>
        <v>Присутствует?</v>
      </c>
      <c r="G35" t="str">
        <f t="shared" si="1"/>
        <v/>
      </c>
    </row>
    <row r="36" spans="1:7" ht="13">
      <c r="A36" s="390" t="str">
        <f>'Этап 4-Пром. прим. Hg'!A9</f>
        <v>Производство продукции с содержанием ртути</v>
      </c>
      <c r="B36" s="581"/>
      <c r="C36">
        <f t="shared" si="2"/>
        <v>10</v>
      </c>
      <c r="D36" s="582" t="str">
        <f t="shared" ref="D36:D73" si="3">IF(ISNUMBER(B36),B36*C36,"SKIP")</f>
        <v>SKIP</v>
      </c>
      <c r="E36" s="586" t="str">
        <f>IF(ISNUMBER(D36),D36*'Этап 1 - Информация о стране'!$B$6,"SKIP")</f>
        <v>SKIP</v>
      </c>
      <c r="F36" s="590" t="str">
        <f>IF('Ур.1-свод. инф. по факт.вх.Hg'!E35="","",'Ур.1-свод. инф. по факт.вх.Hg'!E35)</f>
        <v/>
      </c>
      <c r="G36" t="str">
        <f t="shared" si="1"/>
        <v/>
      </c>
    </row>
    <row r="37" spans="1:7" ht="29">
      <c r="A37" s="579" t="str">
        <f>'Этап 4-Пром. прим. Hg'!A10</f>
        <v xml:space="preserve">Ртутные термометры (медицинские, воздушные, лабораторные, промышленные и т. п.) </v>
      </c>
      <c r="B37" s="587">
        <f>B40</f>
        <v>1.0046862845014277E-4</v>
      </c>
      <c r="C37">
        <f t="shared" si="2"/>
        <v>10</v>
      </c>
      <c r="D37" s="582">
        <f t="shared" si="3"/>
        <v>1.0046862845014277E-3</v>
      </c>
      <c r="E37" s="586">
        <f>IF(ISNUMBER(D37),D37*'Этап 1 - Информация о стране'!$B$6,"SKIP")</f>
        <v>0</v>
      </c>
      <c r="F37" s="590" t="str">
        <f>IF('Ур.1-свод. инф. по факт.вх.Hg'!E36="","",'Ур.1-свод. инф. по факт.вх.Hg'!E36)</f>
        <v>Присутствует?</v>
      </c>
      <c r="G37" t="str">
        <f t="shared" si="1"/>
        <v/>
      </c>
    </row>
    <row r="38" spans="1:7" ht="14.5">
      <c r="A38" s="579" t="str">
        <f>'Этап 4-Пром. прим. Hg'!A11</f>
        <v xml:space="preserve">Электрические переключатели и реле с ртутью </v>
      </c>
      <c r="B38" s="587">
        <f>B40</f>
        <v>1.0046862845014277E-4</v>
      </c>
      <c r="C38">
        <f t="shared" si="2"/>
        <v>10</v>
      </c>
      <c r="D38" s="582">
        <f t="shared" si="3"/>
        <v>1.0046862845014277E-3</v>
      </c>
      <c r="E38" s="586">
        <f>IF(ISNUMBER(D38),D38*'Этап 1 - Информация о стране'!$B$6,"SKIP")</f>
        <v>0</v>
      </c>
      <c r="F38" s="590" t="str">
        <f>IF('Ур.1-свод. инф. по факт.вх.Hg'!E37="","",'Ур.1-свод. инф. по факт.вх.Hg'!E37)</f>
        <v>Присутствует?</v>
      </c>
      <c r="G38" t="str">
        <f t="shared" si="1"/>
        <v/>
      </c>
    </row>
    <row r="39" spans="1:7" ht="25">
      <c r="A39" s="449" t="str">
        <f>'Этап 4-Пром. прим. Hg'!A12</f>
        <v>Источники света с ртутью (флуоресцентные, компактные, прочие: см. руководство)</v>
      </c>
      <c r="B39">
        <v>2.4752475247524754E-7</v>
      </c>
      <c r="C39" s="314">
        <v>1000</v>
      </c>
      <c r="D39" s="582">
        <f t="shared" si="3"/>
        <v>2.4752475247524753E-4</v>
      </c>
      <c r="E39" s="586">
        <f>IF(ISNUMBER(D39),D39*'Этап 1 - Информация о стране'!$B$6,"SKIP")</f>
        <v>0</v>
      </c>
      <c r="F39" s="590" t="str">
        <f>IF('Ур.1-свод. инф. по факт.вх.Hg'!E38="","",'Ур.1-свод. инф. по факт.вх.Hg'!E38)</f>
        <v>Присутствует?</v>
      </c>
      <c r="G39" t="str">
        <f t="shared" si="1"/>
        <v/>
      </c>
    </row>
    <row r="40" spans="1:7">
      <c r="A40" s="449" t="str">
        <f>'Этап 4-Пром. прим. Hg'!A13</f>
        <v xml:space="preserve">Ртутные батареи </v>
      </c>
      <c r="B40">
        <v>1.0046862845014277E-4</v>
      </c>
      <c r="C40">
        <f t="shared" si="2"/>
        <v>10</v>
      </c>
      <c r="D40" s="582">
        <f t="shared" si="3"/>
        <v>1.0046862845014277E-3</v>
      </c>
      <c r="E40" s="586">
        <f>IF(ISNUMBER(D40),D40*'Этап 1 - Информация о стране'!$B$6,"SKIP")</f>
        <v>0</v>
      </c>
      <c r="F40" s="590" t="str">
        <f>IF('Ур.1-свод. инф. по факт.вх.Hg'!E39="","",'Ур.1-свод. инф. по факт.вх.Hg'!E39)</f>
        <v>Присутствует?</v>
      </c>
      <c r="G40" t="str">
        <f t="shared" si="1"/>
        <v/>
      </c>
    </row>
    <row r="41" spans="1:7" ht="14.5">
      <c r="A41" s="579" t="str">
        <f>'Этап 4-Пром. прим. Hg'!A14</f>
        <v xml:space="preserve">Ртутные манометры и датчики </v>
      </c>
      <c r="B41" s="588">
        <f>$B$40</f>
        <v>1.0046862845014277E-4</v>
      </c>
      <c r="C41">
        <f t="shared" si="2"/>
        <v>10</v>
      </c>
      <c r="D41" s="582">
        <f t="shared" si="3"/>
        <v>1.0046862845014277E-3</v>
      </c>
      <c r="E41" s="586">
        <f>IF(ISNUMBER(D41),D41*'Этап 1 - Информация о стране'!$B$6,"SKIP")</f>
        <v>0</v>
      </c>
      <c r="F41" s="590" t="str">
        <f>IF('Ур.1-свод. инф. по факт.вх.Hg'!E40="","",'Ур.1-свод. инф. по факт.вх.Hg'!E40)</f>
        <v>Присутствует?</v>
      </c>
      <c r="G41" t="str">
        <f t="shared" si="1"/>
        <v/>
      </c>
    </row>
    <row r="42" spans="1:7" ht="14.5">
      <c r="A42" s="579" t="str">
        <f>'Этап 4-Пром. прим. Hg'!A15</f>
        <v xml:space="preserve">Ртутьсодержащие биоциды и пестициды </v>
      </c>
      <c r="B42" s="588">
        <f>$B$40</f>
        <v>1.0046862845014277E-4</v>
      </c>
      <c r="C42">
        <f t="shared" si="2"/>
        <v>10</v>
      </c>
      <c r="D42" s="582">
        <f t="shared" si="3"/>
        <v>1.0046862845014277E-3</v>
      </c>
      <c r="E42" s="586">
        <f>IF(ISNUMBER(D42),D42*'Этап 1 - Информация о стране'!$B$6,"SKIP")</f>
        <v>0</v>
      </c>
      <c r="F42" s="590" t="str">
        <f>IF('Ур.1-свод. инф. по факт.вх.Hg'!E41="","",'Ур.1-свод. инф. по факт.вх.Hg'!E41)</f>
        <v>Присутствует?</v>
      </c>
      <c r="G42" t="str">
        <f t="shared" si="1"/>
        <v/>
      </c>
    </row>
    <row r="43" spans="1:7">
      <c r="A43" s="449" t="str">
        <f>'Этап 4-Пром. прим. Hg'!A16</f>
        <v xml:space="preserve">Ртутьсодержащие краски </v>
      </c>
      <c r="B43">
        <v>2.4752475247524754E-5</v>
      </c>
      <c r="C43">
        <f t="shared" si="2"/>
        <v>10</v>
      </c>
      <c r="D43" s="582">
        <f t="shared" si="3"/>
        <v>2.4752475247524753E-4</v>
      </c>
      <c r="E43" s="586">
        <f>IF(ISNUMBER(D43),D43*'Этап 1 - Информация о стране'!$B$6,"SKIP")</f>
        <v>0</v>
      </c>
      <c r="F43" s="590" t="str">
        <f>IF('Ур.1-свод. инф. по факт.вх.Hg'!E42="","",'Ур.1-свод. инф. по факт.вх.Hg'!E42)</f>
        <v>Присутствует?</v>
      </c>
      <c r="G43" t="str">
        <f t="shared" si="1"/>
        <v/>
      </c>
    </row>
    <row r="44" spans="1:7" ht="25">
      <c r="A44" s="449" t="str">
        <f>'Этап 4-Пром. прим. Hg'!A17</f>
        <v xml:space="preserve">Кремы для отбеливания кожи и мыло с содержанием элементов ртути </v>
      </c>
      <c r="B44">
        <v>2.4752475247524754E-5</v>
      </c>
      <c r="C44">
        <v>10</v>
      </c>
      <c r="D44" s="582">
        <f t="shared" si="3"/>
        <v>2.4752475247524753E-4</v>
      </c>
      <c r="E44" s="586">
        <f>IF(ISNUMBER(D44),D44*'Этап 1 - Информация о стране'!$B$6,"SKIP")</f>
        <v>0</v>
      </c>
      <c r="F44" s="590" t="str">
        <f>IF('Ур.1-свод. инф. по факт.вх.Hg'!E43="","",'Ур.1-свод. инф. по факт.вх.Hg'!E43)</f>
        <v>Присутствует?</v>
      </c>
      <c r="G44" t="str">
        <f t="shared" si="1"/>
        <v/>
      </c>
    </row>
    <row r="45" spans="1:7" ht="26">
      <c r="A45" s="390" t="str">
        <f>'Этап 6-Hg-продукция - вещ-ва'!A6</f>
        <v>Использование и утилизация ртутьсодержащей продукции</v>
      </c>
      <c r="B45">
        <v>0</v>
      </c>
      <c r="C45">
        <f t="shared" si="2"/>
        <v>10</v>
      </c>
      <c r="D45" s="582">
        <f t="shared" si="3"/>
        <v>0</v>
      </c>
      <c r="E45" s="586">
        <f>IF(ISNUMBER(D45),D45*'Этап 1 - Информация о стране'!$B$6,"SKIP")</f>
        <v>0</v>
      </c>
      <c r="F45" s="590" t="str">
        <f>IF('Ур.1-свод. инф. по факт.вх.Hg'!E44="","",'Ур.1-свод. инф. по факт.вх.Hg'!E44)</f>
        <v/>
      </c>
      <c r="G45" t="str">
        <f t="shared" si="1"/>
        <v/>
      </c>
    </row>
    <row r="46" spans="1:7" ht="13">
      <c r="A46" s="580" t="str">
        <f>'Этап 6-Hg-продукция - вещ-ва'!A7</f>
        <v>Амальгама для зубных пломб («серебряные» пломбы)</v>
      </c>
      <c r="B46" s="581" t="s">
        <v>714</v>
      </c>
      <c r="C46">
        <f t="shared" si="2"/>
        <v>10</v>
      </c>
      <c r="D46" s="582" t="str">
        <f t="shared" si="3"/>
        <v>SKIP</v>
      </c>
      <c r="E46" s="586" t="str">
        <f>IF(ISNUMBER(D46),D46*'Этап 1 - Информация о стране'!$B$6,"SKIP")</f>
        <v>SKIP</v>
      </c>
      <c r="F46" s="590" t="str">
        <f>IF('Ур.1-свод. инф. по факт.вх.Hg'!E45="","",'Ур.1-свод. инф. по факт.вх.Hg'!E45)</f>
        <v>Присутствует?</v>
      </c>
      <c r="G46" t="str">
        <f t="shared" si="1"/>
        <v/>
      </c>
    </row>
    <row r="47" spans="1:7">
      <c r="A47" s="449" t="str">
        <f>'Этап 6-Hg-продукция - вещ-ва'!A15</f>
        <v>Термометры</v>
      </c>
      <c r="B47">
        <v>1.322254652117067E-4</v>
      </c>
      <c r="C47">
        <f t="shared" si="2"/>
        <v>10</v>
      </c>
      <c r="D47" s="582">
        <f t="shared" si="3"/>
        <v>1.3222546521170671E-3</v>
      </c>
      <c r="E47" s="586">
        <f>IF(ISNUMBER(D47),D47*'Этап 1 - Информация о стране'!$B$6,"SKIP")</f>
        <v>0</v>
      </c>
      <c r="F47" s="590" t="str">
        <f>IF('Ур.1-свод. инф. по факт.вх.Hg'!E46="","",'Ур.1-свод. инф. по факт.вх.Hg'!E46)</f>
        <v>Присутствует?</v>
      </c>
      <c r="G47" t="str">
        <f t="shared" si="1"/>
        <v/>
      </c>
    </row>
    <row r="48" spans="1:7" ht="13">
      <c r="A48" s="580" t="str">
        <f>'Этап 6-Hg-продукция - вещ-ва'!A20</f>
        <v>Электрические переключатели и реле с ртутью</v>
      </c>
      <c r="B48" s="581" t="s">
        <v>714</v>
      </c>
      <c r="C48">
        <f t="shared" si="2"/>
        <v>10</v>
      </c>
      <c r="D48" s="582" t="str">
        <f t="shared" si="3"/>
        <v>SKIP</v>
      </c>
      <c r="E48" s="586" t="str">
        <f>IF(ISNUMBER(D48),D48*'Этап 1 - Информация о стране'!$B$6,"SKIP")</f>
        <v>SKIP</v>
      </c>
      <c r="F48" s="590" t="str">
        <f>IF('Ур.1-свод. инф. по факт.вх.Hg'!E47="","",'Ур.1-свод. инф. по факт.вх.Hg'!E47)</f>
        <v>Присутствует?</v>
      </c>
      <c r="G48" t="str">
        <f t="shared" si="1"/>
        <v/>
      </c>
    </row>
    <row r="49" spans="1:7">
      <c r="A49" s="449" t="str">
        <f>'Этап 6-Hg-продукция - вещ-ва'!A23</f>
        <v>Ртутьсодержащие источники света</v>
      </c>
      <c r="B49">
        <v>1.8975883969257531E-5</v>
      </c>
      <c r="C49">
        <f t="shared" si="2"/>
        <v>10</v>
      </c>
      <c r="D49" s="582">
        <f t="shared" si="3"/>
        <v>1.8975883969257531E-4</v>
      </c>
      <c r="E49" s="586">
        <f>IF(ISNUMBER(D49),D49*'Этап 1 - Информация о стране'!$B$6,"SKIP")</f>
        <v>0</v>
      </c>
      <c r="F49" s="590" t="str">
        <f>IF('Ур.1-свод. инф. по факт.вх.Hg'!E48="","",'Ур.1-свод. инф. по факт.вх.Hg'!E48)</f>
        <v>Присутствует?</v>
      </c>
      <c r="G49" t="str">
        <f t="shared" si="1"/>
        <v/>
      </c>
    </row>
    <row r="50" spans="1:7">
      <c r="A50" s="279" t="str">
        <f>'Этап 6-Hg-продукция - вещ-ва'!A28</f>
        <v>Ртутные батареи</v>
      </c>
      <c r="B50">
        <v>1.2791241581064613E-2</v>
      </c>
      <c r="C50">
        <f t="shared" si="2"/>
        <v>10</v>
      </c>
      <c r="D50" s="582">
        <f t="shared" si="3"/>
        <v>0.12791241581064614</v>
      </c>
      <c r="E50" s="586">
        <f>IF(ISNUMBER(D50),D50*'Этап 1 - Информация о стране'!$B$6,"SKIP")</f>
        <v>0</v>
      </c>
      <c r="F50" s="590" t="str">
        <f>IF('Ур.1-свод. инф. по факт.вх.Hg'!E49="","",'Ур.1-свод. инф. по факт.вх.Hg'!E49)</f>
        <v>Присутствует?</v>
      </c>
      <c r="G50" t="str">
        <f t="shared" si="1"/>
        <v/>
      </c>
    </row>
    <row r="51" spans="1:7" ht="25.5">
      <c r="A51" s="580" t="str">
        <f>'Этап 6-Hg-продукция - вещ-ва'!A33</f>
        <v>Полиуретан (PU, PUR), полученный с помощью ртутного катализатора</v>
      </c>
      <c r="B51" s="581" t="s">
        <v>714</v>
      </c>
      <c r="C51">
        <f t="shared" si="2"/>
        <v>10</v>
      </c>
      <c r="D51" s="582" t="str">
        <f t="shared" si="3"/>
        <v>SKIP</v>
      </c>
      <c r="E51" s="586" t="str">
        <f>IF(ISNUMBER(D51),D51*'Этап 1 - Информация о стране'!$B$6,"SKIP")</f>
        <v>SKIP</v>
      </c>
      <c r="F51" s="590" t="str">
        <f>IF('Ур.1-свод. инф. по факт.вх.Hg'!E50="","",'Ур.1-свод. инф. по факт.вх.Hg'!E50)</f>
        <v>-</v>
      </c>
      <c r="G51" t="str">
        <f t="shared" si="1"/>
        <v/>
      </c>
    </row>
    <row r="52" spans="1:7" ht="14.5">
      <c r="A52" s="589" t="str">
        <f>'Этап 6-Hg-продукция - вещ-ва'!A36</f>
        <v>Краски с ртутьсодержащими стабилизаторами</v>
      </c>
      <c r="B52">
        <v>3.2178217821782178E-6</v>
      </c>
      <c r="C52" s="314">
        <v>30</v>
      </c>
      <c r="D52" s="582">
        <f t="shared" si="3"/>
        <v>9.6534653465346539E-5</v>
      </c>
      <c r="E52" s="586">
        <f>IF(ISNUMBER(D52),D52*'Этап 1 - Информация о стране'!$B$6,"SKIP")</f>
        <v>0</v>
      </c>
      <c r="F52" s="590" t="str">
        <f>IF('Ур.1-свод. инф. по факт.вх.Hg'!E51="","",'Ур.1-свод. инф. по факт.вх.Hg'!E51)</f>
        <v>Присутствует?</v>
      </c>
      <c r="G52" t="str">
        <f t="shared" si="1"/>
        <v/>
      </c>
    </row>
    <row r="53" spans="1:7" ht="29">
      <c r="A53" s="589" t="str">
        <f>'Этап 6-Hg-продукция - вещ-ва'!A38</f>
        <v>Кремы для отбеливания кожи и мыло с содержанием элементов ртути</v>
      </c>
      <c r="B53">
        <v>1.0332588101156864E-5</v>
      </c>
      <c r="C53">
        <v>10</v>
      </c>
      <c r="D53" s="582">
        <f t="shared" si="3"/>
        <v>1.0332588101156865E-4</v>
      </c>
      <c r="E53" s="586">
        <f>IF(ISNUMBER(D53),D53*'Этап 1 - Информация о стране'!$B$6,"SKIP")</f>
        <v>0</v>
      </c>
      <c r="F53" s="590" t="str">
        <f>IF('Ур.1-свод. инф. по факт.вх.Hg'!E52="","",'Ур.1-свод. инф. по факт.вх.Hg'!E52)</f>
        <v>Присутствует?</v>
      </c>
      <c r="G53" t="str">
        <f t="shared" si="1"/>
        <v/>
      </c>
    </row>
    <row r="54" spans="1:7" ht="14.5">
      <c r="A54" s="589" t="str">
        <f>'Этап 6-Hg-продукция - вещ-ва'!A40</f>
        <v>Медицинские тонометры (ртутные сфигмоманометры)</v>
      </c>
      <c r="B54">
        <v>6.5182568191907641E-5</v>
      </c>
      <c r="C54">
        <f t="shared" si="2"/>
        <v>10</v>
      </c>
      <c r="D54" s="582">
        <f t="shared" si="3"/>
        <v>6.5182568191907641E-4</v>
      </c>
      <c r="E54" s="586">
        <f>IF(ISNUMBER(D54),D54*'Этап 1 - Информация о стране'!$B$6,"SKIP")</f>
        <v>0</v>
      </c>
      <c r="F54" s="590" t="str">
        <f>IF('Ур.1-свод. инф. по факт.вх.Hg'!E53="","",'Ур.1-свод. инф. по факт.вх.Hg'!E53)</f>
        <v>Присутствует?</v>
      </c>
      <c r="G54" t="str">
        <f t="shared" si="1"/>
        <v/>
      </c>
    </row>
    <row r="55" spans="1:7" ht="13">
      <c r="A55" s="580" t="str">
        <f>'Этап 6-Hg-продукция - вещ-ва'!A42</f>
        <v>Прочие ртутные манометры и датчики</v>
      </c>
      <c r="B55" s="581" t="s">
        <v>714</v>
      </c>
      <c r="C55">
        <f t="shared" si="2"/>
        <v>10</v>
      </c>
      <c r="D55" s="582" t="str">
        <f t="shared" si="3"/>
        <v>SKIP</v>
      </c>
      <c r="E55" s="586" t="str">
        <f>IF(ISNUMBER(D55),D55*'Этап 1 - Информация о стране'!$B$6,"SKIP")</f>
        <v>SKIP</v>
      </c>
      <c r="F55" s="590" t="str">
        <f>IF('Ур.1-свод. инф. по факт.вх.Hg'!E54="","",'Ур.1-свод. инф. по факт.вх.Hg'!E54)</f>
        <v>Присутствует?</v>
      </c>
      <c r="G55" t="str">
        <f t="shared" si="1"/>
        <v/>
      </c>
    </row>
    <row r="56" spans="1:7" ht="13">
      <c r="A56" s="580" t="str">
        <f>'Этап 6-Hg-продукция - вещ-ва'!A45</f>
        <v>Химические вещества для лабораторий</v>
      </c>
      <c r="B56" s="581" t="s">
        <v>714</v>
      </c>
      <c r="C56">
        <f t="shared" si="2"/>
        <v>10</v>
      </c>
      <c r="D56" s="582" t="str">
        <f t="shared" si="3"/>
        <v>SKIP</v>
      </c>
      <c r="E56" s="586" t="str">
        <f>IF(ISNUMBER(D56),D56*'Этап 1 - Информация о стране'!$B$6,"SKIP")</f>
        <v>SKIP</v>
      </c>
      <c r="F56" s="590" t="str">
        <f>IF('Ур.1-свод. инф. по факт.вх.Hg'!E55="","",'Ур.1-свод. инф. по факт.вх.Hg'!E55)</f>
        <v>Присутствует?</v>
      </c>
      <c r="G56" t="str">
        <f t="shared" si="1"/>
        <v/>
      </c>
    </row>
    <row r="57" spans="1:7" ht="25.5">
      <c r="A57" s="580" t="str">
        <f>'Этап 6-Hg-продукция - вещ-ва'!A48</f>
        <v xml:space="preserve">Прочее ртутьсодержащее лабораторное и медицинское оборудование </v>
      </c>
      <c r="B57" s="581" t="s">
        <v>714</v>
      </c>
      <c r="C57">
        <f t="shared" si="2"/>
        <v>10</v>
      </c>
      <c r="D57" s="582" t="str">
        <f t="shared" si="3"/>
        <v>SKIP</v>
      </c>
      <c r="E57" s="586" t="str">
        <f>IF(ISNUMBER(D57),D57*'Этап 1 - Информация о стране'!$B$6,"SKIP")</f>
        <v>SKIP</v>
      </c>
      <c r="F57" s="590" t="str">
        <f>IF('Ур.1-свод. инф. по факт.вх.Hg'!E56="","",'Ур.1-свод. инф. по факт.вх.Hg'!E56)</f>
        <v>Присутствует?</v>
      </c>
      <c r="G57" t="str">
        <f t="shared" si="1"/>
        <v/>
      </c>
    </row>
    <row r="58" spans="1:7" ht="13">
      <c r="A58" s="390" t="str">
        <f>'Этап5-Обраб. отходов+перераб.'!A8</f>
        <v>Производство восстановленных металлов</v>
      </c>
      <c r="B58">
        <v>0</v>
      </c>
      <c r="C58">
        <f t="shared" si="2"/>
        <v>10</v>
      </c>
      <c r="D58" s="582">
        <f t="shared" si="3"/>
        <v>0</v>
      </c>
      <c r="E58" s="586">
        <f>IF(ISNUMBER(D58),D58*'Этап 1 - Информация о стране'!$B$6,"SKIP")</f>
        <v>0</v>
      </c>
      <c r="F58" s="590" t="str">
        <f>IF('Ур.1-свод. инф. по факт.вх.Hg'!E57="","",'Ур.1-свод. инф. по факт.вх.Hg'!E57)</f>
        <v/>
      </c>
      <c r="G58" t="str">
        <f t="shared" si="1"/>
        <v/>
      </c>
    </row>
    <row r="59" spans="1:7" ht="29">
      <c r="A59" s="589" t="str">
        <f>'Этап5-Обраб. отходов+перераб.'!A9</f>
        <v>Производство повторно используемой ртути («вторичное производство»)</v>
      </c>
      <c r="B59" s="588">
        <v>0.01</v>
      </c>
      <c r="C59">
        <f t="shared" si="2"/>
        <v>10</v>
      </c>
      <c r="D59" s="582">
        <f t="shared" si="3"/>
        <v>0.1</v>
      </c>
      <c r="E59" s="586">
        <f>IF(ISNUMBER(D59),D59*'Этап 1 - Информация о стране'!$B$6,"SKIP")</f>
        <v>0</v>
      </c>
      <c r="F59" s="590" t="str">
        <f>IF('Ур.1-свод. инф. по факт.вх.Hg'!E58="","",'Ур.1-свод. инф. по факт.вх.Hg'!E58)</f>
        <v>Присутствует?</v>
      </c>
      <c r="G59" t="str">
        <f t="shared" si="1"/>
        <v/>
      </c>
    </row>
    <row r="60" spans="1:7" ht="25">
      <c r="A60" s="449" t="str">
        <f>'Этап5-Обраб. отходов+перераб.'!A10</f>
        <v>Производство повторно используемых черных металлов (чугун и сталь)</v>
      </c>
      <c r="B60">
        <v>8.9600574132633599E-6</v>
      </c>
      <c r="C60">
        <f t="shared" si="2"/>
        <v>10</v>
      </c>
      <c r="D60" s="582">
        <f t="shared" si="3"/>
        <v>8.9600574132633602E-5</v>
      </c>
      <c r="E60" s="586">
        <f>IF(ISNUMBER(D60),D60*'Этап 1 - Информация о стране'!$B$6,"SKIP")</f>
        <v>0</v>
      </c>
      <c r="F60" s="590" t="str">
        <f>IF('Ур.1-свод. инф. по факт.вх.Hg'!E59="","",'Ур.1-свод. инф. по факт.вх.Hg'!E59)</f>
        <v>Присутствует?</v>
      </c>
      <c r="G60" t="str">
        <f t="shared" si="1"/>
        <v/>
      </c>
    </row>
    <row r="61" spans="1:7" ht="13">
      <c r="A61" s="390" t="str">
        <f>'Этап5-Обраб. отходов+перераб.'!A12</f>
        <v>Сжигание отходов</v>
      </c>
      <c r="B61">
        <v>0</v>
      </c>
      <c r="C61">
        <f t="shared" si="2"/>
        <v>10</v>
      </c>
      <c r="D61" s="582">
        <f t="shared" si="3"/>
        <v>0</v>
      </c>
      <c r="E61" s="586">
        <f>IF(ISNUMBER(D61),D61*'Этап 1 - Информация о стране'!$B$6,"SKIP")</f>
        <v>0</v>
      </c>
      <c r="F61" s="590" t="str">
        <f>IF('Ур.1-свод. инф. по факт.вх.Hg'!E60="","",'Ур.1-свод. инф. по факт.вх.Hg'!E60)</f>
        <v/>
      </c>
      <c r="G61" t="str">
        <f t="shared" si="1"/>
        <v/>
      </c>
    </row>
    <row r="62" spans="1:7">
      <c r="A62" s="279" t="str">
        <f>'Этап5-Обраб. отходов+перераб.'!A13</f>
        <v>Сжигание городских/обычных отходов</v>
      </c>
      <c r="B62">
        <v>5.9929523809523809E-4</v>
      </c>
      <c r="C62">
        <f t="shared" si="2"/>
        <v>10</v>
      </c>
      <c r="D62" s="582">
        <f t="shared" si="3"/>
        <v>5.9929523809523809E-3</v>
      </c>
      <c r="E62" s="586">
        <f>IF(ISNUMBER(D62),D62*'Этап 1 - Информация о стране'!$B$6,"SKIP")</f>
        <v>0</v>
      </c>
      <c r="F62" s="590" t="str">
        <f>IF('Ур.1-свод. инф. по факт.вх.Hg'!E61="","",'Ур.1-свод. инф. по факт.вх.Hg'!E61)</f>
        <v>Присутствует?</v>
      </c>
      <c r="G62" t="str">
        <f t="shared" si="1"/>
        <v/>
      </c>
    </row>
    <row r="63" spans="1:7">
      <c r="A63" s="279" t="str">
        <f>'Этап5-Обраб. отходов+перераб.'!A16</f>
        <v>Сжигание опасных отходов</v>
      </c>
      <c r="B63">
        <v>2.6063225443658077E-6</v>
      </c>
      <c r="C63">
        <f t="shared" si="2"/>
        <v>10</v>
      </c>
      <c r="D63" s="582">
        <f t="shared" si="3"/>
        <v>2.6063225443658077E-5</v>
      </c>
      <c r="E63" s="586">
        <f>IF(ISNUMBER(D63),D63*'Этап 1 - Информация о стране'!$B$6,"SKIP")</f>
        <v>0</v>
      </c>
      <c r="F63" s="590" t="str">
        <f>IF('Ур.1-свод. инф. по факт.вх.Hg'!E62="","",'Ур.1-свод. инф. по факт.вх.Hg'!E62)</f>
        <v>Присутствует?</v>
      </c>
      <c r="G63" t="str">
        <f t="shared" si="1"/>
        <v/>
      </c>
    </row>
    <row r="64" spans="1:7">
      <c r="A64" s="279" t="str">
        <f>'Этап5-Обраб. отходов+перераб.'!A19</f>
        <v>Инсинерация и открытое сжигание медицинских отходов</v>
      </c>
      <c r="B64">
        <v>2.8364153670187712E-4</v>
      </c>
      <c r="C64">
        <f t="shared" si="2"/>
        <v>10</v>
      </c>
      <c r="D64" s="582">
        <f t="shared" si="3"/>
        <v>2.8364153670187714E-3</v>
      </c>
      <c r="E64" s="586">
        <f>IF(ISNUMBER(D64),D64*'Этап 1 - Информация о стране'!$B$6,"SKIP")</f>
        <v>0</v>
      </c>
      <c r="F64" s="590" t="str">
        <f>IF('Ур.1-свод. инф. по факт.вх.Hg'!E63="","",'Ур.1-свод. инф. по факт.вх.Hg'!E63)</f>
        <v>Присутствует?</v>
      </c>
      <c r="G64" t="str">
        <f t="shared" si="1"/>
        <v/>
      </c>
    </row>
    <row r="65" spans="1:7">
      <c r="A65" s="279" t="str">
        <f>'Этап5-Обраб. отходов+перераб.'!A22</f>
        <v>Сжигание осадка сточных вод</v>
      </c>
      <c r="B65">
        <v>9.3304259726002709E-7</v>
      </c>
      <c r="C65" s="314">
        <v>500</v>
      </c>
      <c r="D65" s="582">
        <f t="shared" si="3"/>
        <v>4.6652129863001353E-4</v>
      </c>
      <c r="E65" s="586">
        <f>IF(ISNUMBER(D65),D65*'Этап 1 - Информация о стране'!$B$6,"SKIP")</f>
        <v>0</v>
      </c>
      <c r="F65" s="590" t="str">
        <f>IF('Ур.1-свод. инф. по факт.вх.Hg'!E64="","",'Ур.1-свод. инф. по факт.вх.Hg'!E64)</f>
        <v>Присутствует?</v>
      </c>
      <c r="G65" t="str">
        <f t="shared" si="1"/>
        <v/>
      </c>
    </row>
    <row r="66" spans="1:7" ht="25">
      <c r="A66" s="279" t="str">
        <f>'Этап5-Обраб. отходов+перераб.'!A23</f>
        <v>Сжигание отходов на открытом огне (на полигонах и произвольно)</v>
      </c>
      <c r="B66">
        <v>9.3446066668161803E-4</v>
      </c>
      <c r="C66">
        <f t="shared" si="2"/>
        <v>10</v>
      </c>
      <c r="D66" s="582">
        <f t="shared" si="3"/>
        <v>9.3446066668161805E-3</v>
      </c>
      <c r="E66" s="586">
        <f>IF(ISNUMBER(D66),D66*'Этап 1 - Информация о стране'!$B$6,"SKIP")</f>
        <v>0</v>
      </c>
      <c r="F66" s="590" t="str">
        <f>IF('Ур.1-свод. инф. по факт.вх.Hg'!E65="","",'Ур.1-свод. инф. по факт.вх.Hg'!E65)</f>
        <v>Присутствует?</v>
      </c>
      <c r="G66" t="str">
        <f t="shared" si="1"/>
        <v/>
      </c>
    </row>
    <row r="67" spans="1:7" ht="26">
      <c r="A67" s="390" t="str">
        <f>'Этап5-Обраб. отходов+перераб.'!A25</f>
        <v>Размещение отходов/ссыпание отходов в отвал и обработка сточных вод</v>
      </c>
      <c r="B67">
        <v>0</v>
      </c>
      <c r="C67">
        <f t="shared" si="2"/>
        <v>10</v>
      </c>
      <c r="D67" s="582">
        <f t="shared" si="3"/>
        <v>0</v>
      </c>
      <c r="E67" s="586">
        <f>IF(ISNUMBER(D67),D67*'Этап 1 - Информация о стране'!$B$6,"SKIP")</f>
        <v>0</v>
      </c>
      <c r="F67" s="590" t="str">
        <f>IF('Ур.1-свод. инф. по факт.вх.Hg'!E66="","",'Ур.1-свод. инф. по факт.вх.Hg'!E66)</f>
        <v/>
      </c>
      <c r="G67" t="str">
        <f t="shared" si="1"/>
        <v/>
      </c>
    </row>
    <row r="68" spans="1:7">
      <c r="A68" s="279" t="str">
        <f>'Этап5-Обраб. отходов+перераб.'!A26</f>
        <v>Контролируемые свалки отходов/отложений</v>
      </c>
      <c r="B68">
        <v>1.9986314970413459E-3</v>
      </c>
      <c r="C68">
        <f t="shared" si="2"/>
        <v>10</v>
      </c>
      <c r="D68" s="582">
        <f t="shared" si="3"/>
        <v>1.9986314970413459E-2</v>
      </c>
      <c r="E68" s="586">
        <f>IF(ISNUMBER(D68),D68*'Этап 1 - Информация о стране'!$B$6,"SKIP")</f>
        <v>0</v>
      </c>
      <c r="F68" s="590" t="str">
        <f>IF('Ур.1-свод. инф. по факт.вх.Hg'!E67="","",'Ур.1-свод. инф. по факт.вх.Hg'!E67)</f>
        <v>Присутствует?</v>
      </c>
      <c r="G68" t="str">
        <f t="shared" si="1"/>
        <v/>
      </c>
    </row>
    <row r="69" spans="1:7">
      <c r="A69" s="279" t="str">
        <f>'Этап5-Обраб. отходов+перераб.'!A27</f>
        <v>Несанкционированный сброс обычных отходов *1</v>
      </c>
      <c r="B69">
        <v>9.9247027755450983E-4</v>
      </c>
      <c r="C69">
        <f t="shared" si="2"/>
        <v>10</v>
      </c>
      <c r="D69" s="582">
        <f t="shared" si="3"/>
        <v>9.9247027755450974E-3</v>
      </c>
      <c r="E69" s="586">
        <f>IF(ISNUMBER(D69),D69*'Этап 1 - Информация о стране'!$B$6,"SKIP")</f>
        <v>0</v>
      </c>
      <c r="F69" s="590" t="str">
        <f>IF('Ур.1-свод. инф. по факт.вх.Hg'!E68="","",'Ур.1-свод. инф. по факт.вх.Hg'!E68)</f>
        <v>Присутствует?</v>
      </c>
      <c r="G69" t="str">
        <f t="shared" si="1"/>
        <v/>
      </c>
    </row>
    <row r="70" spans="1:7">
      <c r="A70" s="279" t="str">
        <f>'Этап5-Обраб. отходов+перераб.'!A29</f>
        <v>Система сбора и отведения/обработка сточных вод</v>
      </c>
      <c r="B70">
        <v>5.0556280289187523E-3</v>
      </c>
      <c r="C70">
        <f t="shared" si="2"/>
        <v>10</v>
      </c>
      <c r="D70" s="582">
        <f t="shared" si="3"/>
        <v>5.0556280289187523E-2</v>
      </c>
      <c r="E70" s="586">
        <f>IF(ISNUMBER(D70),D70*'Этап 1 - Информация о стране'!$B$6,"SKIP")</f>
        <v>0</v>
      </c>
      <c r="F70" s="590" t="str">
        <f>IF('Ур.1-свод. инф. по факт.вх.Hg'!E69="","",'Ур.1-свод. инф. по факт.вх.Hg'!E69)</f>
        <v>Присутствует?</v>
      </c>
      <c r="G70" t="str">
        <f t="shared" si="1"/>
        <v/>
      </c>
    </row>
    <row r="71" spans="1:7" ht="13">
      <c r="A71" s="390" t="str">
        <f>'Этап 7 - Крематории-кладбища'!A4</f>
        <v>Крематории и кладбища</v>
      </c>
      <c r="B71">
        <v>0</v>
      </c>
      <c r="C71">
        <f t="shared" si="2"/>
        <v>10</v>
      </c>
      <c r="D71" s="582">
        <f t="shared" si="3"/>
        <v>0</v>
      </c>
      <c r="E71" s="586">
        <f>IF(ISNUMBER(D71),D71*'Этап 1 - Информация о стране'!$B$6,"SKIP")</f>
        <v>0</v>
      </c>
      <c r="F71" s="590" t="str">
        <f>IF('Ур.1-свод. инф. по факт.вх.Hg'!E70="","",'Ур.1-свод. инф. по факт.вх.Hg'!E70)</f>
        <v/>
      </c>
      <c r="G71" t="str">
        <f t="shared" si="1"/>
        <v/>
      </c>
    </row>
    <row r="72" spans="1:7">
      <c r="A72" s="449" t="str">
        <f>'Этап 7 - Крематории-кладбища'!A5</f>
        <v>Крематории</v>
      </c>
      <c r="B72">
        <v>8.347890611714873E-6</v>
      </c>
      <c r="C72" s="314">
        <v>100</v>
      </c>
      <c r="D72" s="582">
        <f t="shared" si="3"/>
        <v>8.3478906117148732E-4</v>
      </c>
      <c r="E72" s="586">
        <f>IF(ISNUMBER(D72),D72*'Этап 1 - Информация о стране'!$B$6,"SKIP")</f>
        <v>0</v>
      </c>
      <c r="F72" s="590" t="str">
        <f>IF('Ур.1-свод. инф. по факт.вх.Hg'!E71="","",'Ур.1-свод. инф. по факт.вх.Hg'!E71)</f>
        <v>Присутствует?</v>
      </c>
      <c r="G72" t="str">
        <f>IF(ISNUMBER(F72),IF(F72&lt;E72,"y","n"),"")</f>
        <v/>
      </c>
    </row>
    <row r="73" spans="1:7">
      <c r="A73" s="449" t="str">
        <f>'Этап 7 - Крематории-кладбища'!A6</f>
        <v>Кладбища</v>
      </c>
      <c r="B73">
        <v>2.3823640052987485E-4</v>
      </c>
      <c r="C73">
        <f>$C$3</f>
        <v>10</v>
      </c>
      <c r="D73" s="582">
        <f t="shared" si="3"/>
        <v>2.3823640052987485E-3</v>
      </c>
      <c r="E73" s="586">
        <f>IF(ISNUMBER(D73),D73*'Этап 1 - Информация о стране'!$B$6,"SKIP")</f>
        <v>0</v>
      </c>
      <c r="F73" s="590" t="str">
        <f>IF('Ур.1-свод. инф. по факт.вх.Hg'!E72="","",'Ур.1-свод. инф. по факт.вх.Hg'!E72)</f>
        <v>Присутствует?</v>
      </c>
      <c r="G73" t="str">
        <f>IF(ISNUMBER(F73),IF(F73&lt;E73,"y","n"),"")</f>
        <v/>
      </c>
    </row>
  </sheetData>
  <sheetProtection algorithmName="SHA-512" hashValue="3/Cp1SfjqUme/TKC+Brebjr0El4JkAtZQ0wGR0n0Aky1GZl8YxJJa6V0bjc9E8mPU9FeFshhhSL/7+XdWKLFIQ==" saltValue="B85mb0cowp2+DBJ9e19MZA==" spinCount="100000" sheet="1" objects="1" scenarios="1"/>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Y131"/>
  <sheetViews>
    <sheetView workbookViewId="0">
      <selection activeCell="B16" sqref="B16"/>
    </sheetView>
  </sheetViews>
  <sheetFormatPr defaultColWidth="8.81640625" defaultRowHeight="12.5"/>
  <cols>
    <col min="1" max="1" width="39.6328125" customWidth="1"/>
    <col min="2" max="2" width="15.6328125" customWidth="1"/>
    <col min="3" max="3" width="28.6328125" customWidth="1"/>
    <col min="4" max="4" width="19.453125" customWidth="1"/>
    <col min="5" max="5" width="19" customWidth="1"/>
    <col min="6" max="6" width="12.1796875" customWidth="1"/>
    <col min="7" max="7" width="15" customWidth="1"/>
    <col min="8" max="8" width="61.6328125" customWidth="1"/>
    <col min="9" max="25" width="9.1796875" style="337"/>
  </cols>
  <sheetData>
    <row r="1" spans="1:8" s="337" customFormat="1" ht="13">
      <c r="A1" s="749" t="s">
        <v>1049</v>
      </c>
    </row>
    <row r="2" spans="1:8" s="337" customFormat="1">
      <c r="A2" s="801" t="s">
        <v>1050</v>
      </c>
    </row>
    <row r="3" spans="1:8" s="337" customFormat="1">
      <c r="A3" s="743" t="s">
        <v>1051</v>
      </c>
    </row>
    <row r="4" spans="1:8" s="337" customFormat="1">
      <c r="A4" s="743" t="s">
        <v>1052</v>
      </c>
    </row>
    <row r="5" spans="1:8" s="337" customFormat="1">
      <c r="A5" s="743" t="s">
        <v>1053</v>
      </c>
    </row>
    <row r="6" spans="1:8" s="337" customFormat="1"/>
    <row r="7" spans="1:8" ht="130.5" thickBot="1">
      <c r="A7" s="735" t="s">
        <v>1054</v>
      </c>
      <c r="B7" s="751" t="s">
        <v>1055</v>
      </c>
      <c r="C7" s="751" t="s">
        <v>1056</v>
      </c>
      <c r="D7" s="802" t="s">
        <v>1057</v>
      </c>
      <c r="E7" s="751" t="s">
        <v>1058</v>
      </c>
      <c r="F7" s="751" t="s">
        <v>1059</v>
      </c>
      <c r="G7" s="751" t="s">
        <v>1060</v>
      </c>
      <c r="H7" s="765" t="s">
        <v>1061</v>
      </c>
    </row>
    <row r="8" spans="1:8" ht="25">
      <c r="A8" s="736" t="s">
        <v>1062</v>
      </c>
      <c r="B8" s="555"/>
      <c r="C8" s="765" t="s">
        <v>1063</v>
      </c>
      <c r="D8" s="552">
        <f>B8*F8</f>
        <v>0</v>
      </c>
      <c r="E8" s="765" t="s">
        <v>1065</v>
      </c>
      <c r="F8" s="343">
        <v>25600</v>
      </c>
      <c r="G8" s="765" t="s">
        <v>1075</v>
      </c>
      <c r="H8" s="765" t="s">
        <v>1067</v>
      </c>
    </row>
    <row r="9" spans="1:8" ht="25">
      <c r="A9" s="736" t="s">
        <v>902</v>
      </c>
      <c r="B9" s="556"/>
      <c r="C9" s="765" t="s">
        <v>1063</v>
      </c>
      <c r="D9" s="552">
        <f>B9*F9</f>
        <v>0</v>
      </c>
      <c r="E9" s="765" t="s">
        <v>1065</v>
      </c>
      <c r="F9" s="343">
        <v>25600</v>
      </c>
      <c r="G9" s="765" t="s">
        <v>1075</v>
      </c>
      <c r="H9" s="533"/>
    </row>
    <row r="10" spans="1:8" ht="25">
      <c r="A10" s="736" t="s">
        <v>908</v>
      </c>
      <c r="B10" s="556"/>
      <c r="C10" s="765" t="s">
        <v>1064</v>
      </c>
      <c r="D10" s="552">
        <f>B10*F10</f>
        <v>0</v>
      </c>
      <c r="E10" s="765" t="s">
        <v>1066</v>
      </c>
      <c r="F10" s="343">
        <v>25600</v>
      </c>
      <c r="G10" s="765" t="s">
        <v>1075</v>
      </c>
      <c r="H10" s="533"/>
    </row>
    <row r="11" spans="1:8">
      <c r="A11" s="263"/>
      <c r="B11" s="556"/>
      <c r="C11" s="343"/>
      <c r="D11" s="552"/>
      <c r="E11" s="343"/>
      <c r="F11" s="343"/>
      <c r="G11" s="533"/>
      <c r="H11" s="533"/>
    </row>
    <row r="12" spans="1:8" ht="62.5">
      <c r="A12" s="736" t="s">
        <v>921</v>
      </c>
      <c r="B12" s="557"/>
      <c r="C12" s="763" t="s">
        <v>1068</v>
      </c>
      <c r="D12" s="552">
        <f>B12*F12</f>
        <v>0</v>
      </c>
      <c r="E12" s="765" t="s">
        <v>931</v>
      </c>
      <c r="F12" s="544">
        <v>1.9</v>
      </c>
      <c r="G12" s="765" t="s">
        <v>1076</v>
      </c>
      <c r="H12" s="765" t="s">
        <v>1073</v>
      </c>
    </row>
    <row r="13" spans="1:8" ht="62.5">
      <c r="A13" s="736" t="s">
        <v>922</v>
      </c>
      <c r="B13" s="557"/>
      <c r="C13" s="763" t="s">
        <v>1069</v>
      </c>
      <c r="D13" s="552">
        <f>B13*F13</f>
        <v>0</v>
      </c>
      <c r="E13" s="765" t="s">
        <v>931</v>
      </c>
      <c r="F13" s="343">
        <v>3.58</v>
      </c>
      <c r="G13" s="765" t="s">
        <v>1077</v>
      </c>
      <c r="H13" s="765" t="s">
        <v>1073</v>
      </c>
    </row>
    <row r="14" spans="1:8" ht="62.5">
      <c r="A14" s="736" t="s">
        <v>923</v>
      </c>
      <c r="B14" s="557"/>
      <c r="C14" s="763" t="s">
        <v>1070</v>
      </c>
      <c r="D14" s="552">
        <f>B14*F14</f>
        <v>0</v>
      </c>
      <c r="E14" s="765" t="s">
        <v>931</v>
      </c>
      <c r="F14" s="343">
        <v>2.5</v>
      </c>
      <c r="G14" s="765" t="s">
        <v>1078</v>
      </c>
      <c r="H14" s="765" t="s">
        <v>1073</v>
      </c>
    </row>
    <row r="15" spans="1:8" ht="37.5">
      <c r="A15" s="736" t="s">
        <v>924</v>
      </c>
      <c r="B15" s="872">
        <v>1</v>
      </c>
      <c r="C15" s="763" t="s">
        <v>1071</v>
      </c>
      <c r="D15" s="552">
        <f>B15*F15</f>
        <v>847458</v>
      </c>
      <c r="E15" s="765" t="s">
        <v>932</v>
      </c>
      <c r="F15" s="554">
        <v>847458</v>
      </c>
      <c r="G15" s="765" t="s">
        <v>1079</v>
      </c>
      <c r="H15" s="698" t="s">
        <v>1269</v>
      </c>
    </row>
    <row r="16" spans="1:8" ht="62.5">
      <c r="A16" s="736" t="s">
        <v>925</v>
      </c>
      <c r="B16" s="557"/>
      <c r="C16" s="763" t="s">
        <v>1072</v>
      </c>
      <c r="D16" s="552">
        <f>B16*F16</f>
        <v>0</v>
      </c>
      <c r="E16" s="765" t="s">
        <v>933</v>
      </c>
      <c r="F16" s="343">
        <f>(3.8+4.7)/2</f>
        <v>4.25</v>
      </c>
      <c r="G16" s="765" t="s">
        <v>1080</v>
      </c>
      <c r="H16" s="765" t="s">
        <v>1073</v>
      </c>
    </row>
    <row r="17" spans="1:8">
      <c r="A17" s="365"/>
      <c r="B17" s="557"/>
      <c r="C17" s="343"/>
      <c r="D17" s="552"/>
      <c r="E17" s="343"/>
      <c r="F17" s="343"/>
      <c r="G17" s="533"/>
      <c r="H17" s="533"/>
    </row>
    <row r="18" spans="1:8" ht="28">
      <c r="A18" s="737" t="s">
        <v>940</v>
      </c>
      <c r="B18" s="557"/>
      <c r="C18" s="671" t="s">
        <v>1086</v>
      </c>
      <c r="D18" s="552">
        <f>B18*F18</f>
        <v>0</v>
      </c>
      <c r="E18" s="765" t="s">
        <v>952</v>
      </c>
      <c r="F18" s="343">
        <v>0.88600000000000001</v>
      </c>
      <c r="G18" s="672" t="s">
        <v>1087</v>
      </c>
      <c r="H18" s="672" t="s">
        <v>1085</v>
      </c>
    </row>
    <row r="19" spans="1:8">
      <c r="A19" s="365"/>
      <c r="B19" s="557"/>
      <c r="C19" s="352"/>
      <c r="D19" s="553"/>
      <c r="E19" s="352"/>
      <c r="F19" s="352"/>
      <c r="G19" s="534"/>
      <c r="H19" s="533"/>
    </row>
    <row r="20" spans="1:8" ht="25">
      <c r="A20" s="737" t="s">
        <v>991</v>
      </c>
      <c r="B20" s="557"/>
      <c r="C20" s="763" t="s">
        <v>1074</v>
      </c>
      <c r="D20" s="552">
        <f>B20/F20</f>
        <v>0</v>
      </c>
      <c r="E20" s="765" t="s">
        <v>994</v>
      </c>
      <c r="F20" s="352">
        <v>1.4999999999999999E-2</v>
      </c>
      <c r="G20" s="765" t="s">
        <v>1081</v>
      </c>
      <c r="H20" s="765" t="s">
        <v>1082</v>
      </c>
    </row>
    <row r="21" spans="1:8" ht="25">
      <c r="A21" s="737" t="s">
        <v>998</v>
      </c>
      <c r="B21" s="557"/>
      <c r="C21" s="763" t="s">
        <v>1074</v>
      </c>
      <c r="D21" s="552">
        <f>B21/F21</f>
        <v>0</v>
      </c>
      <c r="E21" s="765" t="s">
        <v>994</v>
      </c>
      <c r="F21" s="352">
        <v>0.2</v>
      </c>
      <c r="G21" s="765" t="s">
        <v>1081</v>
      </c>
      <c r="H21" s="765" t="s">
        <v>1083</v>
      </c>
    </row>
    <row r="22" spans="1:8" ht="38" thickBot="1">
      <c r="A22" s="737" t="s">
        <v>999</v>
      </c>
      <c r="B22" s="558"/>
      <c r="C22" s="763" t="s">
        <v>1074</v>
      </c>
      <c r="D22" s="552">
        <f>B22/F22</f>
        <v>0</v>
      </c>
      <c r="E22" s="765" t="s">
        <v>994</v>
      </c>
      <c r="F22" s="352">
        <v>0.05</v>
      </c>
      <c r="G22" s="765" t="s">
        <v>1081</v>
      </c>
      <c r="H22" s="765" t="s">
        <v>1084</v>
      </c>
    </row>
    <row r="23" spans="1:8" s="367" customFormat="1">
      <c r="A23" s="559"/>
      <c r="B23" s="560"/>
      <c r="E23" s="368"/>
      <c r="G23" s="561"/>
      <c r="H23" s="559"/>
    </row>
    <row r="24" spans="1:8" s="367" customFormat="1">
      <c r="A24" s="559"/>
      <c r="B24" s="560"/>
      <c r="E24" s="368"/>
      <c r="G24" s="561"/>
      <c r="H24" s="559"/>
    </row>
    <row r="25" spans="1:8" s="367" customFormat="1">
      <c r="A25" s="559"/>
      <c r="B25" s="560"/>
      <c r="E25" s="368"/>
      <c r="G25" s="561"/>
      <c r="H25" s="559"/>
    </row>
    <row r="26" spans="1:8" s="367" customFormat="1">
      <c r="A26" s="559"/>
      <c r="B26" s="560"/>
      <c r="E26" s="368"/>
      <c r="G26" s="561"/>
      <c r="H26" s="559"/>
    </row>
    <row r="27" spans="1:8" s="367" customFormat="1">
      <c r="A27" s="559"/>
      <c r="B27" s="560"/>
      <c r="E27" s="368"/>
      <c r="G27" s="561"/>
      <c r="H27" s="559"/>
    </row>
    <row r="28" spans="1:8" s="367" customFormat="1">
      <c r="B28" s="560"/>
      <c r="E28" s="368"/>
      <c r="G28" s="561"/>
      <c r="H28" s="559"/>
    </row>
    <row r="29" spans="1:8" s="367" customFormat="1">
      <c r="B29" s="560"/>
      <c r="E29" s="368"/>
      <c r="G29" s="561"/>
      <c r="H29" s="559"/>
    </row>
    <row r="30" spans="1:8" s="367" customFormat="1">
      <c r="B30" s="560"/>
      <c r="E30" s="368"/>
      <c r="G30" s="561"/>
      <c r="H30" s="559"/>
    </row>
    <row r="31" spans="1:8" s="367" customFormat="1">
      <c r="A31" s="559"/>
      <c r="B31" s="560"/>
      <c r="E31" s="368"/>
      <c r="G31" s="561"/>
      <c r="H31" s="559"/>
    </row>
    <row r="32" spans="1:8" s="367" customFormat="1">
      <c r="A32" s="559"/>
      <c r="B32" s="560"/>
      <c r="E32" s="368"/>
      <c r="G32" s="561"/>
      <c r="H32" s="559"/>
    </row>
    <row r="33" spans="1:8" s="367" customFormat="1">
      <c r="A33" s="559"/>
      <c r="B33" s="562"/>
      <c r="C33" s="563"/>
      <c r="D33" s="564"/>
      <c r="E33" s="565"/>
      <c r="F33" s="566"/>
      <c r="G33" s="567"/>
      <c r="H33" s="566"/>
    </row>
    <row r="34" spans="1:8" s="367" customFormat="1">
      <c r="A34" s="559"/>
      <c r="B34" s="562"/>
      <c r="C34" s="563"/>
      <c r="D34" s="564"/>
      <c r="E34" s="565"/>
      <c r="F34" s="568"/>
      <c r="G34" s="569"/>
      <c r="H34" s="566"/>
    </row>
    <row r="35" spans="1:8" s="367" customFormat="1">
      <c r="A35" s="559"/>
      <c r="E35" s="570"/>
      <c r="F35" s="568"/>
      <c r="G35" s="567"/>
      <c r="H35" s="567"/>
    </row>
    <row r="36" spans="1:8" s="367" customFormat="1">
      <c r="A36" s="559"/>
      <c r="B36" s="562"/>
      <c r="C36" s="563"/>
      <c r="D36" s="564"/>
      <c r="E36" s="565"/>
      <c r="F36" s="568"/>
      <c r="G36" s="569"/>
      <c r="H36" s="566"/>
    </row>
    <row r="37" spans="1:8" s="367" customFormat="1">
      <c r="A37" s="559"/>
      <c r="B37" s="562"/>
      <c r="C37" s="563"/>
      <c r="D37" s="564"/>
      <c r="E37" s="565"/>
      <c r="F37" s="568"/>
      <c r="G37" s="568"/>
      <c r="H37" s="566"/>
    </row>
    <row r="38" spans="1:8" s="367" customFormat="1">
      <c r="A38" s="559"/>
      <c r="B38" s="562"/>
      <c r="C38" s="562"/>
      <c r="D38" s="564"/>
      <c r="E38" s="565"/>
      <c r="F38" s="568"/>
      <c r="G38" s="568"/>
      <c r="H38" s="566"/>
    </row>
    <row r="39" spans="1:8" s="367" customFormat="1">
      <c r="A39" s="559"/>
      <c r="B39" s="562"/>
      <c r="C39" s="563"/>
      <c r="D39" s="564"/>
      <c r="E39" s="571"/>
      <c r="F39" s="568"/>
      <c r="G39" s="568"/>
      <c r="H39" s="566"/>
    </row>
    <row r="40" spans="1:8" s="367" customFormat="1">
      <c r="A40" s="559"/>
      <c r="B40" s="562"/>
      <c r="C40" s="563"/>
      <c r="D40" s="564"/>
      <c r="E40" s="565"/>
      <c r="F40" s="568"/>
      <c r="G40" s="568"/>
      <c r="H40" s="566"/>
    </row>
    <row r="41" spans="1:8" s="367" customFormat="1">
      <c r="A41" s="559"/>
      <c r="B41" s="562"/>
      <c r="C41" s="563"/>
      <c r="D41" s="564"/>
      <c r="E41" s="565"/>
      <c r="F41" s="568"/>
      <c r="G41" s="566"/>
      <c r="H41" s="567"/>
    </row>
    <row r="42" spans="1:8" s="367" customFormat="1">
      <c r="A42" s="559"/>
      <c r="B42" s="562"/>
      <c r="C42" s="563"/>
      <c r="D42" s="564"/>
      <c r="E42" s="565"/>
      <c r="F42" s="568"/>
      <c r="G42" s="568"/>
      <c r="H42" s="567"/>
    </row>
    <row r="43" spans="1:8" s="367" customFormat="1">
      <c r="A43" s="559"/>
      <c r="B43" s="562"/>
      <c r="C43" s="563"/>
      <c r="D43" s="564"/>
      <c r="E43" s="565"/>
      <c r="F43" s="568"/>
      <c r="G43" s="568"/>
      <c r="H43" s="567"/>
    </row>
    <row r="44" spans="1:8" s="367" customFormat="1">
      <c r="A44" s="559"/>
      <c r="B44" s="562"/>
      <c r="C44" s="563"/>
      <c r="D44" s="564"/>
      <c r="E44" s="565"/>
      <c r="F44" s="568"/>
      <c r="G44" s="568"/>
      <c r="H44" s="567"/>
    </row>
    <row r="45" spans="1:8" s="367" customFormat="1">
      <c r="A45" s="559"/>
      <c r="B45" s="562"/>
      <c r="C45" s="562"/>
      <c r="D45" s="564"/>
      <c r="E45" s="562"/>
      <c r="F45" s="568"/>
      <c r="G45" s="568"/>
      <c r="H45" s="567"/>
    </row>
    <row r="46" spans="1:8" s="367" customFormat="1">
      <c r="A46" s="559"/>
      <c r="B46" s="562"/>
      <c r="C46" s="563"/>
      <c r="D46" s="564"/>
      <c r="E46" s="562"/>
      <c r="F46" s="568"/>
      <c r="G46" s="568"/>
      <c r="H46" s="567"/>
    </row>
    <row r="47" spans="1:8" s="367" customFormat="1">
      <c r="A47" s="572"/>
      <c r="F47" s="566"/>
      <c r="G47" s="566"/>
      <c r="H47" s="566"/>
    </row>
    <row r="48" spans="1:8" s="367" customFormat="1">
      <c r="A48" s="559"/>
      <c r="B48" s="562"/>
      <c r="C48" s="562"/>
      <c r="D48" s="573"/>
      <c r="E48" s="562"/>
      <c r="F48" s="568"/>
      <c r="G48" s="568"/>
      <c r="H48" s="566"/>
    </row>
    <row r="49" spans="1:8" s="367" customFormat="1">
      <c r="A49" s="559"/>
      <c r="B49" s="562"/>
      <c r="C49" s="562"/>
      <c r="D49" s="573"/>
      <c r="E49" s="562"/>
      <c r="F49" s="568"/>
      <c r="G49" s="568"/>
      <c r="H49" s="566"/>
    </row>
    <row r="50" spans="1:8" s="367" customFormat="1">
      <c r="A50" s="559"/>
      <c r="B50" s="562"/>
      <c r="C50" s="562"/>
      <c r="D50" s="573"/>
      <c r="E50" s="562"/>
      <c r="F50" s="568"/>
      <c r="G50" s="568"/>
      <c r="H50" s="568"/>
    </row>
    <row r="51" spans="1:8" s="367" customFormat="1">
      <c r="A51" s="559"/>
      <c r="B51" s="562"/>
      <c r="C51" s="562"/>
      <c r="D51" s="573"/>
      <c r="E51" s="562"/>
      <c r="F51" s="568"/>
      <c r="G51" s="568"/>
      <c r="H51" s="566"/>
    </row>
    <row r="52" spans="1:8" s="367" customFormat="1">
      <c r="A52" s="559"/>
      <c r="B52" s="562"/>
      <c r="C52" s="562"/>
      <c r="D52" s="573"/>
      <c r="E52" s="562"/>
      <c r="F52" s="568"/>
      <c r="G52" s="568"/>
      <c r="H52" s="566"/>
    </row>
    <row r="53" spans="1:8" s="367" customFormat="1">
      <c r="A53" s="559"/>
      <c r="B53" s="562"/>
      <c r="C53" s="562"/>
      <c r="D53" s="573"/>
      <c r="E53" s="562"/>
      <c r="F53" s="568"/>
      <c r="G53" s="568"/>
      <c r="H53" s="566"/>
    </row>
    <row r="54" spans="1:8" s="367" customFormat="1">
      <c r="A54" s="559"/>
      <c r="B54" s="562"/>
      <c r="C54" s="562"/>
      <c r="D54" s="573"/>
      <c r="E54" s="562"/>
      <c r="F54" s="568"/>
      <c r="G54" s="568"/>
      <c r="H54" s="566"/>
    </row>
    <row r="55" spans="1:8" s="367" customFormat="1">
      <c r="A55" s="559"/>
      <c r="B55" s="562"/>
      <c r="C55" s="562"/>
      <c r="D55" s="573"/>
      <c r="E55" s="562"/>
      <c r="F55" s="568"/>
      <c r="G55" s="568"/>
      <c r="H55" s="566"/>
    </row>
    <row r="56" spans="1:8" s="367" customFormat="1">
      <c r="A56" s="559"/>
      <c r="B56" s="562"/>
      <c r="C56" s="563"/>
      <c r="D56" s="564"/>
      <c r="E56" s="562"/>
      <c r="F56" s="568"/>
      <c r="G56" s="574"/>
      <c r="H56" s="567"/>
    </row>
    <row r="57" spans="1:8" s="367" customFormat="1">
      <c r="A57" s="559"/>
      <c r="B57" s="562"/>
      <c r="C57" s="562"/>
      <c r="D57" s="573"/>
      <c r="E57" s="562"/>
      <c r="F57" s="568"/>
      <c r="G57" s="568"/>
      <c r="H57" s="566"/>
    </row>
    <row r="58" spans="1:8" s="367" customFormat="1">
      <c r="A58" s="572"/>
      <c r="F58" s="566"/>
      <c r="G58" s="566"/>
      <c r="H58" s="566"/>
    </row>
    <row r="59" spans="1:8" s="367" customFormat="1">
      <c r="A59" s="559"/>
      <c r="B59" s="562"/>
      <c r="C59" s="562"/>
      <c r="D59" s="573"/>
      <c r="E59" s="562"/>
      <c r="F59" s="568"/>
      <c r="G59" s="568"/>
      <c r="H59" s="566"/>
    </row>
    <row r="60" spans="1:8" s="367" customFormat="1">
      <c r="A60" s="559"/>
      <c r="B60" s="562"/>
      <c r="C60" s="562"/>
      <c r="D60" s="573"/>
      <c r="E60" s="562"/>
      <c r="F60" s="568"/>
      <c r="G60" s="568"/>
      <c r="H60" s="566"/>
    </row>
    <row r="61" spans="1:8" s="367" customFormat="1">
      <c r="A61" s="559"/>
      <c r="B61" s="562"/>
      <c r="C61" s="562"/>
      <c r="D61" s="573"/>
      <c r="E61" s="562"/>
      <c r="F61" s="568"/>
      <c r="G61" s="568"/>
      <c r="H61" s="566"/>
    </row>
    <row r="62" spans="1:8" s="367" customFormat="1">
      <c r="A62" s="559"/>
      <c r="B62" s="562"/>
      <c r="C62" s="562"/>
      <c r="D62" s="573"/>
      <c r="E62" s="562"/>
      <c r="F62" s="568"/>
      <c r="G62" s="568"/>
      <c r="H62" s="566"/>
    </row>
    <row r="63" spans="1:8" s="367" customFormat="1">
      <c r="A63" s="559"/>
      <c r="F63" s="566"/>
      <c r="G63" s="566"/>
      <c r="H63" s="566"/>
    </row>
    <row r="64" spans="1:8" s="367" customFormat="1">
      <c r="A64" s="559"/>
      <c r="B64" s="562"/>
      <c r="C64" s="562"/>
      <c r="D64" s="573"/>
      <c r="E64" s="562"/>
      <c r="F64" s="568"/>
      <c r="G64" s="568"/>
      <c r="H64" s="566"/>
    </row>
    <row r="65" spans="1:8" s="367" customFormat="1">
      <c r="A65" s="559"/>
      <c r="B65" s="562"/>
      <c r="C65" s="562"/>
      <c r="D65" s="573"/>
      <c r="E65" s="562"/>
      <c r="F65" s="568"/>
      <c r="G65" s="568"/>
      <c r="H65" s="566"/>
    </row>
    <row r="66" spans="1:8" s="367" customFormat="1">
      <c r="A66" s="559"/>
      <c r="B66" s="562"/>
      <c r="C66" s="562"/>
      <c r="D66" s="573"/>
      <c r="E66" s="562"/>
      <c r="F66" s="568"/>
      <c r="G66" s="568"/>
      <c r="H66" s="566"/>
    </row>
    <row r="67" spans="1:8" s="367" customFormat="1">
      <c r="A67" s="559"/>
      <c r="B67" s="562"/>
      <c r="C67" s="563"/>
      <c r="D67" s="564"/>
      <c r="E67" s="562"/>
      <c r="F67" s="568"/>
      <c r="G67" s="574"/>
      <c r="H67" s="567"/>
    </row>
    <row r="68" spans="1:8" s="367" customFormat="1">
      <c r="A68" s="559"/>
      <c r="F68" s="566"/>
      <c r="G68" s="566"/>
      <c r="H68" s="566"/>
    </row>
    <row r="69" spans="1:8" s="367" customFormat="1">
      <c r="A69" s="559"/>
      <c r="F69" s="566"/>
      <c r="G69" s="566"/>
      <c r="H69" s="566"/>
    </row>
    <row r="70" spans="1:8" s="367" customFormat="1">
      <c r="A70" s="575"/>
      <c r="F70" s="566"/>
      <c r="G70" s="566"/>
      <c r="H70" s="566"/>
    </row>
    <row r="71" spans="1:8" s="367" customFormat="1">
      <c r="A71" s="575"/>
      <c r="F71" s="566"/>
      <c r="G71" s="566"/>
      <c r="H71" s="566"/>
    </row>
    <row r="72" spans="1:8" s="367" customFormat="1">
      <c r="A72" s="559"/>
      <c r="B72" s="368"/>
      <c r="C72" s="562"/>
      <c r="D72" s="573"/>
      <c r="E72" s="562"/>
      <c r="F72" s="568"/>
      <c r="G72" s="568"/>
      <c r="H72" s="566"/>
    </row>
    <row r="73" spans="1:8" s="367" customFormat="1">
      <c r="A73" s="559"/>
      <c r="B73" s="562"/>
      <c r="C73" s="562"/>
      <c r="D73" s="573"/>
      <c r="E73" s="562"/>
      <c r="F73" s="568"/>
      <c r="G73" s="568"/>
      <c r="H73" s="566"/>
    </row>
    <row r="74" spans="1:8" s="367" customFormat="1">
      <c r="A74" s="559"/>
      <c r="B74" s="368"/>
      <c r="F74" s="568"/>
      <c r="G74" s="568"/>
      <c r="H74" s="566"/>
    </row>
    <row r="75" spans="1:8" s="367" customFormat="1">
      <c r="A75" s="559"/>
      <c r="B75" s="368"/>
      <c r="F75" s="568"/>
      <c r="G75" s="568"/>
      <c r="H75" s="566"/>
    </row>
    <row r="76" spans="1:8" s="367" customFormat="1">
      <c r="A76" s="559"/>
      <c r="B76" s="562"/>
      <c r="C76" s="563"/>
      <c r="D76" s="564"/>
      <c r="E76" s="562"/>
      <c r="F76" s="569"/>
      <c r="G76" s="576"/>
      <c r="H76" s="566"/>
    </row>
    <row r="77" spans="1:8" s="367" customFormat="1">
      <c r="A77" s="559"/>
      <c r="B77" s="562"/>
      <c r="C77" s="563"/>
      <c r="D77" s="564"/>
      <c r="E77" s="562"/>
      <c r="F77" s="568"/>
      <c r="G77" s="568"/>
      <c r="H77" s="566"/>
    </row>
    <row r="78" spans="1:8" s="367" customFormat="1">
      <c r="A78" s="559"/>
      <c r="B78" s="562"/>
      <c r="C78" s="562"/>
      <c r="D78" s="573"/>
      <c r="E78" s="562"/>
      <c r="F78" s="568"/>
      <c r="G78" s="569"/>
      <c r="H78" s="566"/>
    </row>
    <row r="79" spans="1:8" s="367" customFormat="1">
      <c r="A79" s="559"/>
      <c r="B79" s="562"/>
      <c r="C79" s="562"/>
      <c r="D79" s="573"/>
      <c r="E79" s="562"/>
      <c r="F79" s="568"/>
      <c r="G79" s="569"/>
      <c r="H79" s="566"/>
    </row>
    <row r="80" spans="1:8" s="367" customFormat="1">
      <c r="A80" s="559"/>
      <c r="B80" s="562"/>
      <c r="C80" s="562"/>
      <c r="D80" s="573"/>
      <c r="E80" s="562"/>
      <c r="F80" s="568"/>
      <c r="G80" s="569"/>
      <c r="H80" s="566"/>
    </row>
    <row r="81" spans="1:8" s="367" customFormat="1">
      <c r="A81" s="559"/>
      <c r="B81" s="562"/>
      <c r="C81" s="563"/>
      <c r="D81" s="564"/>
      <c r="E81" s="562"/>
      <c r="F81" s="568"/>
      <c r="G81" s="567"/>
      <c r="H81" s="567"/>
    </row>
    <row r="82" spans="1:8" s="367" customFormat="1">
      <c r="A82" s="575"/>
      <c r="F82" s="568"/>
      <c r="G82" s="568"/>
      <c r="H82" s="566"/>
    </row>
    <row r="83" spans="1:8" s="367" customFormat="1">
      <c r="A83" s="575"/>
      <c r="F83" s="568"/>
      <c r="G83" s="568"/>
      <c r="H83" s="566"/>
    </row>
    <row r="84" spans="1:8" s="367" customFormat="1">
      <c r="A84" s="559"/>
      <c r="B84" s="368"/>
      <c r="C84" s="562"/>
      <c r="D84" s="573"/>
      <c r="E84" s="562"/>
      <c r="F84" s="568"/>
      <c r="G84" s="568"/>
      <c r="H84" s="566"/>
    </row>
    <row r="85" spans="1:8" s="367" customFormat="1">
      <c r="A85" s="559"/>
      <c r="B85" s="368"/>
      <c r="F85" s="568"/>
      <c r="G85" s="568"/>
      <c r="H85" s="566"/>
    </row>
    <row r="86" spans="1:8" s="367" customFormat="1">
      <c r="A86" s="559"/>
      <c r="B86" s="368"/>
      <c r="F86" s="568"/>
      <c r="G86" s="568"/>
      <c r="H86" s="566"/>
    </row>
    <row r="87" spans="1:8" s="367" customFormat="1">
      <c r="A87" s="559"/>
      <c r="B87" s="368"/>
      <c r="F87" s="568"/>
      <c r="G87" s="568"/>
      <c r="H87" s="566"/>
    </row>
    <row r="88" spans="1:8" s="367" customFormat="1">
      <c r="A88" s="559"/>
      <c r="B88" s="368"/>
      <c r="F88" s="568"/>
      <c r="G88" s="568"/>
      <c r="H88" s="566"/>
    </row>
    <row r="89" spans="1:8" s="367" customFormat="1">
      <c r="A89" s="559"/>
      <c r="B89" s="562"/>
      <c r="C89" s="562"/>
      <c r="D89" s="573"/>
      <c r="E89" s="562"/>
      <c r="F89" s="568"/>
      <c r="G89" s="568"/>
      <c r="H89" s="566"/>
    </row>
    <row r="90" spans="1:8" s="367" customFormat="1">
      <c r="A90" s="559"/>
      <c r="B90" s="562"/>
      <c r="C90" s="563"/>
      <c r="D90" s="564"/>
      <c r="E90" s="562"/>
      <c r="F90" s="568"/>
      <c r="G90" s="568"/>
      <c r="H90" s="566"/>
    </row>
    <row r="91" spans="1:8" s="367" customFormat="1">
      <c r="A91" s="559"/>
      <c r="B91" s="562"/>
      <c r="C91" s="562"/>
      <c r="D91" s="573"/>
      <c r="E91" s="562"/>
      <c r="F91" s="568"/>
      <c r="G91" s="568"/>
      <c r="H91" s="566"/>
    </row>
    <row r="92" spans="1:8" s="367" customFormat="1">
      <c r="A92" s="559"/>
      <c r="B92" s="562"/>
      <c r="C92" s="563"/>
      <c r="D92" s="564"/>
      <c r="E92" s="562"/>
      <c r="F92" s="568"/>
      <c r="G92" s="567"/>
      <c r="H92" s="577"/>
    </row>
    <row r="93" spans="1:8" s="367" customFormat="1">
      <c r="A93" s="559"/>
      <c r="B93" s="368"/>
      <c r="F93" s="568"/>
      <c r="G93" s="568"/>
      <c r="H93" s="566"/>
    </row>
    <row r="94" spans="1:8" s="367" customFormat="1">
      <c r="B94" s="368"/>
      <c r="F94" s="568"/>
      <c r="G94" s="568"/>
      <c r="H94" s="566"/>
    </row>
    <row r="95" spans="1:8" s="367" customFormat="1">
      <c r="A95" s="575"/>
      <c r="B95" s="368"/>
      <c r="F95" s="568"/>
      <c r="G95" s="568"/>
      <c r="H95" s="566"/>
    </row>
    <row r="96" spans="1:8" s="367" customFormat="1">
      <c r="A96" s="575"/>
      <c r="F96" s="568"/>
      <c r="G96" s="568"/>
      <c r="H96" s="566"/>
    </row>
    <row r="97" spans="1:8" s="28" customFormat="1">
      <c r="A97" s="545"/>
      <c r="B97" s="276"/>
      <c r="C97" s="548"/>
      <c r="D97" s="551"/>
      <c r="E97" s="548"/>
      <c r="F97" s="547"/>
      <c r="G97" s="547"/>
      <c r="H97" s="546"/>
    </row>
    <row r="98" spans="1:8" s="28" customFormat="1">
      <c r="A98" s="545"/>
      <c r="B98" s="548"/>
      <c r="C98" s="548"/>
      <c r="D98" s="551"/>
      <c r="E98" s="548"/>
      <c r="F98" s="547"/>
      <c r="G98" s="547"/>
      <c r="H98" s="546"/>
    </row>
    <row r="99" spans="1:8" s="28" customFormat="1">
      <c r="A99" s="545"/>
      <c r="B99" s="276"/>
      <c r="F99" s="547"/>
      <c r="G99" s="547"/>
      <c r="H99" s="546"/>
    </row>
    <row r="100" spans="1:8" s="28" customFormat="1">
      <c r="A100" s="545"/>
      <c r="B100" s="548"/>
      <c r="C100" s="548"/>
      <c r="D100" s="551"/>
      <c r="E100" s="548"/>
      <c r="F100" s="547"/>
      <c r="G100" s="547"/>
      <c r="H100" s="546"/>
    </row>
    <row r="101" spans="1:8" s="28" customFormat="1">
      <c r="F101" s="547"/>
      <c r="G101" s="547"/>
      <c r="H101" s="546"/>
    </row>
    <row r="102" spans="1:8" s="28" customFormat="1">
      <c r="A102" s="545"/>
      <c r="B102" s="548"/>
      <c r="C102" s="548"/>
      <c r="D102" s="551"/>
      <c r="E102" s="548"/>
      <c r="F102" s="547"/>
      <c r="G102" s="547"/>
      <c r="H102" s="546"/>
    </row>
    <row r="103" spans="1:8" s="28" customFormat="1">
      <c r="A103" s="545"/>
      <c r="B103" s="548"/>
      <c r="C103" s="548"/>
      <c r="D103" s="551"/>
      <c r="E103" s="548"/>
      <c r="F103" s="547"/>
      <c r="G103" s="547"/>
      <c r="H103" s="546"/>
    </row>
    <row r="104" spans="1:8" s="28" customFormat="1">
      <c r="A104" s="545"/>
      <c r="B104" s="548"/>
      <c r="C104" s="548"/>
      <c r="D104" s="551"/>
      <c r="E104" s="548"/>
      <c r="F104" s="547"/>
      <c r="G104" s="547"/>
      <c r="H104" s="546"/>
    </row>
    <row r="105" spans="1:8" s="28" customFormat="1">
      <c r="A105" s="545"/>
      <c r="B105" s="548"/>
      <c r="C105" s="549"/>
      <c r="D105" s="550"/>
      <c r="E105" s="548"/>
      <c r="F105" s="547"/>
      <c r="G105" s="546"/>
      <c r="H105" s="443"/>
    </row>
    <row r="106" spans="1:8" s="28" customFormat="1"/>
    <row r="107" spans="1:8" s="28" customFormat="1"/>
    <row r="108" spans="1:8" s="3" customFormat="1"/>
    <row r="109" spans="1:8" s="3" customFormat="1"/>
    <row r="110" spans="1:8" s="3" customFormat="1"/>
    <row r="111" spans="1:8" s="3" customFormat="1"/>
    <row r="112" spans="1:8" s="3" customFormat="1"/>
    <row r="113" s="3" customFormat="1"/>
    <row r="114" s="3" customFormat="1"/>
    <row r="115" s="3" customFormat="1"/>
    <row r="116" s="3" customFormat="1"/>
    <row r="117" s="3" customFormat="1"/>
    <row r="118" s="3" customFormat="1"/>
    <row r="119" s="3" customFormat="1"/>
    <row r="120" s="3" customFormat="1"/>
    <row r="121" s="337" customFormat="1"/>
    <row r="122" s="337" customFormat="1"/>
    <row r="123" s="337" customFormat="1"/>
    <row r="124" s="337" customFormat="1"/>
    <row r="125" s="337" customFormat="1"/>
    <row r="126" s="337" customFormat="1"/>
    <row r="127" s="337" customFormat="1"/>
    <row r="128" s="337" customFormat="1"/>
    <row r="129" s="337" customFormat="1"/>
    <row r="130" s="337" customFormat="1"/>
    <row r="131" s="337" customFormat="1"/>
  </sheetData>
  <sheetProtection algorithmName="SHA-512" hashValue="DUgLFLdxLSDiYrcWh6Br0tGkMTaGVY3fNVmjrwm+Sqfju09kN69ZQvaNHlfRYjdqRvWaouj6zoL3alDkiEVGEA==" saltValue="YQV+DwKL5w6QnXR6vfVBRA==" spinCount="100000" sheet="1" objects="1" scenarios="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N35"/>
  <sheetViews>
    <sheetView workbookViewId="0">
      <selection activeCell="O7" sqref="O7"/>
    </sheetView>
  </sheetViews>
  <sheetFormatPr defaultColWidth="9.1796875" defaultRowHeight="12.5"/>
  <cols>
    <col min="1" max="1" width="40.81640625" style="337" customWidth="1"/>
    <col min="2" max="2" width="14.1796875" style="337" customWidth="1"/>
    <col min="3" max="8" width="13.453125" style="337" bestFit="1" customWidth="1"/>
    <col min="9" max="9" width="9.81640625" style="337" customWidth="1"/>
    <col min="10" max="16384" width="9.1796875" style="337"/>
  </cols>
  <sheetData>
    <row r="1" spans="1:14" ht="13">
      <c r="A1" s="749" t="s">
        <v>1088</v>
      </c>
      <c r="B1" s="803"/>
      <c r="C1" s="203"/>
      <c r="D1" s="203"/>
      <c r="E1" s="203"/>
      <c r="F1" s="203"/>
      <c r="G1" s="203"/>
      <c r="H1" s="203"/>
      <c r="I1" s="203"/>
      <c r="J1" s="203"/>
    </row>
    <row r="2" spans="1:14" s="358" customFormat="1">
      <c r="A2" s="736" t="s">
        <v>868</v>
      </c>
      <c r="B2" s="901" t="s">
        <v>871</v>
      </c>
      <c r="C2" s="903" t="s">
        <v>872</v>
      </c>
      <c r="D2" s="904"/>
      <c r="E2" s="904"/>
      <c r="F2" s="904"/>
      <c r="G2" s="904"/>
      <c r="H2" s="904"/>
      <c r="I2" s="905"/>
      <c r="J2" s="901" t="s">
        <v>1089</v>
      </c>
    </row>
    <row r="3" spans="1:14" ht="62.5">
      <c r="A3" s="804"/>
      <c r="B3" s="902"/>
      <c r="C3" s="757" t="s">
        <v>877</v>
      </c>
      <c r="D3" s="757" t="s">
        <v>878</v>
      </c>
      <c r="E3" s="757" t="s">
        <v>879</v>
      </c>
      <c r="F3" s="752" t="s">
        <v>880</v>
      </c>
      <c r="G3" s="752" t="s">
        <v>881</v>
      </c>
      <c r="H3" s="752" t="s">
        <v>882</v>
      </c>
      <c r="I3" s="752" t="s">
        <v>1090</v>
      </c>
      <c r="J3" s="902"/>
    </row>
    <row r="4" spans="1:14" ht="25">
      <c r="A4" s="758" t="s">
        <v>1091</v>
      </c>
      <c r="B4" s="423" t="str">
        <f>IF(OR('Уровень 1 - Суммарный итог'!E5=pres,'Уровень 1 - Суммарный итог'!E6=pres,'Уровень 1 - Суммарный итог'!E7=pres),pres,SUM('Уровень 1 - Суммарный итог'!E5:E7))</f>
        <v>Присутствует?</v>
      </c>
      <c r="C4" s="423" t="str">
        <f>IF(OR('Уровень 1 - Суммарный итог'!F5=pres,'Уровень 1 - Суммарный итог'!F6=pres,'Уровень 1 - Суммарный итог'!F7=pres),pres,SUM('Уровень 1 - Суммарный итог'!F5:F7))</f>
        <v>Присутствует?</v>
      </c>
      <c r="D4" s="423" t="str">
        <f>IF(OR('Уровень 1 - Суммарный итог'!G5=pres,'Уровень 1 - Суммарный итог'!G6=pres,'Уровень 1 - Суммарный итог'!G7=pres),pres,SUM('Уровень 1 - Суммарный итог'!G5:G7))</f>
        <v>Присутствует?</v>
      </c>
      <c r="E4" s="423" t="str">
        <f>IF(OR('Уровень 1 - Суммарный итог'!H5=pres,'Уровень 1 - Суммарный итог'!H6=pres,'Уровень 1 - Суммарный итог'!H7=pres),pres,SUM('Уровень 1 - Суммарный итог'!H5:H7))</f>
        <v>Присутствует?</v>
      </c>
      <c r="F4" s="423" t="str">
        <f>IF(OR('Уровень 1 - Суммарный итог'!I5=pres,'Уровень 1 - Суммарный итог'!I6=pres,'Уровень 1 - Суммарный итог'!I7=pres),pres,SUM('Уровень 1 - Суммарный итог'!I5:I7))</f>
        <v>Присутствует?</v>
      </c>
      <c r="G4" s="423" t="str">
        <f>IF(OR('Уровень 1 - Суммарный итог'!J5=pres,'Уровень 1 - Суммарный итог'!J6=pres,'Уровень 1 - Суммарный итог'!J7=pres),pres,SUM('Уровень 1 - Суммарный итог'!J5:J7))</f>
        <v>Присутствует?</v>
      </c>
      <c r="H4" s="423" t="str">
        <f>IF(OR('Уровень 1 - Суммарный итог'!K5=pres,'Уровень 1 - Суммарный итог'!K6=pres,'Уровень 1 - Суммарный итог'!K7=pres),pres,SUM('Уровень 1 - Суммарный итог'!K5:K7))</f>
        <v>Присутствует?</v>
      </c>
      <c r="I4" s="436">
        <f>SUM(C4:H4)</f>
        <v>0</v>
      </c>
      <c r="J4" s="464" t="e">
        <f>I4/$I$21</f>
        <v>#DIV/0!</v>
      </c>
      <c r="N4" s="451"/>
    </row>
    <row r="5" spans="1:14" ht="25">
      <c r="A5" s="758" t="s">
        <v>1092</v>
      </c>
      <c r="B5" s="423" t="str">
        <f>IF(OR('Уровень 1 - Суммарный итог'!E8=pres,'Уровень 1 - Суммарный итог'!E9=pres,'Уровень 1 - Суммарный итог'!E10=pres,'Уровень 1 - Суммарный итог'!E11=pres,'Уровень 1 - Суммарный итог'!E12=pres,'Уровень 1 - Суммарный итог'!E13=pres),pres,SUM('Уровень 1 - Суммарный итог'!E8:E13))</f>
        <v>Присутствует?</v>
      </c>
      <c r="C5" s="423" t="str">
        <f>IF(OR('Уровень 1 - Суммарный итог'!F8=pres,'Уровень 1 - Суммарный итог'!F9=pres,'Уровень 1 - Суммарный итог'!F10=pres,'Уровень 1 - Суммарный итог'!F11=pres,'Уровень 1 - Суммарный итог'!F12=pres,'Уровень 1 - Суммарный итог'!F13=pres),pres,SUM('Уровень 1 - Суммарный итог'!F8:F13))</f>
        <v>Присутствует?</v>
      </c>
      <c r="D5" s="423" t="str">
        <f>IF(OR('Уровень 1 - Суммарный итог'!G8=pres,'Уровень 1 - Суммарный итог'!G9=pres,'Уровень 1 - Суммарный итог'!G10=pres,'Уровень 1 - Суммарный итог'!G11=pres,'Уровень 1 - Суммарный итог'!G12=pres,'Уровень 1 - Суммарный итог'!G13=pres),pres,SUM('Уровень 1 - Суммарный итог'!G8:G13))</f>
        <v>Присутствует?</v>
      </c>
      <c r="E5" s="423" t="str">
        <f>IF(OR('Уровень 1 - Суммарный итог'!H8=pres,'Уровень 1 - Суммарный итог'!H9=pres,'Уровень 1 - Суммарный итог'!H10=pres,'Уровень 1 - Суммарный итог'!H11=pres,'Уровень 1 - Суммарный итог'!H12=pres,'Уровень 1 - Суммарный итог'!H13=pres),pres,SUM('Уровень 1 - Суммарный итог'!H8:H13))</f>
        <v>Присутствует?</v>
      </c>
      <c r="F5" s="423" t="str">
        <f>IF(OR('Уровень 1 - Суммарный итог'!I8=pres,'Уровень 1 - Суммарный итог'!I9=pres,'Уровень 1 - Суммарный итог'!I10=pres,'Уровень 1 - Суммарный итог'!I11=pres,'Уровень 1 - Суммарный итог'!I12=pres,'Уровень 1 - Суммарный итог'!I13=pres),pres,SUM('Уровень 1 - Суммарный итог'!I8:I13))</f>
        <v>Присутствует?</v>
      </c>
      <c r="G5" s="423" t="str">
        <f>IF(OR('Уровень 1 - Суммарный итог'!J8=pres,'Уровень 1 - Суммарный итог'!J9=pres,'Уровень 1 - Суммарный итог'!J10=pres,'Уровень 1 - Суммарный итог'!J11=pres,'Уровень 1 - Суммарный итог'!J12=pres,'Уровень 1 - Суммарный итог'!J13=pres),pres,SUM('Уровень 1 - Суммарный итог'!J8:J13))</f>
        <v>Присутствует?</v>
      </c>
      <c r="H5" s="423" t="str">
        <f>IF(OR('Уровень 1 - Суммарный итог'!K8=pres,'Уровень 1 - Суммарный итог'!K9=pres,'Уровень 1 - Суммарный итог'!K10=pres,'Уровень 1 - Суммарный итог'!K11=pres,'Уровень 1 - Суммарный итог'!K12=pres,'Уровень 1 - Суммарный итог'!K13=pres),pres,SUM('Уровень 1 - Суммарный итог'!K8:K13))</f>
        <v>Присутствует?</v>
      </c>
      <c r="I5" s="436">
        <f t="shared" ref="I5:I20" si="0">SUM(C5:H5)</f>
        <v>0</v>
      </c>
      <c r="J5" s="464" t="e">
        <f t="shared" ref="J5:J20" si="1">I5/$I$21</f>
        <v>#DIV/0!</v>
      </c>
    </row>
    <row r="6" spans="1:14">
      <c r="A6" s="758" t="s">
        <v>1093</v>
      </c>
      <c r="B6" s="423" t="str">
        <f>IF(OR('Уровень 1 - Суммарный итог'!E15=pres,'Уровень 1 - Суммарный итог'!E16=pres,'Уровень 1 - Суммарный итог'!E17=pres),pres,SUM('Уровень 1 - Суммарный итог'!E15:E17))</f>
        <v>Присутствует?</v>
      </c>
      <c r="C6" s="423" t="str">
        <f>IF(OR('Уровень 1 - Суммарный итог'!F15=pres,'Уровень 1 - Суммарный итог'!F16=pres,'Уровень 1 - Суммарный итог'!F17=pres),pres,SUM('Уровень 1 - Суммарный итог'!F15:F17))</f>
        <v>Присутствует?</v>
      </c>
      <c r="D6" s="423" t="str">
        <f>IF(OR('Уровень 1 - Суммарный итог'!G15=pres,'Уровень 1 - Суммарный итог'!G16=pres,'Уровень 1 - Суммарный итог'!G17=pres),pres,SUM('Уровень 1 - Суммарный итог'!G15:G17))</f>
        <v>Присутствует?</v>
      </c>
      <c r="E6" s="423" t="str">
        <f>IF(OR('Уровень 1 - Суммарный итог'!H15=pres,'Уровень 1 - Суммарный итог'!H16=pres,'Уровень 1 - Суммарный итог'!H17=pres),pres,SUM('Уровень 1 - Суммарный итог'!H15:H17))</f>
        <v>Присутствует?</v>
      </c>
      <c r="F6" s="423" t="str">
        <f>IF(OR('Уровень 1 - Суммарный итог'!I15=pres,'Уровень 1 - Суммарный итог'!I16=pres,'Уровень 1 - Суммарный итог'!I17=pres),pres,SUM('Уровень 1 - Суммарный итог'!I15:I17))</f>
        <v>Присутствует?</v>
      </c>
      <c r="G6" s="423" t="str">
        <f>IF(OR('Уровень 1 - Суммарный итог'!J15=pres,'Уровень 1 - Суммарный итог'!J16=pres,'Уровень 1 - Суммарный итог'!J17=pres),pres,SUM('Уровень 1 - Суммарный итог'!J15:J17))</f>
        <v>Присутствует?</v>
      </c>
      <c r="H6" s="423" t="str">
        <f>IF(OR('Уровень 1 - Суммарный итог'!K15=pres,'Уровень 1 - Суммарный итог'!K16=pres,'Уровень 1 - Суммарный итог'!K17=pres),pres,SUM('Уровень 1 - Суммарный итог'!K15:K17))</f>
        <v>Присутствует?</v>
      </c>
      <c r="I6" s="463">
        <f t="shared" si="0"/>
        <v>0</v>
      </c>
      <c r="J6" s="464" t="e">
        <f t="shared" si="1"/>
        <v>#DIV/0!</v>
      </c>
      <c r="L6" s="466"/>
    </row>
    <row r="7" spans="1:14" ht="37.5">
      <c r="A7" s="758" t="s">
        <v>1094</v>
      </c>
      <c r="B7" s="423" t="str">
        <f>IF(OR('Уровень 1 - Суммарный итог'!E19=pres,'Уровень 1 - Суммарный итог'!E20=pres,'Уровень 1 - Суммарный итог'!E21=pres,'Уровень 1 - Суммарный итог'!E22=pres,'Уровень 1 - Суммарный итог'!E23=pres,'Уровень 1 - Суммарный итог'!E24=pres,'Уровень 1 - Суммарный итог'!E25=pres),pres,SUM('Уровень 1 - Суммарный итог'!E19:E25))</f>
        <v>Присутствует?</v>
      </c>
      <c r="C7" s="423" t="str">
        <f>IF(OR('Уровень 1 - Суммарный итог'!F19=pres,'Уровень 1 - Суммарный итог'!F20=pres,'Уровень 1 - Суммарный итог'!F21=pres,'Уровень 1 - Суммарный итог'!F22=pres,'Уровень 1 - Суммарный итог'!F23=pres,'Уровень 1 - Суммарный итог'!F24=pres,'Уровень 1 - Суммарный итог'!F25=pres),pres,SUM('Уровень 1 - Суммарный итог'!F19:F25))</f>
        <v>Присутствует?</v>
      </c>
      <c r="D7" s="423" t="str">
        <f>IF(OR('Уровень 1 - Суммарный итог'!G19=pres,'Уровень 1 - Суммарный итог'!G20=pres,'Уровень 1 - Суммарный итог'!G21=pres,'Уровень 1 - Суммарный итог'!G22=pres,'Уровень 1 - Суммарный итог'!G23=pres,'Уровень 1 - Суммарный итог'!G24=pres,'Уровень 1 - Суммарный итог'!G25=pres),pres,SUM('Уровень 1 - Суммарный итог'!G19:G25))</f>
        <v>Присутствует?</v>
      </c>
      <c r="E7" s="423" t="str">
        <f>IF(OR('Уровень 1 - Суммарный итог'!H19=pres,'Уровень 1 - Суммарный итог'!H20=pres,'Уровень 1 - Суммарный итог'!H21=pres,'Уровень 1 - Суммарный итог'!H22=pres,'Уровень 1 - Суммарный итог'!H23=pres,'Уровень 1 - Суммарный итог'!H24=pres,'Уровень 1 - Суммарный итог'!H25=pres),pres,SUM('Уровень 1 - Суммарный итог'!H19:H25))</f>
        <v>Присутствует?</v>
      </c>
      <c r="F7" s="423" t="str">
        <f>IF(OR('Уровень 1 - Суммарный итог'!I19=pres,'Уровень 1 - Суммарный итог'!I20=pres,'Уровень 1 - Суммарный итог'!I21=pres,'Уровень 1 - Суммарный итог'!I22=pres,'Уровень 1 - Суммарный итог'!I23=pres,'Уровень 1 - Суммарный итог'!I24=pres,'Уровень 1 - Суммарный итог'!I25=pres),pres,SUM('Уровень 1 - Суммарный итог'!I19:I25))</f>
        <v>Присутствует?</v>
      </c>
      <c r="G7" s="423" t="str">
        <f>IF(OR('Уровень 1 - Суммарный итог'!J19=pres,'Уровень 1 - Суммарный итог'!J20=pres,'Уровень 1 - Суммарный итог'!J21=pres,'Уровень 1 - Суммарный итог'!J22=pres,'Уровень 1 - Суммарный итог'!J23=pres,'Уровень 1 - Суммарный итог'!J24=pres,'Уровень 1 - Суммарный итог'!J25=pres),pres,SUM('Уровень 1 - Суммарный итог'!J19:J25))</f>
        <v>Присутствует?</v>
      </c>
      <c r="H7" s="423" t="str">
        <f>IF(OR('Уровень 1 - Суммарный итог'!K19=pres,'Уровень 1 - Суммарный итог'!K20=pres,'Уровень 1 - Суммарный итог'!K21=pres,'Уровень 1 - Суммарный итог'!K22=pres,'Уровень 1 - Суммарный итог'!K23=pres,'Уровень 1 - Суммарный итог'!K24=pres,'Уровень 1 - Суммарный итог'!K25=pres),pres,SUM('Уровень 1 - Суммарный итог'!K19:K25))</f>
        <v>Присутствует?</v>
      </c>
      <c r="I7" s="463">
        <f t="shared" si="0"/>
        <v>0</v>
      </c>
      <c r="J7" s="464" t="e">
        <f t="shared" si="1"/>
        <v>#DIV/0!</v>
      </c>
      <c r="L7" s="466"/>
      <c r="N7" s="451"/>
    </row>
    <row r="8" spans="1:14" ht="25">
      <c r="A8" s="758" t="s">
        <v>1095</v>
      </c>
      <c r="B8" s="423" t="str">
        <f>IF(OR('Уровень 1 - Суммарный итог'!E26=pres,'Уровень 1 - Суммарный итог'!E27=pres),pres,SUM('Уровень 1 - Суммарный итог'!E26:E27))</f>
        <v>Присутствует?</v>
      </c>
      <c r="C8" s="423" t="str">
        <f>IF(OR('Уровень 1 - Суммарный итог'!F26=pres,'Уровень 1 - Суммарный итог'!F27=pres),pres,SUM('Уровень 1 - Суммарный итог'!F26:F27))</f>
        <v>Присутствует?</v>
      </c>
      <c r="D8" s="423" t="str">
        <f>IF(OR('Уровень 1 - Суммарный итог'!G26=pres,'Уровень 1 - Суммарный итог'!G27=pres),pres,SUM('Уровень 1 - Суммарный итог'!G26:G27))</f>
        <v>Присутствует?</v>
      </c>
      <c r="E8" s="423" t="str">
        <f>IF(OR('Уровень 1 - Суммарный итог'!H26=pres,'Уровень 1 - Суммарный итог'!H27=pres),pres,SUM('Уровень 1 - Суммарный итог'!H26:H27))</f>
        <v>Присутствует?</v>
      </c>
      <c r="F8" s="423" t="str">
        <f>IF(OR('Уровень 1 - Суммарный итог'!I26=pres,'Уровень 1 - Суммарный итог'!I27=pres),pres,SUM('Уровень 1 - Суммарный итог'!I26:I27))</f>
        <v>Присутствует?</v>
      </c>
      <c r="G8" s="423" t="str">
        <f>IF(OR('Уровень 1 - Суммарный итог'!J26=pres,'Уровень 1 - Суммарный итог'!J27=pres),pres,SUM('Уровень 1 - Суммарный итог'!J26:J27))</f>
        <v>Присутствует?</v>
      </c>
      <c r="H8" s="423" t="str">
        <f>IF(OR('Уровень 1 - Суммарный итог'!K26=pres,'Уровень 1 - Суммарный итог'!K27=pres),pres,SUM('Уровень 1 - Суммарный итог'!K26:K27))</f>
        <v>Присутствует?</v>
      </c>
      <c r="I8" s="463">
        <f t="shared" si="0"/>
        <v>0</v>
      </c>
      <c r="J8" s="464" t="e">
        <f t="shared" si="1"/>
        <v>#DIV/0!</v>
      </c>
      <c r="L8" s="466"/>
    </row>
    <row r="9" spans="1:14">
      <c r="A9" s="758" t="s">
        <v>927</v>
      </c>
      <c r="B9" s="423" t="str">
        <f>IF(OR('Уровень 1 - Суммарный итог'!E29=pres,'Уровень 1 - Суммарный итог'!E30=pres),pres,SUM('Уровень 1 - Суммарный итог'!E29:E30))</f>
        <v>Присутствует?</v>
      </c>
      <c r="C9" s="423" t="str">
        <f>IF(OR('Уровень 1 - Суммарный итог'!F29=pres,'Уровень 1 - Суммарный итог'!F30=pres),pres,SUM('Уровень 1 - Суммарный итог'!F29:F30))</f>
        <v>Присутствует?</v>
      </c>
      <c r="D9" s="423" t="str">
        <f>IF(OR('Уровень 1 - Суммарный итог'!G29=pres,'Уровень 1 - Суммарный итог'!G30=pres),pres,SUM('Уровень 1 - Суммарный итог'!G29:G30))</f>
        <v>Присутствует?</v>
      </c>
      <c r="E9" s="423" t="str">
        <f>IF(OR('Уровень 1 - Суммарный итог'!H29=pres,'Уровень 1 - Суммарный итог'!H30=pres),pres,SUM('Уровень 1 - Суммарный итог'!H29:H30))</f>
        <v>Присутствует?</v>
      </c>
      <c r="F9" s="423" t="str">
        <f>IF(OR('Уровень 1 - Суммарный итог'!I29=pres,'Уровень 1 - Суммарный итог'!I30=pres),pres,SUM('Уровень 1 - Суммарный итог'!I29:I30))</f>
        <v>Присутствует?</v>
      </c>
      <c r="G9" s="423" t="str">
        <f>IF(OR('Уровень 1 - Суммарный итог'!J29=pres,'Уровень 1 - Суммарный итог'!J30=pres),pres,SUM('Уровень 1 - Суммарный итог'!J29:J30))</f>
        <v>Присутствует?</v>
      </c>
      <c r="H9" s="423" t="str">
        <f>IF(OR('Уровень 1 - Суммарный итог'!K29=pres,'Уровень 1 - Суммарный итог'!K30=pres),pres,SUM('Уровень 1 - Суммарный итог'!K29:K30))</f>
        <v>Присутствует?</v>
      </c>
      <c r="I9" s="463">
        <f t="shared" si="0"/>
        <v>0</v>
      </c>
      <c r="J9" s="464" t="e">
        <f t="shared" si="1"/>
        <v>#DIV/0!</v>
      </c>
      <c r="L9" s="466"/>
      <c r="N9" s="466"/>
    </row>
    <row r="10" spans="1:14" ht="25">
      <c r="A10" s="758" t="s">
        <v>940</v>
      </c>
      <c r="B10" s="423" t="str">
        <f>'Уровень 1 - Суммарный итог'!E32</f>
        <v>Присутствует?</v>
      </c>
      <c r="C10" s="423" t="str">
        <f>'Уровень 1 - Суммарный итог'!F32</f>
        <v>Присутствует?</v>
      </c>
      <c r="D10" s="423" t="str">
        <f>'Уровень 1 - Суммарный итог'!G32</f>
        <v>Присутствует?</v>
      </c>
      <c r="E10" s="423" t="str">
        <f>'Уровень 1 - Суммарный итог'!H32</f>
        <v>Присутствует?</v>
      </c>
      <c r="F10" s="423" t="str">
        <f>'Уровень 1 - Суммарный итог'!I32</f>
        <v>Присутствует?</v>
      </c>
      <c r="G10" s="423" t="str">
        <f>'Уровень 1 - Суммарный итог'!J32</f>
        <v>Присутствует?</v>
      </c>
      <c r="H10" s="423" t="str">
        <f>'Уровень 1 - Суммарный итог'!K32</f>
        <v>Присутствует?</v>
      </c>
      <c r="I10" s="463">
        <f t="shared" si="0"/>
        <v>0</v>
      </c>
      <c r="J10" s="464" t="e">
        <f t="shared" si="1"/>
        <v>#DIV/0!</v>
      </c>
      <c r="L10" s="466"/>
    </row>
    <row r="11" spans="1:14" ht="25">
      <c r="A11" s="758" t="s">
        <v>1096</v>
      </c>
      <c r="B11" s="423" t="str">
        <f>IF(OR('Уровень 1 - Суммарный итог'!E33=pres,'Уровень 1 - Суммарный итог'!E34=pres),pres,SUM('Уровень 1 - Суммарный итог'!E33:E34))</f>
        <v>Присутствует?</v>
      </c>
      <c r="C11" s="423" t="str">
        <f>IF(OR('Уровень 1 - Суммарный итог'!F33=pres,'Уровень 1 - Суммарный итог'!F34=pres),pres,SUM('Уровень 1 - Суммарный итог'!F33:F34))</f>
        <v>Присутствует?</v>
      </c>
      <c r="D11" s="423" t="str">
        <f>IF(OR('Уровень 1 - Суммарный итог'!G33=pres,'Уровень 1 - Суммарный итог'!G34=pres),pres,SUM('Уровень 1 - Суммарный итог'!G33:G34))</f>
        <v>Присутствует?</v>
      </c>
      <c r="E11" s="423" t="str">
        <f>IF(OR('Уровень 1 - Суммарный итог'!H33=pres,'Уровень 1 - Суммарный итог'!H34=pres),pres,SUM('Уровень 1 - Суммарный итог'!H33:H34))</f>
        <v>Присутствует?</v>
      </c>
      <c r="F11" s="423" t="str">
        <f>IF(OR('Уровень 1 - Суммарный итог'!I33=pres,'Уровень 1 - Суммарный итог'!I34=pres),pres,SUM('Уровень 1 - Суммарный итог'!I33:I34))</f>
        <v>Присутствует?</v>
      </c>
      <c r="G11" s="423" t="str">
        <f>IF(OR('Уровень 1 - Суммарный итог'!J33=pres,'Уровень 1 - Суммарный итог'!J34=pres),pres,SUM('Уровень 1 - Суммарный итог'!J33:J34))</f>
        <v>Присутствует?</v>
      </c>
      <c r="H11" s="423" t="str">
        <f>IF(OR('Уровень 1 - Суммарный итог'!K33=pres,'Уровень 1 - Суммарный итог'!K34=pres),pres,SUM('Уровень 1 - Суммарный итог'!K33:K34))</f>
        <v>Присутствует?</v>
      </c>
      <c r="I11" s="463">
        <f t="shared" si="0"/>
        <v>0</v>
      </c>
      <c r="J11" s="464" t="e">
        <f t="shared" si="1"/>
        <v>#DIV/0!</v>
      </c>
      <c r="L11" s="466"/>
      <c r="N11" s="466"/>
    </row>
    <row r="12" spans="1:14" ht="25">
      <c r="A12" s="758" t="s">
        <v>1097</v>
      </c>
      <c r="B12" s="423" t="str">
        <f>IF(OR('Уровень 1 - Суммарный итог'!E36=pres,'Уровень 1 - Суммарный итог'!E37=pres,'Уровень 1 - Суммарный итог'!E38=pres,'Уровень 1 - Суммарный итог'!E39=pres,'Уровень 1 - Суммарный итог'!E40=pres,'Уровень 1 - Суммарный итог'!E41=pres,'Уровень 1 - Суммарный итог'!E42=pres,'Уровень 1 - Суммарный итог'!E43=pres),pres,SUM('Уровень 1 - Суммарный итог'!E36:E43))</f>
        <v>Присутствует?</v>
      </c>
      <c r="C12" s="423" t="str">
        <f>IF(OR('Уровень 1 - Суммарный итог'!F36=pres,'Уровень 1 - Суммарный итог'!F37=pres,'Уровень 1 - Суммарный итог'!F38=pres,'Уровень 1 - Суммарный итог'!F39=pres,'Уровень 1 - Суммарный итог'!F40=pres,'Уровень 1 - Суммарный итог'!F41=pres,'Уровень 1 - Суммарный итог'!F42=pres,'Уровень 1 - Суммарный итог'!F43=pres),pres,SUM('Уровень 1 - Суммарный итог'!F36:F43))</f>
        <v>Присутствует?</v>
      </c>
      <c r="D12" s="423" t="str">
        <f>IF(OR('Уровень 1 - Суммарный итог'!G36=pres,'Уровень 1 - Суммарный итог'!G37=pres,'Уровень 1 - Суммарный итог'!G38=pres,'Уровень 1 - Суммарный итог'!G39=pres,'Уровень 1 - Суммарный итог'!G40=pres,'Уровень 1 - Суммарный итог'!G41=pres,'Уровень 1 - Суммарный итог'!G42=pres,'Уровень 1 - Суммарный итог'!G43=pres),pres,SUM('Уровень 1 - Суммарный итог'!G36:G43))</f>
        <v>Присутствует?</v>
      </c>
      <c r="E12" s="423" t="str">
        <f>IF(OR('Уровень 1 - Суммарный итог'!H36=pres,'Уровень 1 - Суммарный итог'!H37=pres,'Уровень 1 - Суммарный итог'!H38=pres,'Уровень 1 - Суммарный итог'!H39=pres,'Уровень 1 - Суммарный итог'!H40=pres,'Уровень 1 - Суммарный итог'!H41=pres,'Уровень 1 - Суммарный итог'!H42=pres,'Уровень 1 - Суммарный итог'!H43=pres),pres,SUM('Уровень 1 - Суммарный итог'!H36:H43))</f>
        <v>Присутствует?</v>
      </c>
      <c r="F12" s="423" t="str">
        <f>IF(OR('Уровень 1 - Суммарный итог'!I36=pres,'Уровень 1 - Суммарный итог'!I37=pres,'Уровень 1 - Суммарный итог'!I38=pres,'Уровень 1 - Суммарный итог'!I39=pres,'Уровень 1 - Суммарный итог'!I40=pres,'Уровень 1 - Суммарный итог'!I41=pres,'Уровень 1 - Суммарный итог'!I42=pres,'Уровень 1 - Суммарный итог'!I43=pres),pres,SUM('Уровень 1 - Суммарный итог'!I36:I43))</f>
        <v>Присутствует?</v>
      </c>
      <c r="G12" s="423" t="str">
        <f>IF(OR('Уровень 1 - Суммарный итог'!J36=pres,'Уровень 1 - Суммарный итог'!J37=pres,'Уровень 1 - Суммарный итог'!J38=pres,'Уровень 1 - Суммарный итог'!J39=pres,'Уровень 1 - Суммарный итог'!J40=pres,'Уровень 1 - Суммарный итог'!J41=pres,'Уровень 1 - Суммарный итог'!J42=pres,'Уровень 1 - Суммарный итог'!J43=pres),pres,SUM('Уровень 1 - Суммарный итог'!J36:J43))</f>
        <v>Присутствует?</v>
      </c>
      <c r="H12" s="423" t="str">
        <f>IF(OR('Уровень 1 - Суммарный итог'!K36=pres,'Уровень 1 - Суммарный итог'!K37=pres,'Уровень 1 - Суммарный итог'!K38=pres,'Уровень 1 - Суммарный итог'!K39=pres,'Уровень 1 - Суммарный итог'!K40=pres,'Уровень 1 - Суммарный итог'!K41=pres,'Уровень 1 - Суммарный итог'!K42=pres,'Уровень 1 - Суммарный итог'!K43=pres),pres,SUM('Уровень 1 - Суммарный итог'!K36:K43))</f>
        <v>Присутствует?</v>
      </c>
      <c r="I12" s="463">
        <f t="shared" si="0"/>
        <v>0</v>
      </c>
      <c r="J12" s="464" t="e">
        <f t="shared" si="1"/>
        <v>#DIV/0!</v>
      </c>
      <c r="L12" s="466"/>
    </row>
    <row r="13" spans="1:14" ht="25">
      <c r="A13" s="758" t="s">
        <v>1098</v>
      </c>
      <c r="B13" s="433" t="str">
        <f>'Уровень 1 - Суммарный итог'!E45</f>
        <v>Присутствует?</v>
      </c>
      <c r="C13" s="433" t="str">
        <f>'Уровень 1 - Суммарный итог'!F45</f>
        <v>Присутствует?</v>
      </c>
      <c r="D13" s="433" t="str">
        <f>'Уровень 1 - Суммарный итог'!G45</f>
        <v>Присутствует?</v>
      </c>
      <c r="E13" s="433" t="str">
        <f>'Уровень 1 - Суммарный итог'!H45</f>
        <v>Присутствует?</v>
      </c>
      <c r="F13" s="433" t="str">
        <f>'Уровень 1 - Суммарный итог'!I45</f>
        <v>Присутствует?</v>
      </c>
      <c r="G13" s="433" t="str">
        <f>'Уровень 1 - Суммарный итог'!J45</f>
        <v>Присутствует?</v>
      </c>
      <c r="H13" s="433" t="str">
        <f>'Уровень 1 - Суммарный итог'!K45</f>
        <v>Присутствует?</v>
      </c>
      <c r="I13" s="463">
        <f t="shared" si="0"/>
        <v>0</v>
      </c>
      <c r="J13" s="464" t="e">
        <f t="shared" si="1"/>
        <v>#DIV/0!</v>
      </c>
      <c r="L13" s="466"/>
    </row>
    <row r="14" spans="1:14">
      <c r="A14" s="758" t="s">
        <v>1099</v>
      </c>
      <c r="B14" s="423" t="str">
        <f>IF(OR('Уровень 1 - Суммарный итог'!E46=pres,'Уровень 1 - Суммарный итог'!E47=pres,'Уровень 1 - Суммарный итог'!E48=pres,'Уровень 1 - Суммарный итог'!E49=pres,'Уровень 1 - Суммарный итог'!E50=pres,'Уровень 1 - Суммарный итог'!E51=pres,'Уровень 1 - Суммарный итог'!E52=pres,'Уровень 1 - Суммарный итог'!E53=pres,'Уровень 1 - Суммарный итог'!E54=pres,'Уровень 1 - Суммарный итог'!E55=pres,'Уровень 1 - Суммарный итог'!E56=pres),pres,SUM('Уровень 1 - Суммарный итог'!E46:E56))</f>
        <v>Присутствует?</v>
      </c>
      <c r="C14" s="423" t="str">
        <f>IF(OR('Уровень 1 - Суммарный итог'!F46=pres,'Уровень 1 - Суммарный итог'!F47=pres,'Уровень 1 - Суммарный итог'!F48=pres,'Уровень 1 - Суммарный итог'!F49=pres,'Уровень 1 - Суммарный итог'!F50=pres,'Уровень 1 - Суммарный итог'!F51=pres,'Уровень 1 - Суммарный итог'!F52=pres,'Уровень 1 - Суммарный итог'!F53=pres,'Уровень 1 - Суммарный итог'!F54=pres,'Уровень 1 - Суммарный итог'!F55=pres,'Уровень 1 - Суммарный итог'!F56=pres),pres,SUM('Уровень 1 - Суммарный итог'!F46:F56))</f>
        <v>Присутствует?</v>
      </c>
      <c r="D14" s="423" t="str">
        <f>IF(OR('Уровень 1 - Суммарный итог'!G46=pres,'Уровень 1 - Суммарный итог'!G47=pres,'Уровень 1 - Суммарный итог'!G48=pres,'Уровень 1 - Суммарный итог'!G49=pres,'Уровень 1 - Суммарный итог'!G50=pres,'Уровень 1 - Суммарный итог'!G51=pres,'Уровень 1 - Суммарный итог'!G52=pres,'Уровень 1 - Суммарный итог'!G53=pres,'Уровень 1 - Суммарный итог'!G54=pres,'Уровень 1 - Суммарный итог'!G55=pres,'Уровень 1 - Суммарный итог'!G56=pres),pres,SUM('Уровень 1 - Суммарный итог'!G46:G56))</f>
        <v>Присутствует?</v>
      </c>
      <c r="E14" s="423" t="str">
        <f>IF(OR('Уровень 1 - Суммарный итог'!H46=pres,'Уровень 1 - Суммарный итог'!H47=pres,'Уровень 1 - Суммарный итог'!H48=pres,'Уровень 1 - Суммарный итог'!H49=pres,'Уровень 1 - Суммарный итог'!H50=pres,'Уровень 1 - Суммарный итог'!H51=pres,'Уровень 1 - Суммарный итог'!H52=pres,'Уровень 1 - Суммарный итог'!H53=pres,'Уровень 1 - Суммарный итог'!H54=pres,'Уровень 1 - Суммарный итог'!H55=pres,'Уровень 1 - Суммарный итог'!H56=pres),pres,SUM('Уровень 1 - Суммарный итог'!H46:H56))</f>
        <v>Присутствует?</v>
      </c>
      <c r="F14" s="423" t="str">
        <f>IF(OR('Уровень 1 - Суммарный итог'!I46=pres,'Уровень 1 - Суммарный итог'!I47=pres,'Уровень 1 - Суммарный итог'!I48=pres,'Уровень 1 - Суммарный итог'!I49=pres,'Уровень 1 - Суммарный итог'!I50=pres,'Уровень 1 - Суммарный итог'!I51=pres,'Уровень 1 - Суммарный итог'!I52=pres,'Уровень 1 - Суммарный итог'!I53=pres,'Уровень 1 - Суммарный итог'!I54=pres,'Уровень 1 - Суммарный итог'!I55=pres,'Уровень 1 - Суммарный итог'!I56=pres),pres,SUM('Уровень 1 - Суммарный итог'!I46:I56))</f>
        <v>Присутствует?</v>
      </c>
      <c r="G14" s="423" t="str">
        <f>IF(OR('Уровень 1 - Суммарный итог'!J46=pres,'Уровень 1 - Суммарный итог'!J47=pres,'Уровень 1 - Суммарный итог'!J48=pres,'Уровень 1 - Суммарный итог'!J49=pres,'Уровень 1 - Суммарный итог'!J50=pres,'Уровень 1 - Суммарный итог'!J51=pres,'Уровень 1 - Суммарный итог'!J52=pres,'Уровень 1 - Суммарный итог'!J53=pres,'Уровень 1 - Суммарный итог'!J54=pres,'Уровень 1 - Суммарный итог'!J55=pres,'Уровень 1 - Суммарный итог'!J56=pres),pres,SUM('Уровень 1 - Суммарный итог'!J46:J56))</f>
        <v>Присутствует?</v>
      </c>
      <c r="H14" s="423" t="str">
        <f>IF(OR('Уровень 1 - Суммарный итог'!K46=pres,'Уровень 1 - Суммарный итог'!K47=pres,'Уровень 1 - Суммарный итог'!K48=pres,'Уровень 1 - Суммарный итог'!K49=pres,'Уровень 1 - Суммарный итог'!K50=pres,'Уровень 1 - Суммарный итог'!K51=pres,'Уровень 1 - Суммарный итог'!K52=pres,'Уровень 1 - Суммарный итог'!K53=pres,'Уровень 1 - Суммарный итог'!K54=pres,'Уровень 1 - Суммарный итог'!K55=pres,'Уровень 1 - Суммарный итог'!K56=pres),pres,SUM('Уровень 1 - Суммарный итог'!K46:K56))</f>
        <v>Присутствует?</v>
      </c>
      <c r="I14" s="463">
        <f t="shared" si="0"/>
        <v>0</v>
      </c>
      <c r="J14" s="464" t="e">
        <f t="shared" si="1"/>
        <v>#DIV/0!</v>
      </c>
      <c r="L14" s="466"/>
    </row>
    <row r="15" spans="1:14">
      <c r="A15" s="758" t="s">
        <v>960</v>
      </c>
      <c r="B15" s="423" t="str">
        <f>IF(OR('Уровень 1 - Суммарный итог'!E58=pres,'Уровень 1 - Суммарный итог'!E59=pres),pres,SUM('Уровень 1 - Суммарный итог'!E58:E59))</f>
        <v>Присутствует?</v>
      </c>
      <c r="C15" s="423" t="str">
        <f>IF(OR('Уровень 1 - Суммарный итог'!F58=pres,'Уровень 1 - Суммарный итог'!F59=pres),pres,SUM('Уровень 1 - Суммарный итог'!F58:F59))</f>
        <v>Присутствует?</v>
      </c>
      <c r="D15" s="423" t="str">
        <f>IF(OR('Уровень 1 - Суммарный итог'!G58=pres,'Уровень 1 - Суммарный итог'!G59=pres),pres,SUM('Уровень 1 - Суммарный итог'!G58:G59))</f>
        <v>Присутствует?</v>
      </c>
      <c r="E15" s="423" t="str">
        <f>IF(OR('Уровень 1 - Суммарный итог'!H58=pres,'Уровень 1 - Суммарный итог'!H59=pres),pres,SUM('Уровень 1 - Суммарный итог'!H58:H59))</f>
        <v>Присутствует?</v>
      </c>
      <c r="F15" s="423" t="str">
        <f>IF(OR('Уровень 1 - Суммарный итог'!I58=pres,'Уровень 1 - Суммарный итог'!I59=pres),pres,SUM('Уровень 1 - Суммарный итог'!I58:I59))</f>
        <v>Присутствует?</v>
      </c>
      <c r="G15" s="423" t="str">
        <f>IF(OR('Уровень 1 - Суммарный итог'!J58=pres,'Уровень 1 - Суммарный итог'!J59=pres),pres,SUM('Уровень 1 - Суммарный итог'!J58:J59))</f>
        <v>Присутствует?</v>
      </c>
      <c r="H15" s="423" t="str">
        <f>IF(OR('Уровень 1 - Суммарный итог'!K58=pres,'Уровень 1 - Суммарный итог'!K59=pres),pres,SUM('Уровень 1 - Суммарный итог'!K58:K59))</f>
        <v>Присутствует?</v>
      </c>
      <c r="I15" s="463">
        <f t="shared" si="0"/>
        <v>0</v>
      </c>
      <c r="J15" s="464" t="e">
        <f t="shared" si="1"/>
        <v>#DIV/0!</v>
      </c>
      <c r="L15" s="466"/>
    </row>
    <row r="16" spans="1:14" ht="25">
      <c r="A16" s="758" t="s">
        <v>1100</v>
      </c>
      <c r="B16" s="423" t="str">
        <f>IF(OR('Уровень 1 - Суммарный итог'!E61=pres,'Уровень 1 - Суммарный итог'!E62=pres,'Уровень 1 - Суммарный итог'!E63=pres,'Уровень 1 - Суммарный итог'!E64=pres,'Уровень 1 - Суммарный итог'!E65=pres),pres,SUM('Уровень 1 - Суммарный итог'!E61:E65))</f>
        <v>Присутствует?</v>
      </c>
      <c r="C16" s="423" t="str">
        <f>IF(OR('Уровень 1 - Суммарный итог'!F61=pres,'Уровень 1 - Суммарный итог'!F62=pres,'Уровень 1 - Суммарный итог'!F63=pres,'Уровень 1 - Суммарный итог'!F64=pres,'Уровень 1 - Суммарный итог'!F65=pres),pres,SUM('Уровень 1 - Суммарный итог'!F61:F65))</f>
        <v>Присутствует?</v>
      </c>
      <c r="D16" s="423" t="str">
        <f>IF(OR('Уровень 1 - Суммарный итог'!G61=pres,'Уровень 1 - Суммарный итог'!G62=pres,'Уровень 1 - Суммарный итог'!G63=pres,'Уровень 1 - Суммарный итог'!G64=pres,'Уровень 1 - Суммарный итог'!G65=pres),pres,SUM('Уровень 1 - Суммарный итог'!G61:G65))</f>
        <v>Присутствует?</v>
      </c>
      <c r="E16" s="423" t="str">
        <f>IF(OR('Уровень 1 - Суммарный итог'!H61=pres,'Уровень 1 - Суммарный итог'!H62=pres,'Уровень 1 - Суммарный итог'!H63=pres,'Уровень 1 - Суммарный итог'!H64=pres,'Уровень 1 - Суммарный итог'!H65=pres),pres,SUM('Уровень 1 - Суммарный итог'!H61:H65))</f>
        <v>Присутствует?</v>
      </c>
      <c r="F16" s="423" t="str">
        <f>IF(OR('Уровень 1 - Суммарный итог'!I61=pres,'Уровень 1 - Суммарный итог'!I62=pres,'Уровень 1 - Суммарный итог'!I63=pres,'Уровень 1 - Суммарный итог'!I64=pres,'Уровень 1 - Суммарный итог'!I65=pres),pres,SUM('Уровень 1 - Суммарный итог'!I61:I65))</f>
        <v>Присутствует?</v>
      </c>
      <c r="G16" s="423" t="str">
        <f>IF(OR('Уровень 1 - Суммарный итог'!J61=pres,'Уровень 1 - Суммарный итог'!J62=pres,'Уровень 1 - Суммарный итог'!J63=pres,'Уровень 1 - Суммарный итог'!J64=pres,'Уровень 1 - Суммарный итог'!J65=pres),pres,SUM('Уровень 1 - Суммарный итог'!J61:J65))</f>
        <v>Присутствует?</v>
      </c>
      <c r="H16" s="423" t="str">
        <f>IF(OR('Уровень 1 - Суммарный итог'!K61=pres,'Уровень 1 - Суммарный итог'!K62=pres,'Уровень 1 - Суммарный итог'!K63=pres,'Уровень 1 - Суммарный итог'!K64=pres,'Уровень 1 - Суммарный итог'!K65=pres),pres,SUM('Уровень 1 - Суммарный итог'!K61:K65))</f>
        <v>Присутствует?</v>
      </c>
      <c r="I16" s="463">
        <f t="shared" si="0"/>
        <v>0</v>
      </c>
      <c r="J16" s="464" t="e">
        <f t="shared" si="1"/>
        <v>#DIV/0!</v>
      </c>
    </row>
    <row r="17" spans="1:12">
      <c r="A17" s="758" t="s">
        <v>1101</v>
      </c>
      <c r="B17" s="448" t="str">
        <f>'Уровень 1 - Суммарный итог'!E67</f>
        <v>Присутствует?</v>
      </c>
      <c r="C17" s="448" t="str">
        <f>'Уровень 1 - Суммарный итог'!F67</f>
        <v>Присутствует?</v>
      </c>
      <c r="D17" s="448" t="str">
        <f>'Уровень 1 - Суммарный итог'!G67</f>
        <v>Присутствует?</v>
      </c>
      <c r="E17" s="448" t="str">
        <f>'Уровень 1 - Суммарный итог'!H67</f>
        <v>Присутствует?</v>
      </c>
      <c r="F17" s="448" t="str">
        <f>'Уровень 1 - Суммарный итог'!I67</f>
        <v>Присутствует?</v>
      </c>
      <c r="G17" s="448" t="str">
        <f>'Уровень 1 - Суммарный итог'!J67</f>
        <v>Присутствует?</v>
      </c>
      <c r="H17" s="448" t="str">
        <f>'Уровень 1 - Суммарный итог'!K67</f>
        <v>Присутствует?</v>
      </c>
      <c r="I17" s="463">
        <f t="shared" si="0"/>
        <v>0</v>
      </c>
      <c r="J17" s="464" t="e">
        <f t="shared" si="1"/>
        <v>#DIV/0!</v>
      </c>
      <c r="L17" s="466"/>
    </row>
    <row r="18" spans="1:12" ht="25">
      <c r="A18" s="758" t="s">
        <v>1102</v>
      </c>
      <c r="B18" s="537" t="str">
        <f>'Уровень 1 - Суммарный итог'!E68</f>
        <v>Присутствует?</v>
      </c>
      <c r="C18" s="537" t="str">
        <f>'Уровень 1 - Суммарный итог'!F68</f>
        <v>Присутствует?</v>
      </c>
      <c r="D18" s="537" t="str">
        <f>'Уровень 1 - Суммарный итог'!G68</f>
        <v>Присутствует?</v>
      </c>
      <c r="E18" s="537" t="str">
        <f>'Уровень 1 - Суммарный итог'!H68</f>
        <v>Присутствует?</v>
      </c>
      <c r="F18" s="537" t="str">
        <f>'Уровень 1 - Суммарный итог'!I68</f>
        <v>Присутствует?</v>
      </c>
      <c r="G18" s="537" t="str">
        <f>'Уровень 1 - Суммарный итог'!J68</f>
        <v>Присутствует?</v>
      </c>
      <c r="H18" s="537" t="str">
        <f>'Уровень 1 - Суммарный итог'!K68</f>
        <v>Присутствует?</v>
      </c>
      <c r="I18" s="436">
        <f>SUM(C18:H18)-IF(OR(E18="-", E18=que, E18=pres),0,E18)</f>
        <v>0</v>
      </c>
      <c r="J18" s="464" t="e">
        <f t="shared" si="1"/>
        <v>#DIV/0!</v>
      </c>
      <c r="L18" s="467"/>
    </row>
    <row r="19" spans="1:12" ht="25">
      <c r="A19" s="758" t="s">
        <v>1103</v>
      </c>
      <c r="B19" s="537" t="str">
        <f>'Уровень 1 - Суммарный итог'!E69</f>
        <v>Присутствует?</v>
      </c>
      <c r="C19" s="537" t="str">
        <f>'Уровень 1 - Суммарный итог'!F69</f>
        <v>Присутствует?</v>
      </c>
      <c r="D19" s="537" t="str">
        <f>'Уровень 1 - Суммарный итог'!G69</f>
        <v>Присутствует?</v>
      </c>
      <c r="E19" s="537" t="str">
        <f>'Уровень 1 - Суммарный итог'!H69</f>
        <v>Присутствует?</v>
      </c>
      <c r="F19" s="537" t="str">
        <f>'Уровень 1 - Суммарный итог'!I69</f>
        <v>Присутствует?</v>
      </c>
      <c r="G19" s="537" t="str">
        <f>'Уровень 1 - Суммарный итог'!J69</f>
        <v>Присутствует?</v>
      </c>
      <c r="H19" s="537" t="str">
        <f>'Уровень 1 - Суммарный итог'!K69</f>
        <v>Присутствует?</v>
      </c>
      <c r="I19" s="436">
        <f>SUM(C19:H19)-IF(OR(D19="-",D19=que, D19=pres),0,D19)</f>
        <v>0</v>
      </c>
      <c r="J19" s="464" t="e">
        <f t="shared" si="1"/>
        <v>#DIV/0!</v>
      </c>
    </row>
    <row r="20" spans="1:12">
      <c r="A20" s="758" t="s">
        <v>1016</v>
      </c>
      <c r="B20" s="423" t="str">
        <f>IF(OR('Уровень 1 - Суммарный итог'!E71=pres,'Уровень 1 - Суммарный итог'!E72=pres),pres,SUM('Уровень 1 - Суммарный итог'!E71:E72))</f>
        <v>Присутствует?</v>
      </c>
      <c r="C20" s="423" t="str">
        <f>IF(OR('Уровень 1 - Суммарный итог'!F71=pres,'Уровень 1 - Суммарный итог'!F72=pres),pres,SUM('Уровень 1 - Суммарный итог'!F71:F72))</f>
        <v>Присутствует?</v>
      </c>
      <c r="D20" s="423" t="str">
        <f>IF(OR('Уровень 1 - Суммарный итог'!G71=pres,'Уровень 1 - Суммарный итог'!G72=pres),pres,SUM('Уровень 1 - Суммарный итог'!G71:G72))</f>
        <v>Присутствует?</v>
      </c>
      <c r="E20" s="423" t="str">
        <f>IF(OR('Уровень 1 - Суммарный итог'!H71=pres,'Уровень 1 - Суммарный итог'!H72=pres),pres,SUM('Уровень 1 - Суммарный итог'!H71:H72))</f>
        <v>Присутствует?</v>
      </c>
      <c r="F20" s="423" t="str">
        <f>IF(OR('Уровень 1 - Суммарный итог'!I71=pres,'Уровень 1 - Суммарный итог'!I72=pres),pres,SUM('Уровень 1 - Суммарный итог'!I71:I72))</f>
        <v>Присутствует?</v>
      </c>
      <c r="G20" s="423" t="str">
        <f>IF(OR('Уровень 1 - Суммарный итог'!J71=pres,'Уровень 1 - Суммарный итог'!J72=pres),pres,SUM('Уровень 1 - Суммарный итог'!J71:J72))</f>
        <v>Присутствует?</v>
      </c>
      <c r="H20" s="423" t="str">
        <f>IF(OR('Уровень 1 - Суммарный итог'!K71=pres,'Уровень 1 - Суммарный итог'!K72=pres),pres,SUM('Уровень 1 - Суммарный итог'!K71:K72))</f>
        <v>Присутствует?</v>
      </c>
      <c r="I20" s="436">
        <f t="shared" si="0"/>
        <v>0</v>
      </c>
      <c r="J20" s="464" t="e">
        <f t="shared" si="1"/>
        <v>#DIV/0!</v>
      </c>
    </row>
    <row r="21" spans="1:12" s="353" customFormat="1" ht="13">
      <c r="A21" s="265" t="s">
        <v>1131</v>
      </c>
      <c r="B21" s="428">
        <f>ROUND(SUM(B4:B20)-(0.9*IF(OR(B16="-",B16=que, B16=pres),0,B16))-(0.9*IF(OR(B17="-",B17=que, B17=pres),0,B17))-(0.9*IF(OR(B18="-",B18=que, B18=pres),0,B18))-IF(OR(B19="-", B19=que, B19=pres),0,B19)+(-IF(OR(B12="-",B12=que, B12=pres),0,B12)+SUM(C12:H12))+(-IF(OR(B6="-",B6=que, B6=pres),0,B6)+SUM(C6:H6)),-1)</f>
        <v>0</v>
      </c>
      <c r="C21" s="428">
        <f>ROUND(SUM(C4:C20),-1)</f>
        <v>0</v>
      </c>
      <c r="D21" s="428">
        <f>ROUND(SUM(D4:D20)-IF(OR(D19="-",D19=que, D19=pres),0,D19),-1)</f>
        <v>0</v>
      </c>
      <c r="E21" s="428">
        <f>ROUND(SUM(E4:E20)-IF(OR(E18="-", E18=que, E18=pres),0,E18),-1)</f>
        <v>0</v>
      </c>
      <c r="F21" s="428">
        <f>ROUND(SUM(F4:F20),-1)</f>
        <v>0</v>
      </c>
      <c r="G21" s="428">
        <f>ROUND(SUM(G4:G20),-1)</f>
        <v>0</v>
      </c>
      <c r="H21" s="428">
        <f>ROUND(SUM(H4:H20),-1)</f>
        <v>0</v>
      </c>
      <c r="I21" s="428">
        <f>ROUND(SUM(I4:I20),-1)</f>
        <v>0</v>
      </c>
      <c r="J21" s="465" t="e">
        <f>SUM(J4:J20)</f>
        <v>#DIV/0!</v>
      </c>
      <c r="L21" s="466"/>
    </row>
    <row r="22" spans="1:12">
      <c r="A22" s="743" t="s">
        <v>884</v>
      </c>
      <c r="C22" s="536"/>
      <c r="D22" s="536"/>
      <c r="E22" s="536"/>
      <c r="F22" s="536"/>
      <c r="G22" s="536"/>
      <c r="H22" s="536"/>
      <c r="I22" s="536"/>
    </row>
    <row r="23" spans="1:12" ht="13">
      <c r="A23" s="743" t="s">
        <v>1104</v>
      </c>
      <c r="B23" s="321"/>
      <c r="C23" s="536"/>
      <c r="D23" s="536"/>
      <c r="E23" s="536"/>
      <c r="F23" s="536"/>
      <c r="G23" s="536"/>
      <c r="H23" s="536"/>
      <c r="I23" s="536"/>
    </row>
    <row r="24" spans="1:12">
      <c r="A24" s="743" t="s">
        <v>1105</v>
      </c>
      <c r="B24" s="321"/>
      <c r="C24" s="536"/>
      <c r="D24" s="536"/>
      <c r="E24" s="536"/>
      <c r="F24" s="536"/>
      <c r="G24" s="536"/>
      <c r="H24" s="536"/>
      <c r="I24" s="536"/>
    </row>
    <row r="25" spans="1:12">
      <c r="A25" s="743" t="s">
        <v>1106</v>
      </c>
    </row>
    <row r="26" spans="1:12">
      <c r="A26" s="743" t="s">
        <v>1107</v>
      </c>
    </row>
    <row r="27" spans="1:12">
      <c r="A27" s="743" t="s">
        <v>1108</v>
      </c>
    </row>
    <row r="28" spans="1:12">
      <c r="A28" s="743" t="s">
        <v>1109</v>
      </c>
    </row>
    <row r="29" spans="1:12">
      <c r="A29" s="743" t="s">
        <v>1110</v>
      </c>
    </row>
    <row r="30" spans="1:12">
      <c r="A30" s="743" t="s">
        <v>1111</v>
      </c>
    </row>
    <row r="31" spans="1:12">
      <c r="A31" s="743" t="s">
        <v>1112</v>
      </c>
    </row>
    <row r="32" spans="1:12">
      <c r="A32" s="743" t="s">
        <v>1113</v>
      </c>
    </row>
    <row r="33" spans="1:1">
      <c r="A33" s="743" t="s">
        <v>1114</v>
      </c>
    </row>
    <row r="34" spans="1:1">
      <c r="A34" s="743" t="s">
        <v>1115</v>
      </c>
    </row>
    <row r="35" spans="1:1">
      <c r="A35" s="595" t="s">
        <v>1244</v>
      </c>
    </row>
  </sheetData>
  <sheetProtection algorithmName="SHA-512" hashValue="abD+HQVgNbGJk9MP8yCnRFrIuxTbaS9dSl9vLTQECnk2bXpjofiQ7Mb7NU2ZK7GXqBIdZd4y9fhH9PBCppH4TQ==" saltValue="zHoLg/EpR6vr1WIKwPFrYQ==" spinCount="100000" sheet="1" objects="1" scenarios="1"/>
  <mergeCells count="3">
    <mergeCell ref="B2:B3"/>
    <mergeCell ref="C2:I2"/>
    <mergeCell ref="J2:J3"/>
  </mergeCells>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R45"/>
  <sheetViews>
    <sheetView topLeftCell="A23" workbookViewId="0">
      <selection activeCell="A9" sqref="A9"/>
    </sheetView>
  </sheetViews>
  <sheetFormatPr defaultColWidth="9.1796875" defaultRowHeight="12.5"/>
  <cols>
    <col min="1" max="1" width="46.81640625" style="458" customWidth="1"/>
    <col min="2" max="2" width="19.453125" style="458" customWidth="1"/>
    <col min="3" max="3" width="12.81640625" style="458" customWidth="1"/>
    <col min="4" max="4" width="13.36328125" style="458" customWidth="1"/>
    <col min="5" max="5" width="13.453125" style="458" customWidth="1"/>
    <col min="6" max="6" width="13.81640625" style="458" customWidth="1"/>
    <col min="7" max="7" width="14.453125" style="458" customWidth="1"/>
    <col min="8" max="8" width="14.36328125" style="458" customWidth="1"/>
    <col min="9" max="11" width="9.1796875" style="458"/>
    <col min="12" max="12" width="12.453125" style="458" customWidth="1"/>
    <col min="13" max="16384" width="9.1796875" style="458"/>
  </cols>
  <sheetData>
    <row r="1" spans="1:11" ht="13">
      <c r="A1" s="840" t="s">
        <v>1116</v>
      </c>
      <c r="B1" s="841"/>
      <c r="C1" s="842"/>
      <c r="D1" s="842"/>
      <c r="E1" s="842"/>
      <c r="F1" s="842"/>
      <c r="G1" s="842"/>
      <c r="H1" s="842"/>
      <c r="I1" s="843"/>
      <c r="J1" s="843"/>
      <c r="K1" s="843"/>
    </row>
    <row r="2" spans="1:11">
      <c r="A2" s="841"/>
      <c r="B2" s="842"/>
      <c r="C2" s="842"/>
      <c r="D2" s="842"/>
      <c r="E2" s="842"/>
      <c r="F2" s="842"/>
      <c r="G2" s="842"/>
      <c r="H2" s="842"/>
      <c r="I2" s="843"/>
      <c r="J2" s="843"/>
      <c r="K2" s="843"/>
    </row>
    <row r="3" spans="1:11">
      <c r="A3" s="911" t="s">
        <v>1117</v>
      </c>
      <c r="B3" s="911"/>
      <c r="C3" s="911"/>
      <c r="D3" s="911"/>
      <c r="E3" s="911"/>
      <c r="F3" s="911"/>
      <c r="G3" s="911"/>
      <c r="H3" s="911"/>
      <c r="I3" s="843"/>
      <c r="J3" s="843"/>
      <c r="K3" s="843"/>
    </row>
    <row r="4" spans="1:11" ht="13">
      <c r="A4" s="844" t="s">
        <v>1118</v>
      </c>
      <c r="B4" s="845"/>
      <c r="C4" s="842"/>
      <c r="D4" s="842"/>
      <c r="E4" s="842"/>
      <c r="F4" s="842"/>
      <c r="G4" s="842"/>
      <c r="H4" s="842"/>
      <c r="I4" s="843"/>
      <c r="J4" s="843"/>
      <c r="K4" s="843"/>
    </row>
    <row r="5" spans="1:11" ht="13">
      <c r="A5" s="846"/>
      <c r="B5" s="846"/>
      <c r="C5" s="843"/>
      <c r="D5" s="843"/>
      <c r="E5" s="843"/>
      <c r="F5" s="843"/>
      <c r="G5" s="843"/>
      <c r="H5" s="843"/>
      <c r="I5" s="843"/>
      <c r="J5" s="843"/>
      <c r="K5" s="843"/>
    </row>
    <row r="6" spans="1:11" s="461" customFormat="1">
      <c r="A6" s="742" t="s">
        <v>868</v>
      </c>
      <c r="B6" s="906" t="s">
        <v>871</v>
      </c>
      <c r="C6" s="908" t="s">
        <v>1119</v>
      </c>
      <c r="D6" s="909"/>
      <c r="E6" s="909"/>
      <c r="F6" s="909"/>
      <c r="G6" s="909"/>
      <c r="H6" s="910"/>
      <c r="I6" s="847"/>
      <c r="J6" s="847"/>
      <c r="K6" s="847"/>
    </row>
    <row r="7" spans="1:11" ht="63">
      <c r="A7" s="848" t="s">
        <v>1120</v>
      </c>
      <c r="B7" s="907"/>
      <c r="C7" s="849" t="s">
        <v>877</v>
      </c>
      <c r="D7" s="849" t="s">
        <v>878</v>
      </c>
      <c r="E7" s="849" t="s">
        <v>879</v>
      </c>
      <c r="F7" s="850" t="s">
        <v>880</v>
      </c>
      <c r="G7" s="850" t="s">
        <v>881</v>
      </c>
      <c r="H7" s="850" t="s">
        <v>882</v>
      </c>
      <c r="I7" s="843"/>
      <c r="J7" s="843"/>
      <c r="K7" s="843"/>
    </row>
    <row r="8" spans="1:11" ht="25">
      <c r="A8" s="851" t="s">
        <v>1091</v>
      </c>
      <c r="B8" s="852" t="str">
        <f>'Уровень 1-Кратк. сод.'!B4</f>
        <v>Присутствует?</v>
      </c>
      <c r="C8" s="852" t="str">
        <f>'Уровень 1-Кратк. сод.'!C4</f>
        <v>Присутствует?</v>
      </c>
      <c r="D8" s="852" t="str">
        <f>'Уровень 1-Кратк. сод.'!D4</f>
        <v>Присутствует?</v>
      </c>
      <c r="E8" s="852" t="str">
        <f>'Уровень 1-Кратк. сод.'!E4</f>
        <v>Присутствует?</v>
      </c>
      <c r="F8" s="852" t="str">
        <f>'Уровень 1-Кратк. сод.'!F4</f>
        <v>Присутствует?</v>
      </c>
      <c r="G8" s="852" t="str">
        <f>'Уровень 1-Кратк. сод.'!G4</f>
        <v>Присутствует?</v>
      </c>
      <c r="H8" s="852" t="str">
        <f>'Уровень 1-Кратк. сод.'!H4</f>
        <v>Присутствует?</v>
      </c>
      <c r="I8" s="843"/>
      <c r="J8" s="843"/>
      <c r="K8" s="843"/>
    </row>
    <row r="9" spans="1:11" ht="25">
      <c r="A9" s="851" t="s">
        <v>1121</v>
      </c>
      <c r="B9" s="852" t="str">
        <f>'Уровень 1-Кратк. сод.'!B5</f>
        <v>Присутствует?</v>
      </c>
      <c r="C9" s="852" t="str">
        <f>'Уровень 1-Кратк. сод.'!C5</f>
        <v>Присутствует?</v>
      </c>
      <c r="D9" s="852" t="str">
        <f>'Уровень 1-Кратк. сод.'!D5</f>
        <v>Присутствует?</v>
      </c>
      <c r="E9" s="852" t="str">
        <f>'Уровень 1-Кратк. сод.'!E5</f>
        <v>Присутствует?</v>
      </c>
      <c r="F9" s="852" t="str">
        <f>'Уровень 1-Кратк. сод.'!F5</f>
        <v>Присутствует?</v>
      </c>
      <c r="G9" s="852" t="str">
        <f>'Уровень 1-Кратк. сод.'!G5</f>
        <v>Присутствует?</v>
      </c>
      <c r="H9" s="852" t="str">
        <f>'Уровень 1-Кратк. сод.'!H5</f>
        <v>Присутствует?</v>
      </c>
      <c r="I9" s="843"/>
      <c r="J9" s="843"/>
      <c r="K9" s="843"/>
    </row>
    <row r="10" spans="1:11" ht="25">
      <c r="A10" s="851" t="s">
        <v>1093</v>
      </c>
      <c r="B10" s="852" t="str">
        <f>'Уровень 1-Кратк. сод.'!B6</f>
        <v>Присутствует?</v>
      </c>
      <c r="C10" s="852" t="str">
        <f>'Уровень 1-Кратк. сод.'!C6</f>
        <v>Присутствует?</v>
      </c>
      <c r="D10" s="852" t="str">
        <f>'Уровень 1-Кратк. сод.'!D6</f>
        <v>Присутствует?</v>
      </c>
      <c r="E10" s="852" t="str">
        <f>'Уровень 1-Кратк. сод.'!E6</f>
        <v>Присутствует?</v>
      </c>
      <c r="F10" s="852" t="str">
        <f>'Уровень 1-Кратк. сод.'!F6</f>
        <v>Присутствует?</v>
      </c>
      <c r="G10" s="852" t="str">
        <f>'Уровень 1-Кратк. сод.'!G6</f>
        <v>Присутствует?</v>
      </c>
      <c r="H10" s="852" t="str">
        <f>'Уровень 1-Кратк. сод.'!H6</f>
        <v>Присутствует?</v>
      </c>
      <c r="I10" s="843"/>
      <c r="J10" s="843"/>
      <c r="K10" s="843"/>
    </row>
    <row r="11" spans="1:11" ht="37.5">
      <c r="A11" s="851" t="s">
        <v>1094</v>
      </c>
      <c r="B11" s="852" t="str">
        <f>'Уровень 1-Кратк. сод.'!B7</f>
        <v>Присутствует?</v>
      </c>
      <c r="C11" s="852" t="str">
        <f>'Уровень 1-Кратк. сод.'!C7</f>
        <v>Присутствует?</v>
      </c>
      <c r="D11" s="852" t="str">
        <f>'Уровень 1-Кратк. сод.'!D7</f>
        <v>Присутствует?</v>
      </c>
      <c r="E11" s="852" t="str">
        <f>'Уровень 1-Кратк. сод.'!E7</f>
        <v>Присутствует?</v>
      </c>
      <c r="F11" s="852" t="str">
        <f>'Уровень 1-Кратк. сод.'!F7</f>
        <v>Присутствует?</v>
      </c>
      <c r="G11" s="852" t="str">
        <f>'Уровень 1-Кратк. сод.'!G7</f>
        <v>Присутствует?</v>
      </c>
      <c r="H11" s="852" t="str">
        <f>'Уровень 1-Кратк. сод.'!H7</f>
        <v>Присутствует?</v>
      </c>
      <c r="I11" s="843"/>
      <c r="J11" s="843"/>
      <c r="K11" s="843"/>
    </row>
    <row r="12" spans="1:11" ht="25">
      <c r="A12" s="851" t="s">
        <v>1095</v>
      </c>
      <c r="B12" s="852" t="str">
        <f>'Уровень 1-Кратк. сод.'!B8</f>
        <v>Присутствует?</v>
      </c>
      <c r="C12" s="852" t="str">
        <f>'Уровень 1-Кратк. сод.'!C8</f>
        <v>Присутствует?</v>
      </c>
      <c r="D12" s="852" t="str">
        <f>'Уровень 1-Кратк. сод.'!D8</f>
        <v>Присутствует?</v>
      </c>
      <c r="E12" s="852" t="str">
        <f>'Уровень 1-Кратк. сод.'!E8</f>
        <v>Присутствует?</v>
      </c>
      <c r="F12" s="852" t="str">
        <f>'Уровень 1-Кратк. сод.'!F8</f>
        <v>Присутствует?</v>
      </c>
      <c r="G12" s="852" t="str">
        <f>'Уровень 1-Кратк. сод.'!G8</f>
        <v>Присутствует?</v>
      </c>
      <c r="H12" s="852" t="str">
        <f>'Уровень 1-Кратк. сод.'!H8</f>
        <v>Присутствует?</v>
      </c>
      <c r="I12" s="843"/>
      <c r="J12" s="843"/>
      <c r="K12" s="843"/>
    </row>
    <row r="13" spans="1:11" ht="25">
      <c r="A13" s="851" t="s">
        <v>1122</v>
      </c>
      <c r="B13" s="852" t="str">
        <f>'Уровень 1-Кратк. сод.'!B9</f>
        <v>Присутствует?</v>
      </c>
      <c r="C13" s="852" t="str">
        <f>'Уровень 1-Кратк. сод.'!C9</f>
        <v>Присутствует?</v>
      </c>
      <c r="D13" s="852" t="str">
        <f>'Уровень 1-Кратк. сод.'!D9</f>
        <v>Присутствует?</v>
      </c>
      <c r="E13" s="852" t="str">
        <f>'Уровень 1-Кратк. сод.'!E9</f>
        <v>Присутствует?</v>
      </c>
      <c r="F13" s="852" t="str">
        <f>'Уровень 1-Кратк. сод.'!F9</f>
        <v>Присутствует?</v>
      </c>
      <c r="G13" s="852" t="str">
        <f>'Уровень 1-Кратк. сод.'!G9</f>
        <v>Присутствует?</v>
      </c>
      <c r="H13" s="852" t="str">
        <f>'Уровень 1-Кратк. сод.'!H9</f>
        <v>Присутствует?</v>
      </c>
      <c r="I13" s="843"/>
      <c r="J13" s="843"/>
      <c r="K13" s="843"/>
    </row>
    <row r="14" spans="1:11" ht="25">
      <c r="A14" s="851" t="s">
        <v>940</v>
      </c>
      <c r="B14" s="852" t="str">
        <f>'Уровень 1-Кратк. сод.'!B10</f>
        <v>Присутствует?</v>
      </c>
      <c r="C14" s="852" t="str">
        <f>'Уровень 1-Кратк. сод.'!C10</f>
        <v>Присутствует?</v>
      </c>
      <c r="D14" s="852" t="str">
        <f>'Уровень 1-Кратк. сод.'!D10</f>
        <v>Присутствует?</v>
      </c>
      <c r="E14" s="852" t="str">
        <f>'Уровень 1-Кратк. сод.'!E10</f>
        <v>Присутствует?</v>
      </c>
      <c r="F14" s="852" t="str">
        <f>'Уровень 1-Кратк. сод.'!F10</f>
        <v>Присутствует?</v>
      </c>
      <c r="G14" s="852" t="str">
        <f>'Уровень 1-Кратк. сод.'!G10</f>
        <v>Присутствует?</v>
      </c>
      <c r="H14" s="852" t="str">
        <f>'Уровень 1-Кратк. сод.'!H10</f>
        <v>Присутствует?</v>
      </c>
      <c r="I14" s="843"/>
      <c r="J14" s="843"/>
      <c r="K14" s="843"/>
    </row>
    <row r="15" spans="1:11" ht="25">
      <c r="A15" s="851" t="s">
        <v>1123</v>
      </c>
      <c r="B15" s="852" t="str">
        <f>'Уровень 1-Кратк. сод.'!B11</f>
        <v>Присутствует?</v>
      </c>
      <c r="C15" s="852" t="str">
        <f>'Уровень 1-Кратк. сод.'!C11</f>
        <v>Присутствует?</v>
      </c>
      <c r="D15" s="852" t="str">
        <f>'Уровень 1-Кратк. сод.'!D11</f>
        <v>Присутствует?</v>
      </c>
      <c r="E15" s="852" t="str">
        <f>'Уровень 1-Кратк. сод.'!E11</f>
        <v>Присутствует?</v>
      </c>
      <c r="F15" s="852" t="str">
        <f>'Уровень 1-Кратк. сод.'!F11</f>
        <v>Присутствует?</v>
      </c>
      <c r="G15" s="852" t="str">
        <f>'Уровень 1-Кратк. сод.'!G11</f>
        <v>Присутствует?</v>
      </c>
      <c r="H15" s="852" t="str">
        <f>'Уровень 1-Кратк. сод.'!H11</f>
        <v>Присутствует?</v>
      </c>
      <c r="I15" s="843"/>
      <c r="J15" s="843"/>
      <c r="K15" s="843"/>
    </row>
    <row r="16" spans="1:11" ht="25">
      <c r="A16" s="851" t="s">
        <v>943</v>
      </c>
      <c r="B16" s="852" t="str">
        <f>'Уровень 1-Кратк. сод.'!B12</f>
        <v>Присутствует?</v>
      </c>
      <c r="C16" s="852" t="str">
        <f>'Уровень 1-Кратк. сод.'!C12</f>
        <v>Присутствует?</v>
      </c>
      <c r="D16" s="852" t="str">
        <f>'Уровень 1-Кратк. сод.'!D12</f>
        <v>Присутствует?</v>
      </c>
      <c r="E16" s="852" t="str">
        <f>'Уровень 1-Кратк. сод.'!E12</f>
        <v>Присутствует?</v>
      </c>
      <c r="F16" s="852" t="str">
        <f>'Уровень 1-Кратк. сод.'!F12</f>
        <v>Присутствует?</v>
      </c>
      <c r="G16" s="852" t="str">
        <f>'Уровень 1-Кратк. сод.'!G12</f>
        <v>Присутствует?</v>
      </c>
      <c r="H16" s="852" t="str">
        <f>'Уровень 1-Кратк. сод.'!H12</f>
        <v>Присутствует?</v>
      </c>
      <c r="I16" s="843"/>
      <c r="J16" s="843"/>
      <c r="K16" s="843"/>
    </row>
    <row r="17" spans="1:18" ht="25">
      <c r="A17" s="851" t="s">
        <v>1124</v>
      </c>
      <c r="B17" s="852" t="str">
        <f>'Уровень 1-Кратк. сод.'!B13</f>
        <v>Присутствует?</v>
      </c>
      <c r="C17" s="852" t="str">
        <f>'Уровень 1-Кратк. сод.'!C13</f>
        <v>Присутствует?</v>
      </c>
      <c r="D17" s="852" t="str">
        <f>'Уровень 1-Кратк. сод.'!D13</f>
        <v>Присутствует?</v>
      </c>
      <c r="E17" s="852" t="str">
        <f>'Уровень 1-Кратк. сод.'!E13</f>
        <v>Присутствует?</v>
      </c>
      <c r="F17" s="852" t="str">
        <f>'Уровень 1-Кратк. сод.'!F13</f>
        <v>Присутствует?</v>
      </c>
      <c r="G17" s="852" t="str">
        <f>'Уровень 1-Кратк. сод.'!G13</f>
        <v>Присутствует?</v>
      </c>
      <c r="H17" s="852" t="str">
        <f>'Уровень 1-Кратк. сод.'!H13</f>
        <v>Присутствует?</v>
      </c>
      <c r="I17" s="843"/>
      <c r="J17" s="843"/>
      <c r="K17" s="843"/>
    </row>
    <row r="18" spans="1:18" ht="25">
      <c r="A18" s="851" t="s">
        <v>1125</v>
      </c>
      <c r="B18" s="852" t="str">
        <f>'Уровень 1-Кратк. сод.'!B14</f>
        <v>Присутствует?</v>
      </c>
      <c r="C18" s="852" t="str">
        <f>'Уровень 1-Кратк. сод.'!C14</f>
        <v>Присутствует?</v>
      </c>
      <c r="D18" s="852" t="str">
        <f>'Уровень 1-Кратк. сод.'!D14</f>
        <v>Присутствует?</v>
      </c>
      <c r="E18" s="852" t="str">
        <f>'Уровень 1-Кратк. сод.'!E14</f>
        <v>Присутствует?</v>
      </c>
      <c r="F18" s="852" t="str">
        <f>'Уровень 1-Кратк. сод.'!F14</f>
        <v>Присутствует?</v>
      </c>
      <c r="G18" s="852" t="str">
        <f>'Уровень 1-Кратк. сод.'!G14</f>
        <v>Присутствует?</v>
      </c>
      <c r="H18" s="852" t="str">
        <f>'Уровень 1-Кратк. сод.'!H14</f>
        <v>Присутствует?</v>
      </c>
      <c r="I18" s="843"/>
      <c r="J18" s="843"/>
      <c r="K18" s="843"/>
    </row>
    <row r="19" spans="1:18" ht="25">
      <c r="A19" s="851" t="s">
        <v>960</v>
      </c>
      <c r="B19" s="852" t="str">
        <f>'Уровень 1-Кратк. сод.'!B15</f>
        <v>Присутствует?</v>
      </c>
      <c r="C19" s="852" t="str">
        <f>'Уровень 1-Кратк. сод.'!C15</f>
        <v>Присутствует?</v>
      </c>
      <c r="D19" s="852" t="str">
        <f>'Уровень 1-Кратк. сод.'!D15</f>
        <v>Присутствует?</v>
      </c>
      <c r="E19" s="852" t="str">
        <f>'Уровень 1-Кратк. сод.'!E15</f>
        <v>Присутствует?</v>
      </c>
      <c r="F19" s="852" t="str">
        <f>'Уровень 1-Кратк. сод.'!F15</f>
        <v>Присутствует?</v>
      </c>
      <c r="G19" s="852" t="str">
        <f>'Уровень 1-Кратк. сод.'!G15</f>
        <v>Присутствует?</v>
      </c>
      <c r="H19" s="852" t="str">
        <f>'Уровень 1-Кратк. сод.'!H15</f>
        <v>Присутствует?</v>
      </c>
      <c r="I19" s="843"/>
      <c r="J19" s="843"/>
      <c r="K19" s="843"/>
    </row>
    <row r="20" spans="1:18" ht="25">
      <c r="A20" s="851" t="s">
        <v>1126</v>
      </c>
      <c r="B20" s="852" t="str">
        <f>IF(OR('Уровень 1 - Суммарный итог'!E61=pres,'Уровень 1 - Суммарный итог'!E62=pres,'Уровень 1 - Суммарный итог'!E63=pres,'Уровень 1 - Суммарный итог'!E64=pres,'Уровень 1 - Суммарный итог'!E65=pres),pres,0.1*SUM('Уровень 1 - Суммарный итог'!E61:E65))</f>
        <v>Присутствует?</v>
      </c>
      <c r="C20" s="852" t="str">
        <f>'Уровень 1-Кратк. сод.'!C16</f>
        <v>Присутствует?</v>
      </c>
      <c r="D20" s="852" t="str">
        <f>'Уровень 1-Кратк. сод.'!D16</f>
        <v>Присутствует?</v>
      </c>
      <c r="E20" s="852" t="str">
        <f>'Уровень 1-Кратк. сод.'!E16</f>
        <v>Присутствует?</v>
      </c>
      <c r="F20" s="852" t="str">
        <f>'Уровень 1-Кратк. сод.'!F16</f>
        <v>Присутствует?</v>
      </c>
      <c r="G20" s="852" t="str">
        <f>'Уровень 1-Кратк. сод.'!G16</f>
        <v>Присутствует?</v>
      </c>
      <c r="H20" s="852" t="str">
        <f>'Уровень 1-Кратк. сод.'!H16</f>
        <v>Присутствует?</v>
      </c>
      <c r="I20" s="843"/>
      <c r="J20" s="843"/>
      <c r="K20" s="843"/>
    </row>
    <row r="21" spans="1:18" ht="25">
      <c r="A21" s="851" t="s">
        <v>1127</v>
      </c>
      <c r="B21" s="852">
        <f>0.1*IF(OR('Уровень 1 - Суммарный итог'!E67="-",'Уровень 1 - Суммарный итог'!E67=que, 'Уровень 1 - Суммарный итог'!E67=pres),0,'Уровень 1 - Суммарный итог'!E67)</f>
        <v>0</v>
      </c>
      <c r="C21" s="852" t="str">
        <f>'Уровень 1-Кратк. сод.'!C17</f>
        <v>Присутствует?</v>
      </c>
      <c r="D21" s="852" t="str">
        <f>'Уровень 1-Кратк. сод.'!D17</f>
        <v>Присутствует?</v>
      </c>
      <c r="E21" s="852" t="str">
        <f>'Уровень 1-Кратк. сод.'!E17</f>
        <v>Присутствует?</v>
      </c>
      <c r="F21" s="852" t="str">
        <f>IF('Уровень 1 - Суммарный итог'!I67="-",0,'Уровень 1 - Суммарный итог'!I67)</f>
        <v>Присутствует?</v>
      </c>
      <c r="G21" s="852" t="str">
        <f>IF('Уровень 1 - Суммарный итог'!J67="-",0,'Уровень 1 - Суммарный итог'!J67)</f>
        <v>Присутствует?</v>
      </c>
      <c r="H21" s="852" t="str">
        <f>IF('Уровень 1 - Суммарный итог'!K67="-",0,'Уровень 1 - Суммарный итог'!K67)</f>
        <v>Присутствует?</v>
      </c>
      <c r="I21" s="843"/>
      <c r="J21" s="843"/>
      <c r="K21" s="843"/>
    </row>
    <row r="22" spans="1:18" ht="25">
      <c r="A22" s="851" t="s">
        <v>1128</v>
      </c>
      <c r="B22" s="853">
        <f>0.1*IF(OR('Этап5-Обраб. отходов+перераб.'!F27="-",'Этап5-Обраб. отходов+перераб.'!F27=que, 'Этап5-Обраб. отходов+перераб.'!F27=pres),0,'Этап5-Обраб. отходов+перераб.'!F27)</f>
        <v>0</v>
      </c>
      <c r="C22" s="852" t="str">
        <f>'Уровень 1-Кратк. сод.'!C18</f>
        <v>Присутствует?</v>
      </c>
      <c r="D22" s="852" t="str">
        <f>'Уровень 1-Кратк. сод.'!D18</f>
        <v>Присутствует?</v>
      </c>
      <c r="E22" s="852" t="str">
        <f>'Уровень 1-Кратк. сод.'!E18</f>
        <v>Присутствует?</v>
      </c>
      <c r="F22" s="853" t="str">
        <f>IF('Этап5-Обраб. отходов+перераб.'!J27="-",0,'Этап5-Обраб. отходов+перераб.'!J27)</f>
        <v>Присутствует?</v>
      </c>
      <c r="G22" s="853" t="str">
        <f>IF('Этап5-Обраб. отходов+перераб.'!K27="-",0,'Этап5-Обраб. отходов+перераб.'!K27)</f>
        <v>Присутствует?</v>
      </c>
      <c r="H22" s="853" t="str">
        <f>IF('Этап5-Обраб. отходов+перераб.'!L27="-",0,'Этап5-Обраб. отходов+перераб.'!L27)</f>
        <v>Присутствует?</v>
      </c>
      <c r="I22" s="843"/>
      <c r="J22" s="843"/>
      <c r="K22" s="843"/>
    </row>
    <row r="23" spans="1:18" ht="25">
      <c r="A23" s="851" t="s">
        <v>1129</v>
      </c>
      <c r="B23" s="853">
        <f>0*IF(OR('Этап5-Обраб. отходов+перераб.'!F29="-",'Этап5-Обраб. отходов+перераб.'!F29=que, 'Этап5-Обраб. отходов+перераб.'!F29=pres),0,'Этап5-Обраб. отходов+перераб.'!F29)</f>
        <v>0</v>
      </c>
      <c r="C23" s="852" t="str">
        <f>'Уровень 1-Кратк. сод.'!C19</f>
        <v>Присутствует?</v>
      </c>
      <c r="D23" s="852" t="str">
        <f>'Уровень 1-Кратк. сод.'!D19</f>
        <v>Присутствует?</v>
      </c>
      <c r="E23" s="852" t="str">
        <f>'Уровень 1-Кратк. сод.'!E19</f>
        <v>Присутствует?</v>
      </c>
      <c r="F23" s="852" t="str">
        <f>'Уровень 1-Кратк. сод.'!F19</f>
        <v>Присутствует?</v>
      </c>
      <c r="G23" s="852" t="str">
        <f>'Уровень 1-Кратк. сод.'!G19</f>
        <v>Присутствует?</v>
      </c>
      <c r="H23" s="852" t="str">
        <f>'Уровень 1-Кратк. сод.'!H19</f>
        <v>Присутствует?</v>
      </c>
      <c r="I23" s="843"/>
      <c r="J23" s="843"/>
      <c r="K23" s="843"/>
    </row>
    <row r="24" spans="1:18" ht="25">
      <c r="A24" s="851" t="s">
        <v>1016</v>
      </c>
      <c r="B24" s="852" t="str">
        <f>IF(OR('Уровень 1 - Суммарный итог'!E71=pres,'Уровень 1 - Суммарный итог'!E72=pres),pres,SUM('Уровень 1 - Суммарный итог'!E71:E72))</f>
        <v>Присутствует?</v>
      </c>
      <c r="C24" s="852" t="str">
        <f>'Уровень 1-Кратк. сод.'!C20</f>
        <v>Присутствует?</v>
      </c>
      <c r="D24" s="852" t="str">
        <f>'Уровень 1-Кратк. сод.'!D20</f>
        <v>Присутствует?</v>
      </c>
      <c r="E24" s="852" t="str">
        <f>'Уровень 1-Кратк. сод.'!E20</f>
        <v>Присутствует?</v>
      </c>
      <c r="F24" s="852" t="str">
        <f>'Уровень 1-Кратк. сод.'!F20</f>
        <v>Присутствует?</v>
      </c>
      <c r="G24" s="852" t="str">
        <f>'Уровень 1-Кратк. сод.'!G20</f>
        <v>Присутствует?</v>
      </c>
      <c r="H24" s="852" t="str">
        <f>'Уровень 1-Кратк. сод.'!H20</f>
        <v>Присутствует?</v>
      </c>
      <c r="I24" s="843"/>
      <c r="J24" s="843"/>
      <c r="K24" s="843"/>
    </row>
    <row r="25" spans="1:18" s="839" customFormat="1" ht="13">
      <c r="A25" s="741" t="s">
        <v>1130</v>
      </c>
      <c r="B25" s="854">
        <f>ROUND(SUM(B8:B24),-1)</f>
        <v>0</v>
      </c>
      <c r="C25" s="854">
        <f>ROUND(SUM(C8:C24),-1)</f>
        <v>0</v>
      </c>
      <c r="D25" s="854">
        <f>ROUND(SUM(D8:D24)-IF(OR(D23="-",D23=que,D23=pres),0,D23),-1)</f>
        <v>0</v>
      </c>
      <c r="E25" s="854">
        <f>ROUND(SUM(E8:E24)-IF(OR(E22="-", E22=que, E22=pres),0,E22),-1)</f>
        <v>0</v>
      </c>
      <c r="F25" s="854">
        <f>ROUND(SUM(F8:F24),-1)</f>
        <v>0</v>
      </c>
      <c r="G25" s="854">
        <f>ROUND(SUM(G8:G24),-1)</f>
        <v>0</v>
      </c>
      <c r="H25" s="854">
        <f>ROUND(SUM(H8:H24),-1)</f>
        <v>0</v>
      </c>
      <c r="I25" s="846"/>
      <c r="J25" s="843"/>
      <c r="K25" s="843"/>
      <c r="L25" s="458"/>
      <c r="M25" s="458"/>
      <c r="N25" s="458"/>
      <c r="O25" s="458"/>
      <c r="P25" s="458"/>
      <c r="Q25" s="458"/>
      <c r="R25" s="458"/>
    </row>
    <row r="26" spans="1:18" s="839" customFormat="1" ht="13">
      <c r="A26" s="855"/>
      <c r="B26" s="856"/>
      <c r="C26" s="856"/>
      <c r="D26" s="856"/>
      <c r="E26" s="856"/>
      <c r="F26" s="856"/>
      <c r="G26" s="856"/>
      <c r="H26" s="856"/>
      <c r="I26" s="846"/>
      <c r="J26" s="846"/>
      <c r="K26" s="846"/>
    </row>
    <row r="27" spans="1:18" ht="13">
      <c r="A27" s="844" t="s">
        <v>1132</v>
      </c>
      <c r="B27" s="857"/>
      <c r="C27" s="843"/>
      <c r="D27" s="843"/>
      <c r="E27" s="843"/>
      <c r="F27" s="843"/>
      <c r="G27" s="843"/>
      <c r="H27" s="843"/>
      <c r="I27" s="843"/>
      <c r="J27" s="843"/>
      <c r="K27" s="843"/>
    </row>
    <row r="28" spans="1:18">
      <c r="A28" s="858" t="s">
        <v>1133</v>
      </c>
      <c r="B28" s="843"/>
      <c r="C28" s="843"/>
      <c r="D28" s="843"/>
      <c r="E28" s="843"/>
      <c r="F28" s="843"/>
      <c r="G28" s="843"/>
      <c r="H28" s="843"/>
      <c r="I28" s="843"/>
      <c r="J28" s="843"/>
      <c r="K28" s="843"/>
    </row>
    <row r="29" spans="1:18">
      <c r="A29" s="858" t="s">
        <v>1134</v>
      </c>
      <c r="B29" s="843"/>
      <c r="C29" s="843"/>
      <c r="D29" s="843"/>
      <c r="E29" s="843"/>
      <c r="F29" s="843"/>
      <c r="G29" s="843"/>
      <c r="H29" s="843"/>
      <c r="I29" s="843"/>
      <c r="J29" s="843"/>
      <c r="K29" s="843"/>
    </row>
    <row r="30" spans="1:18">
      <c r="A30" s="858" t="s">
        <v>1135</v>
      </c>
      <c r="B30" s="843"/>
      <c r="C30" s="843"/>
      <c r="D30" s="843"/>
      <c r="E30" s="843"/>
      <c r="F30" s="843"/>
      <c r="G30" s="843"/>
      <c r="H30" s="843"/>
      <c r="I30" s="843"/>
      <c r="J30" s="843"/>
      <c r="K30" s="843"/>
    </row>
    <row r="31" spans="1:18">
      <c r="A31" s="858" t="s">
        <v>1136</v>
      </c>
      <c r="B31" s="843"/>
      <c r="C31" s="843"/>
      <c r="D31" s="843"/>
      <c r="E31" s="843"/>
      <c r="F31" s="843"/>
      <c r="G31" s="843"/>
      <c r="H31" s="843"/>
      <c r="I31" s="843"/>
      <c r="J31" s="843"/>
      <c r="K31" s="843"/>
    </row>
    <row r="32" spans="1:18">
      <c r="A32" s="858" t="s">
        <v>1137</v>
      </c>
      <c r="B32" s="843"/>
      <c r="C32" s="843"/>
      <c r="D32" s="843"/>
      <c r="E32" s="843"/>
      <c r="F32" s="843"/>
      <c r="G32" s="843"/>
      <c r="H32" s="843"/>
      <c r="I32" s="843"/>
      <c r="J32" s="843"/>
      <c r="K32" s="843"/>
    </row>
    <row r="33" spans="1:11">
      <c r="A33" s="858" t="s">
        <v>1138</v>
      </c>
      <c r="B33" s="843"/>
      <c r="C33" s="843"/>
      <c r="D33" s="843"/>
      <c r="E33" s="843"/>
      <c r="F33" s="843"/>
      <c r="G33" s="843"/>
      <c r="H33" s="843"/>
      <c r="I33" s="843"/>
      <c r="J33" s="843"/>
      <c r="K33" s="843"/>
    </row>
    <row r="34" spans="1:11">
      <c r="A34" s="858" t="s">
        <v>1139</v>
      </c>
      <c r="B34" s="843"/>
      <c r="C34" s="843"/>
      <c r="D34" s="843"/>
      <c r="E34" s="843"/>
      <c r="F34" s="843"/>
      <c r="G34" s="843"/>
      <c r="H34" s="843"/>
      <c r="I34" s="843"/>
      <c r="J34" s="843"/>
      <c r="K34" s="843"/>
    </row>
    <row r="35" spans="1:11">
      <c r="A35" s="858" t="s">
        <v>1140</v>
      </c>
      <c r="B35" s="843"/>
      <c r="C35" s="843"/>
      <c r="D35" s="843"/>
      <c r="E35" s="843"/>
      <c r="F35" s="843"/>
      <c r="G35" s="843"/>
      <c r="H35" s="843"/>
      <c r="I35" s="843"/>
      <c r="J35" s="843"/>
      <c r="K35" s="843"/>
    </row>
    <row r="36" spans="1:11">
      <c r="A36" s="858" t="s">
        <v>1141</v>
      </c>
      <c r="B36" s="843"/>
      <c r="C36" s="843"/>
      <c r="D36" s="843"/>
      <c r="E36" s="843"/>
      <c r="F36" s="843"/>
      <c r="G36" s="843"/>
      <c r="H36" s="843"/>
      <c r="I36" s="843"/>
      <c r="J36" s="843"/>
      <c r="K36" s="843"/>
    </row>
    <row r="37" spans="1:11">
      <c r="A37" s="858" t="s">
        <v>1142</v>
      </c>
      <c r="B37" s="843"/>
      <c r="C37" s="843"/>
      <c r="D37" s="843"/>
      <c r="E37" s="843"/>
      <c r="F37" s="843"/>
      <c r="G37" s="843"/>
      <c r="H37" s="843"/>
      <c r="I37" s="843"/>
    </row>
    <row r="38" spans="1:11">
      <c r="A38" s="858" t="s">
        <v>1143</v>
      </c>
      <c r="B38" s="843"/>
      <c r="C38" s="843"/>
      <c r="D38" s="843"/>
      <c r="E38" s="843"/>
      <c r="F38" s="857"/>
      <c r="G38" s="843"/>
      <c r="H38" s="843"/>
      <c r="I38" s="843"/>
    </row>
    <row r="39" spans="1:11">
      <c r="A39" s="858" t="s">
        <v>1144</v>
      </c>
      <c r="B39" s="843"/>
      <c r="C39" s="843"/>
      <c r="D39" s="843"/>
      <c r="E39" s="843"/>
      <c r="F39" s="843"/>
      <c r="G39" s="843"/>
      <c r="H39" s="843"/>
      <c r="I39" s="843"/>
    </row>
    <row r="40" spans="1:11">
      <c r="A40" s="858" t="s">
        <v>1145</v>
      </c>
      <c r="B40" s="843"/>
      <c r="C40" s="843"/>
      <c r="D40" s="843"/>
      <c r="E40" s="843"/>
      <c r="F40" s="843"/>
      <c r="G40" s="843"/>
      <c r="H40" s="843"/>
      <c r="I40" s="843"/>
    </row>
    <row r="41" spans="1:11" ht="13">
      <c r="A41" s="844" t="s">
        <v>1146</v>
      </c>
      <c r="B41" s="843"/>
      <c r="C41" s="843"/>
      <c r="D41" s="843"/>
      <c r="E41" s="843"/>
      <c r="F41" s="843"/>
      <c r="G41" s="843"/>
      <c r="H41" s="843"/>
      <c r="I41" s="843"/>
    </row>
    <row r="42" spans="1:11" ht="13">
      <c r="A42" s="844" t="s">
        <v>1147</v>
      </c>
      <c r="B42" s="843"/>
      <c r="C42" s="843"/>
      <c r="D42" s="843"/>
      <c r="E42" s="843"/>
      <c r="F42" s="843"/>
      <c r="G42" s="843"/>
      <c r="H42" s="843"/>
      <c r="I42" s="843"/>
    </row>
    <row r="43" spans="1:11" ht="13">
      <c r="A43" s="844" t="s">
        <v>1148</v>
      </c>
      <c r="B43" s="843"/>
      <c r="C43" s="843"/>
      <c r="D43" s="843"/>
      <c r="E43" s="843"/>
      <c r="F43" s="843"/>
      <c r="G43" s="843"/>
      <c r="H43" s="843"/>
      <c r="I43" s="843"/>
    </row>
    <row r="44" spans="1:11">
      <c r="A44" s="858" t="s">
        <v>720</v>
      </c>
      <c r="B44" s="843"/>
      <c r="C44" s="843"/>
      <c r="D44" s="843"/>
      <c r="E44" s="843"/>
      <c r="F44" s="843"/>
      <c r="G44" s="843"/>
      <c r="H44" s="843"/>
      <c r="I44" s="843"/>
    </row>
    <row r="45" spans="1:11">
      <c r="A45" s="459"/>
    </row>
  </sheetData>
  <sheetProtection algorithmName="SHA-512" hashValue="Qf2V7LI2PCzKMDGepfIRtNedfYdID5TPMjbSiEt65sD7OqFgpxwwpm+FxF5XILzhjVMb6Fik6voXSithARukKA==" saltValue="KvoI5/mIrTug38bu/2dwbg==" spinCount="100000" sheet="1" scenarios="1"/>
  <mergeCells count="3">
    <mergeCell ref="B6:B7"/>
    <mergeCell ref="C6:H6"/>
    <mergeCell ref="A3:H3"/>
  </mergeCells>
  <pageMargins left="0.39370078740157483" right="0.39370078740157483" top="0.74803149606299213" bottom="0.74803149606299213" header="0.31496062992125984" footer="0.31496062992125984"/>
  <pageSetup paperSize="9" orientation="landscape" r:id="rId1"/>
  <headerFooter>
    <oddFooter>&amp;L&amp;A
Printed &amp;D</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pageSetUpPr fitToPage="1"/>
  </sheetPr>
  <dimension ref="A1:B77"/>
  <sheetViews>
    <sheetView workbookViewId="0">
      <selection activeCell="B5" sqref="B5"/>
    </sheetView>
  </sheetViews>
  <sheetFormatPr defaultColWidth="9.1796875" defaultRowHeight="12.5"/>
  <cols>
    <col min="1" max="1" width="48.453125" style="337" customWidth="1"/>
    <col min="2" max="2" width="16.6328125" style="357" customWidth="1"/>
    <col min="3" max="16384" width="9.1796875" style="337"/>
  </cols>
  <sheetData>
    <row r="1" spans="1:2" ht="13">
      <c r="A1" s="749" t="s">
        <v>1149</v>
      </c>
      <c r="B1" s="750"/>
    </row>
    <row r="2" spans="1:2" s="358" customFormat="1" ht="25">
      <c r="A2" s="736" t="s">
        <v>868</v>
      </c>
      <c r="B2" s="752" t="s">
        <v>869</v>
      </c>
    </row>
    <row r="3" spans="1:2" ht="13">
      <c r="A3" s="804"/>
      <c r="B3" s="806" t="str">
        <f>quest</f>
        <v>Да/Нет/?</v>
      </c>
    </row>
    <row r="4" spans="1:2" ht="13">
      <c r="A4" s="807" t="str">
        <f>'Этап 2 - Потребление энергии'!A4</f>
        <v>Потребление энергии</v>
      </c>
      <c r="B4" s="808"/>
    </row>
    <row r="5" spans="1:2">
      <c r="A5" s="753" t="s">
        <v>897</v>
      </c>
      <c r="B5" s="267" t="str">
        <f>IF(OR('Этап 2 - Потребление энергии'!B5=yes,'Этап 2 - Потребление энергии'!B5=no,'Этап 2 - Потребление энергии'!B5=que),'Этап 2 - Потребление энергии'!B5,  pres)</f>
        <v>Присутствует?</v>
      </c>
    </row>
    <row r="6" spans="1:2" ht="25">
      <c r="A6" s="263" t="str">
        <f>'Этап 2 - Потребление энергии'!A8</f>
        <v>Сжигание угля в угольных промышленных котлоагрегатах</v>
      </c>
      <c r="B6" s="267" t="str">
        <f>IF(OR('Этап 2 - Потребление энергии'!B8=yes,'Этап 2 - Потребление энергии'!B8=no,'Этап 2 - Потребление энергии'!B8=que),'Этап 2 - Потребление энергии'!B8,  pres)</f>
        <v>Присутствует?</v>
      </c>
    </row>
    <row r="7" spans="1:2">
      <c r="A7" s="263" t="str">
        <f>'Этап 2 - Потребление энергии'!A11</f>
        <v>Прочие способы применения угля</v>
      </c>
      <c r="B7" s="267" t="str">
        <f>IF(OR('Этап 2 - Потребление энергии'!B11=yes,'Этап 2 - Потребление энергии'!B11=no,'Этап 2 - Потребление энергии'!B11=que),'Этап 2 - Потребление энергии'!B11,  pres)</f>
        <v>Присутствует?</v>
      </c>
    </row>
    <row r="8" spans="1:2" ht="25">
      <c r="A8" s="263" t="str">
        <f>'Этап 2 - Потребление энергии'!A12</f>
        <v>Сжигание/использование нефтяного кокса и тяжелого топлива</v>
      </c>
      <c r="B8" s="267" t="str">
        <f>IF(OR('Этап 2 - Потребление энергии'!B12=yes,'Этап 2 - Потребление энергии'!B12=no,'Этап 2 - Потребление энергии'!B12=que),'Этап 2 - Потребление энергии'!B12,  pres)</f>
        <v>Присутствует?</v>
      </c>
    </row>
    <row r="9" spans="1:2" ht="25">
      <c r="A9" s="263" t="str">
        <f>'Этап 2 - Потребление энергии'!A15</f>
        <v>Сжигание/использование дизельного топлива, бензина, нефти, керосина</v>
      </c>
      <c r="B9" s="267" t="str">
        <f>IF(OR('Этап 2 - Потребление энергии'!B15=yes,'Этап 2 - Потребление энергии'!B15=no,'Этап 2 - Потребление энергии'!B15=que),'Этап 2 - Потребление энергии'!B15,  pres)</f>
        <v>Присутствует?</v>
      </c>
    </row>
    <row r="10" spans="1:2" ht="25">
      <c r="A10" s="263" t="str">
        <f>'Этап 2 - Потребление энергии'!A18</f>
        <v xml:space="preserve">Использование неочищенного или предварительно очищенного природного газа </v>
      </c>
      <c r="B10" s="267" t="str">
        <f>IF(OR('Этап 2 - Потребление энергии'!B18=yes,'Этап 2 - Потребление энергии'!B18=no,'Этап 2 - Потребление энергии'!B18=que),'Этап 2 - Потребление энергии'!B18,  pres)</f>
        <v>Присутствует?</v>
      </c>
    </row>
    <row r="11" spans="1:2" ht="25">
      <c r="A11" s="263" t="str">
        <f>'Этап 2 - Потребление энергии'!A19</f>
        <v>Использование газа, подаваемого по трубопроводу (качество потребителя)</v>
      </c>
      <c r="B11" s="267" t="str">
        <f>IF(OR('Этап 2 - Потребление энергии'!B19=yes,'Этап 2 - Потребление энергии'!B19=no,'Этап 2 - Потребление энергии'!B19=que),'Этап 2 - Потребление энергии'!B19,  pres)</f>
        <v>Присутствует?</v>
      </c>
    </row>
    <row r="12" spans="1:2" ht="25">
      <c r="A12" s="263" t="str">
        <f>'Этап 2 - Потребление энергии'!A20</f>
        <v>Электростанции, работающие на биомассе и производство тепла</v>
      </c>
      <c r="B12" s="267" t="str">
        <f>IF(OR('Этап 2 - Потребление энергии'!B20=yes,'Этап 2 - Потребление энергии'!B20=no,'Этап 2 - Потребление энергии'!B20=que),'Этап 2 - Потребление энергии'!B20,  pres)</f>
        <v>Присутствует?</v>
      </c>
    </row>
    <row r="13" spans="1:2">
      <c r="A13" s="263" t="str">
        <f>'Этап 2 - Потребление энергии'!A21</f>
        <v>Сжигание древесного угля</v>
      </c>
      <c r="B13" s="267" t="str">
        <f>IF(OR('Этап 2 - Потребление энергии'!B21=yes,'Этап 2 - Потребление энергии'!B21=no,'Этап 2 - Потребление энергии'!B21=que),'Этап 2 - Потребление энергии'!B21,  pres)</f>
        <v>Присутствует?</v>
      </c>
    </row>
    <row r="14" spans="1:2" ht="13">
      <c r="A14" s="390" t="str">
        <f>'Этап 2 - Потребление энергии'!A23</f>
        <v>Производство топлива</v>
      </c>
      <c r="B14" s="302"/>
    </row>
    <row r="15" spans="1:2">
      <c r="A15" s="263" t="str">
        <f>'Этап 2 - Потребление энергии'!A24</f>
        <v>Добыча нефти</v>
      </c>
      <c r="B15" s="267" t="str">
        <f>IF(OR('Этап 2 - Потребление энергии'!B24=yes,'Этап 2 - Потребление энергии'!B24=no,'Этап 2 - Потребление энергии'!B24=que),'Этап 2 - Потребление энергии'!B24,  pres)</f>
        <v>Присутствует?</v>
      </c>
    </row>
    <row r="16" spans="1:2">
      <c r="A16" s="263" t="str">
        <f>'Этап 2 - Потребление энергии'!A25</f>
        <v>Нефтепереработка</v>
      </c>
      <c r="B16" s="267" t="str">
        <f>IF(OR('Этап 2 - Потребление энергии'!B25=yes,'Этап 2 - Потребление энергии'!B25=no,'Этап 2 - Потребление энергии'!B25=que),'Этап 2 - Потребление энергии'!B25,  pres)</f>
        <v>Присутствует?</v>
      </c>
    </row>
    <row r="17" spans="1:2">
      <c r="A17" s="263" t="str">
        <f>'Этап 2 - Потребление энергии'!A26</f>
        <v>Добыча и обработка природного газа.</v>
      </c>
      <c r="B17" s="267" t="str">
        <f>IF(OR('Этап 2 - Потребление энергии'!B26=yes,'Этап 2 - Потребление энергии'!B26=no,'Этап 2 - Потребление энергии'!B26=que),'Этап 2 - Потребление энергии'!B26,  pres)</f>
        <v>Присутствует?</v>
      </c>
    </row>
    <row r="18" spans="1:2" ht="13">
      <c r="A18" s="390" t="str">
        <f>'Этап 3 - Металлы - Сырье'!A5</f>
        <v>Производство первичного металла</v>
      </c>
      <c r="B18" s="302"/>
    </row>
    <row r="19" spans="1:2">
      <c r="A19" s="263" t="str">
        <f>'Этап 3 - Металлы - Сырье'!A6</f>
        <v>(Первичная) экстракция ртути и начальная обработка</v>
      </c>
      <c r="B19" s="267" t="str">
        <f>IF(OR('Этап 3 - Металлы - Сырье'!B6=yes,'Этап 3 - Металлы - Сырье'!B6=no,'Этап 3 - Металлы - Сырье'!B6=que),'Этап 3 - Металлы - Сырье'!B6,  pres)</f>
        <v>Присутствует?</v>
      </c>
    </row>
    <row r="20" spans="1:2">
      <c r="A20" s="263" t="str">
        <f>'Этап 3 - Металлы - Сырье'!A7</f>
        <v>Производство цинка из продуктов обогащения</v>
      </c>
      <c r="B20" s="267" t="str">
        <f>IF(OR('Этап 3 - Металлы - Сырье'!B7=yes,'Этап 3 - Металлы - Сырье'!B7=no,'Этап 3 - Металлы - Сырье'!B7=que),'Этап 3 - Металлы - Сырье'!B7,  pres)</f>
        <v>Присутствует?</v>
      </c>
    </row>
    <row r="21" spans="1:2">
      <c r="A21" s="263" t="str">
        <f>'Этап 3 - Металлы - Сырье'!A10</f>
        <v>Производство меди из продуктов обогащения</v>
      </c>
      <c r="B21" s="267" t="str">
        <f>IF(OR('Этап 3 - Металлы - Сырье'!B10=yes,'Этап 3 - Металлы - Сырье'!B10=no,'Этап 3 - Металлы - Сырье'!B10=que),'Этап 3 - Металлы - Сырье'!B10,  pres)</f>
        <v>Присутствует?</v>
      </c>
    </row>
    <row r="22" spans="1:2">
      <c r="A22" s="263" t="str">
        <f>'Этап 3 - Металлы - Сырье'!A13</f>
        <v>Производство свинца из продуктов обогащения</v>
      </c>
      <c r="B22" s="267" t="str">
        <f>IF(OR('Этап 3 - Металлы - Сырье'!B13=yes,'Этап 3 - Металлы - Сырье'!B13=no,'Этап 3 - Металлы - Сырье'!B13=que),'Этап 3 - Металлы - Сырье'!B13,  pres)</f>
        <v>Присутствует?</v>
      </c>
    </row>
    <row r="23" spans="1:2" ht="25">
      <c r="A23" s="263" t="str">
        <f>'Этап 3 - Металлы - Сырье'!A16</f>
        <v>Добыча золота способами, кроме процесса амальгамирования ртути</v>
      </c>
      <c r="B23" s="267" t="str">
        <f>IF(OR('Этап 3 - Металлы - Сырье'!B16=yes,'Этап 3 - Металлы - Сырье'!B16=no,'Этап 3 - Металлы - Сырье'!B16=que),'Этап 3 - Металлы - Сырье'!B16,  pres)</f>
        <v>Присутствует?</v>
      </c>
    </row>
    <row r="24" spans="1:2" ht="25">
      <c r="A24" s="263" t="str">
        <f>'Этап 3 - Металлы - Сырье'!A17</f>
        <v>Производство глинозема из бокситов (производство алюминия)</v>
      </c>
      <c r="B24" s="267" t="str">
        <f>IF(OR('Этап 3 - Металлы - Сырье'!B17=yes,'Этап 3 - Металлы - Сырье'!B17=no,'Этап 3 - Металлы - Сырье'!B17=que),'Этап 3 - Металлы - Сырье'!B17,  pres)</f>
        <v>Присутствует?</v>
      </c>
    </row>
    <row r="25" spans="1:2" ht="25">
      <c r="A25" s="263" t="str">
        <f>'Этап 3 - Металлы - Сырье'!A18</f>
        <v>Производство первичного черного металла (производство чугуна в болванках)</v>
      </c>
      <c r="B25" s="267" t="str">
        <f>IF(OR('Этап 3 - Металлы - Сырье'!B18=yes,'Этап 3 - Металлы - Сырье'!B18=no,'Этап 3 - Металлы - Сырье'!B18=que),'Этап 3 - Металлы - Сырье'!B18,  pres)</f>
        <v>Присутствует?</v>
      </c>
    </row>
    <row r="26" spans="1:2" ht="25">
      <c r="A26" s="263" t="str">
        <f>'Этап 3 - Металлы - Сырье'!A19</f>
        <v>Добыча золота с помощью процесса амальгамирования ртути - Из недробленой руды</v>
      </c>
      <c r="B26" s="267" t="str">
        <f>IF(OR('Этап 3 - Металлы - Сырье'!B19=yes,'Этап 3 - Металлы - Сырье'!B19=no,'Этап 3 - Металлы - Сырье'!B19=que),'Этап 3 - Металлы - Сырье'!B19,  pres)</f>
        <v>Присутствует?</v>
      </c>
    </row>
    <row r="27" spans="1:2" ht="25">
      <c r="A27" s="263" t="str">
        <f>'Этап 3 - Металлы - Сырье'!A22</f>
        <v>Добыча золота с помощью процесса амальгамирования ртути - Из обогащенной руды</v>
      </c>
      <c r="B27" s="267" t="str">
        <f>IF(OR('Этап 3 - Металлы - Сырье'!B22=yes,'Этап 3 - Металлы - Сырье'!B22=no,'Этап 3 - Металлы - Сырье'!B22=que),'Этап 3 - Металлы - Сырье'!B22,  pres)</f>
        <v>Присутствует?</v>
      </c>
    </row>
    <row r="28" spans="1:2" ht="13">
      <c r="A28" s="390" t="str">
        <f>'Этап 3 - Металлы - Сырье'!A25</f>
        <v>Производство других материалов</v>
      </c>
      <c r="B28" s="302"/>
    </row>
    <row r="29" spans="1:2">
      <c r="A29" s="263" t="str">
        <f>'Этап 3 - Металлы - Сырье'!A26</f>
        <v>Производство цемента</v>
      </c>
      <c r="B29" s="267" t="str">
        <f>IF(OR('Этап 3 - Металлы - Сырье'!B26=yes,'Этап 3 - Металлы - Сырье'!B26=no,'Этап 3 - Металлы - Сырье'!B26=que),'Этап 3 - Металлы - Сырье'!B26,  pres)</f>
        <v>Присутствует?</v>
      </c>
    </row>
    <row r="30" spans="1:2">
      <c r="A30" s="263" t="str">
        <f>'Этап 3 - Металлы - Сырье'!A31</f>
        <v>Производство целлюлозы и бумаги</v>
      </c>
      <c r="B30" s="267" t="str">
        <f>IF(OR('Этап 3 - Металлы - Сырье'!B31=yes,'Этап 3 - Металлы - Сырье'!B31=no,'Этап 3 - Металлы - Сырье'!B31=que),'Этап 3 - Металлы - Сырье'!B31,  pres)</f>
        <v>Присутствует?</v>
      </c>
    </row>
    <row r="31" spans="1:2" ht="13">
      <c r="A31" s="390" t="str">
        <f>'Этап 4-Пром. прим. Hg'!A4</f>
        <v>Производство химических веществ</v>
      </c>
      <c r="B31" s="302"/>
    </row>
    <row r="32" spans="1:2" ht="25">
      <c r="A32" s="263" t="str">
        <f>'Этап 4-Пром. прим. Hg'!A5</f>
        <v>Производство хлорщелочи с использованием ртутных электролизеров</v>
      </c>
      <c r="B32" s="267" t="str">
        <f>IF(OR('Этап 4-Пром. прим. Hg'!B5=yes,'Этап 4-Пром. прим. Hg'!B5=no,'Этап 4-Пром. прим. Hg'!B5=que),'Этап 4-Пром. прим. Hg'!B5,  pres)</f>
        <v>Присутствует?</v>
      </c>
    </row>
    <row r="33" spans="1:2" ht="25">
      <c r="A33" s="263" t="str">
        <f>'Этап 4-Пром. прим. Hg'!A6</f>
        <v>Производство винилхлорида с помощью ртутного катализатора</v>
      </c>
      <c r="B33" s="267" t="str">
        <f>IF(OR('Этап 4-Пром. прим. Hg'!B6=yes,'Этап 4-Пром. прим. Hg'!B6=no,'Этап 4-Пром. прим. Hg'!B6=que),'Этап 4-Пром. прим. Hg'!B6,  pres)</f>
        <v>Присутствует?</v>
      </c>
    </row>
    <row r="34" spans="1:2" ht="25">
      <c r="A34" s="263" t="str">
        <f>'Этап 4-Пром. прим. Hg'!A7</f>
        <v>Производство ацетальдегида с помощью ртутного катализатора</v>
      </c>
      <c r="B34" s="267" t="str">
        <f>IF(OR('Этап 4-Пром. прим. Hg'!B7=yes,'Этап 4-Пром. прим. Hg'!B7=no,'Этап 4-Пром. прим. Hg'!B7=que),'Этап 4-Пром. прим. Hg'!B7,  pres)</f>
        <v>Присутствует?</v>
      </c>
    </row>
    <row r="35" spans="1:2" ht="13">
      <c r="A35" s="390" t="str">
        <f>'Этап 4-Пром. прим. Hg'!A9</f>
        <v>Производство продукции с содержанием ртути</v>
      </c>
      <c r="B35" s="302"/>
    </row>
    <row r="36" spans="1:2" ht="25">
      <c r="A36" s="263" t="str">
        <f>'Этап 4-Пром. прим. Hg'!A10</f>
        <v xml:space="preserve">Ртутные термометры (медицинские, воздушные, лабораторные, промышленные и т. п.) </v>
      </c>
      <c r="B36" s="267" t="str">
        <f>IF(OR('Этап 4-Пром. прим. Hg'!B10=yes,'Этап 4-Пром. прим. Hg'!B10=no,'Этап 4-Пром. прим. Hg'!B10=que),'Этап 4-Пром. прим. Hg'!B10,  pres)</f>
        <v>Присутствует?</v>
      </c>
    </row>
    <row r="37" spans="1:2">
      <c r="A37" s="263" t="str">
        <f>'Этап 4-Пром. прим. Hg'!A11</f>
        <v xml:space="preserve">Электрические переключатели и реле с ртутью </v>
      </c>
      <c r="B37" s="267" t="str">
        <f>IF(OR('Этап 4-Пром. прим. Hg'!B11=yes,'Этап 4-Пром. прим. Hg'!B11=no,'Этап 4-Пром. прим. Hg'!B11=que),'Этап 4-Пром. прим. Hg'!B11,  pres)</f>
        <v>Присутствует?</v>
      </c>
    </row>
    <row r="38" spans="1:2" ht="25">
      <c r="A38" s="263" t="str">
        <f>'Этап 4-Пром. прим. Hg'!A12</f>
        <v>Источники света с ртутью (флуоресцентные, компактные, прочие: см. руководство)</v>
      </c>
      <c r="B38" s="267" t="str">
        <f>IF(OR('Этап 4-Пром. прим. Hg'!B12=yes,'Этап 4-Пром. прим. Hg'!B12=no,'Этап 4-Пром. прим. Hg'!B12=que),'Этап 4-Пром. прим. Hg'!B12,  pres)</f>
        <v>Присутствует?</v>
      </c>
    </row>
    <row r="39" spans="1:2">
      <c r="A39" s="263" t="str">
        <f>'Этап 4-Пром. прим. Hg'!A13</f>
        <v xml:space="preserve">Ртутные батареи </v>
      </c>
      <c r="B39" s="267" t="str">
        <f>IF(OR('Этап 4-Пром. прим. Hg'!B13=yes,'Этап 4-Пром. прим. Hg'!B13=no,'Этап 4-Пром. прим. Hg'!B13=que),'Этап 4-Пром. прим. Hg'!B13,  pres)</f>
        <v>Присутствует?</v>
      </c>
    </row>
    <row r="40" spans="1:2">
      <c r="A40" s="263" t="str">
        <f>'Этап 4-Пром. прим. Hg'!A14</f>
        <v xml:space="preserve">Ртутные манометры и датчики </v>
      </c>
      <c r="B40" s="267" t="str">
        <f>IF(OR('Этап 4-Пром. прим. Hg'!B14=yes,'Этап 4-Пром. прим. Hg'!B14=no,'Этап 4-Пром. прим. Hg'!B14=que),'Этап 4-Пром. прим. Hg'!B14,  pres)</f>
        <v>Присутствует?</v>
      </c>
    </row>
    <row r="41" spans="1:2">
      <c r="A41" s="263" t="str">
        <f>'Этап 4-Пром. прим. Hg'!A15</f>
        <v xml:space="preserve">Ртутьсодержащие биоциды и пестициды </v>
      </c>
      <c r="B41" s="267" t="str">
        <f>IF(OR('Этап 4-Пром. прим. Hg'!B15=yes,'Этап 4-Пром. прим. Hg'!B15=no,'Этап 4-Пром. прим. Hg'!B15=que),'Этап 4-Пром. прим. Hg'!B15,  pres)</f>
        <v>Присутствует?</v>
      </c>
    </row>
    <row r="42" spans="1:2">
      <c r="A42" s="263" t="str">
        <f>'Этап 4-Пром. прим. Hg'!A16</f>
        <v xml:space="preserve">Ртутьсодержащие краски </v>
      </c>
      <c r="B42" s="267" t="str">
        <f>IF(OR('Этап 4-Пром. прим. Hg'!B16=yes,'Этап 4-Пром. прим. Hg'!B16=no,'Этап 4-Пром. прим. Hg'!B16=que),'Этап 4-Пром. прим. Hg'!B16,  pres)</f>
        <v>Присутствует?</v>
      </c>
    </row>
    <row r="43" spans="1:2" ht="25">
      <c r="A43" s="263" t="str">
        <f>'Этап 4-Пром. прим. Hg'!A17</f>
        <v xml:space="preserve">Кремы для отбеливания кожи и мыло с содержанием элементов ртути </v>
      </c>
      <c r="B43" s="267" t="str">
        <f>IF(OR('Этап 4-Пром. прим. Hg'!B17=yes,'Этап 4-Пром. прим. Hg'!B17=no,'Этап 4-Пром. прим. Hg'!B17=que),'Этап 4-Пром. прим. Hg'!B17,  pres)</f>
        <v>Присутствует?</v>
      </c>
    </row>
    <row r="44" spans="1:2" ht="26">
      <c r="A44" s="390" t="str">
        <f>'Этап 6-Hg-продукция - вещ-ва'!A6</f>
        <v>Использование и утилизация ртутьсодержащей продукции</v>
      </c>
      <c r="B44" s="302"/>
    </row>
    <row r="45" spans="1:2">
      <c r="A45" s="263" t="str">
        <f>'Этап 6-Hg-продукция - вещ-ва'!A7</f>
        <v>Амальгама для зубных пломб («серебряные» пломбы)</v>
      </c>
      <c r="B45" s="267" t="str">
        <f>IF(OR('Этап 6-Hg-продукция - вещ-ва'!B7=yes,'Этап 6-Hg-продукция - вещ-ва'!B7=no,'Этап 6-Hg-продукция - вещ-ва'!B7=que),'Этап 6-Hg-продукция - вещ-ва'!B7,  pres)</f>
        <v>Присутствует?</v>
      </c>
    </row>
    <row r="46" spans="1:2">
      <c r="A46" s="263" t="str">
        <f>'Этап 6-Hg-продукция - вещ-ва'!A15</f>
        <v>Термометры</v>
      </c>
      <c r="B46" s="267" t="str">
        <f>IF(OR('Этап 6-Hg-продукция - вещ-ва'!B15=yes,'Этап 6-Hg-продукция - вещ-ва'!B15=no,'Этап 6-Hg-продукция - вещ-ва'!B15=que),'Этап 6-Hg-продукция - вещ-ва'!B15,  pres)</f>
        <v>Присутствует?</v>
      </c>
    </row>
    <row r="47" spans="1:2">
      <c r="A47" s="263" t="str">
        <f>'Этап 6-Hg-продукция - вещ-ва'!A20</f>
        <v>Электрические переключатели и реле с ртутью</v>
      </c>
      <c r="B47" s="267" t="str">
        <f>IF(OR('Этап 6-Hg-продукция - вещ-ва'!B20=yes,'Этап 6-Hg-продукция - вещ-ва'!B20=no,'Этап 6-Hg-продукция - вещ-ва'!B20=que),'Этап 6-Hg-продукция - вещ-ва'!B20,  pres)</f>
        <v>Присутствует?</v>
      </c>
    </row>
    <row r="48" spans="1:2">
      <c r="A48" s="263" t="str">
        <f>'Этап 6-Hg-продукция - вещ-ва'!A23</f>
        <v>Ртутьсодержащие источники света</v>
      </c>
      <c r="B48" s="267" t="str">
        <f>IF(OR('Этап 6-Hg-продукция - вещ-ва'!B23=yes,'Этап 6-Hg-продукция - вещ-ва'!B23=no,'Этап 6-Hg-продукция - вещ-ва'!B23=que),'Этап 6-Hg-продукция - вещ-ва'!B23,  pres)</f>
        <v>Да</v>
      </c>
    </row>
    <row r="49" spans="1:2">
      <c r="A49" s="365" t="str">
        <f>'Этап 6-Hg-продукция - вещ-ва'!A28</f>
        <v>Ртутные батареи</v>
      </c>
      <c r="B49" s="267" t="str">
        <f>IF(OR('Этап 6-Hg-продукция - вещ-ва'!B28=yes,'Этап 6-Hg-продукция - вещ-ва'!B28=no,'Этап 6-Hg-продукция - вещ-ва'!B28=que),'Этап 6-Hg-продукция - вещ-ва'!B28,  pres)</f>
        <v>Присутствует?</v>
      </c>
    </row>
    <row r="50" spans="1:2" ht="25">
      <c r="A50" s="263" t="str">
        <f>'Этап 6-Hg-продукция - вещ-ва'!A33</f>
        <v>Полиуретан (PU, PUR), полученный с помощью ртутного катализатора</v>
      </c>
      <c r="B50" s="267" t="str">
        <f>IF(OR('Этап 6-Hg-продукция - вещ-ва'!B33=yes,'Этап 6-Hg-продукция - вещ-ва'!B33=no,'Этап 6-Hg-продукция - вещ-ва'!B33=que),'Этап 6-Hg-продукция - вещ-ва'!B33,  pres)</f>
        <v>Нет</v>
      </c>
    </row>
    <row r="51" spans="1:2">
      <c r="A51" s="263" t="str">
        <f>'Этап 6-Hg-продукция - вещ-ва'!A36</f>
        <v>Краски с ртутьсодержащими стабилизаторами</v>
      </c>
      <c r="B51" s="267" t="str">
        <f>IF(OR('Этап 6-Hg-продукция - вещ-ва'!B36=yes,'Этап 6-Hg-продукция - вещ-ва'!B36=no,'Этап 6-Hg-продукция - вещ-ва'!B36=que),'Этап 6-Hg-продукция - вещ-ва'!B36,  pres)</f>
        <v>Присутствует?</v>
      </c>
    </row>
    <row r="52" spans="1:2" ht="25">
      <c r="A52" s="263" t="str">
        <f>'Этап 6-Hg-продукция - вещ-ва'!A38</f>
        <v>Кремы для отбеливания кожи и мыло с содержанием элементов ртути</v>
      </c>
      <c r="B52" s="267" t="str">
        <f>IF(OR('Этап 6-Hg-продукция - вещ-ва'!B38=yes,'Этап 6-Hg-продукция - вещ-ва'!B38=no,'Этап 6-Hg-продукция - вещ-ва'!B38=que),'Этап 6-Hg-продукция - вещ-ва'!B38,  pres)</f>
        <v>Присутствует?</v>
      </c>
    </row>
    <row r="53" spans="1:2">
      <c r="A53" s="263" t="str">
        <f>'Этап 6-Hg-продукция - вещ-ва'!A40</f>
        <v>Медицинские тонометры (ртутные сфигмоманометры)</v>
      </c>
      <c r="B53" s="267" t="str">
        <f>IF(OR('Этап 6-Hg-продукция - вещ-ва'!B40=yes,'Этап 6-Hg-продукция - вещ-ва'!B40=no,'Этап 6-Hg-продукция - вещ-ва'!B40=que),'Этап 6-Hg-продукция - вещ-ва'!B40,  pres)</f>
        <v>Присутствует?</v>
      </c>
    </row>
    <row r="54" spans="1:2">
      <c r="A54" s="263" t="str">
        <f>'Этап 6-Hg-продукция - вещ-ва'!A42</f>
        <v>Прочие ртутные манометры и датчики</v>
      </c>
      <c r="B54" s="267" t="str">
        <f>IF(OR('Этап 6-Hg-продукция - вещ-ва'!B42=yes,'Этап 6-Hg-продукция - вещ-ва'!B42=no,'Этап 6-Hg-продукция - вещ-ва'!B42=que),'Этап 6-Hg-продукция - вещ-ва'!B42,  pres)</f>
        <v>Присутствует?</v>
      </c>
    </row>
    <row r="55" spans="1:2">
      <c r="A55" s="263" t="str">
        <f>'Этап 6-Hg-продукция - вещ-ва'!A45</f>
        <v>Химические вещества для лабораторий</v>
      </c>
      <c r="B55" s="267" t="str">
        <f>IF(OR('Этап 6-Hg-продукция - вещ-ва'!B45=yes,'Этап 6-Hg-продукция - вещ-ва'!B45=no,'Этап 6-Hg-продукция - вещ-ва'!B45=que),'Этап 6-Hg-продукция - вещ-ва'!B45,  pres)</f>
        <v>Присутствует?</v>
      </c>
    </row>
    <row r="56" spans="1:2" ht="25">
      <c r="A56" s="263" t="str">
        <f>'Этап 6-Hg-продукция - вещ-ва'!A48</f>
        <v xml:space="preserve">Прочее ртутьсодержащее лабораторное и медицинское оборудование </v>
      </c>
      <c r="B56" s="267" t="str">
        <f>IF(OR('Этап 6-Hg-продукция - вещ-ва'!B48=yes,'Этап 6-Hg-продукция - вещ-ва'!B48=no,'Этап 6-Hg-продукция - вещ-ва'!B48=que),'Этап 6-Hg-продукция - вещ-ва'!B48,  pres)</f>
        <v>Присутствует?</v>
      </c>
    </row>
    <row r="57" spans="1:2" ht="13">
      <c r="A57" s="390" t="str">
        <f>'Этап5-Обраб. отходов+перераб.'!A8</f>
        <v>Производство восстановленных металлов</v>
      </c>
      <c r="B57" s="302"/>
    </row>
    <row r="58" spans="1:2" ht="25">
      <c r="A58" s="263" t="str">
        <f>'Этап5-Обраб. отходов+перераб.'!A9</f>
        <v>Производство повторно используемой ртути («вторичное производство»)</v>
      </c>
      <c r="B58" s="267" t="str">
        <f>IF(OR('Этап5-Обраб. отходов+перераб.'!B9=yes,'Этап5-Обраб. отходов+перераб.'!B9=no,'Этап5-Обраб. отходов+перераб.'!B9=que),'Этап5-Обраб. отходов+перераб.'!B9,  pres)</f>
        <v>Присутствует?</v>
      </c>
    </row>
    <row r="59" spans="1:2" ht="25">
      <c r="A59" s="263" t="str">
        <f>'Этап5-Обраб. отходов+перераб.'!A10</f>
        <v>Производство повторно используемых черных металлов (чугун и сталь)</v>
      </c>
      <c r="B59" s="267" t="str">
        <f>IF(OR('Этап5-Обраб. отходов+перераб.'!B10=yes,'Этап5-Обраб. отходов+перераб.'!B10=no,'Этап5-Обраб. отходов+перераб.'!B10=que),'Этап5-Обраб. отходов+перераб.'!B10,  pres)</f>
        <v>Присутствует?</v>
      </c>
    </row>
    <row r="60" spans="1:2" ht="13">
      <c r="A60" s="390" t="str">
        <f>'Этап5-Обраб. отходов+перераб.'!A12</f>
        <v>Сжигание отходов</v>
      </c>
      <c r="B60" s="302"/>
    </row>
    <row r="61" spans="1:2">
      <c r="A61" s="263" t="str">
        <f>'Этап5-Обраб. отходов+перераб.'!A13</f>
        <v>Сжигание городских/обычных отходов</v>
      </c>
      <c r="B61" s="267" t="str">
        <f>IF(OR('Этап5-Обраб. отходов+перераб.'!B13=yes,'Этап5-Обраб. отходов+перераб.'!B13=no,'Этап5-Обраб. отходов+перераб.'!B13=que),'Этап5-Обраб. отходов+перераб.'!B13,  pres)</f>
        <v>Присутствует?</v>
      </c>
    </row>
    <row r="62" spans="1:2">
      <c r="A62" s="263" t="str">
        <f>'Этап5-Обраб. отходов+перераб.'!A16</f>
        <v>Сжигание опасных отходов</v>
      </c>
      <c r="B62" s="267" t="str">
        <f>IF(OR('Этап5-Обраб. отходов+перераб.'!B16=yes,'Этап5-Обраб. отходов+перераб.'!B16=no,'Этап5-Обраб. отходов+перераб.'!B16=que),'Этап5-Обраб. отходов+перераб.'!B16,  pres)</f>
        <v>Присутствует?</v>
      </c>
    </row>
    <row r="63" spans="1:2">
      <c r="A63" s="263" t="str">
        <f>'Этап5-Обраб. отходов+перераб.'!A19</f>
        <v>Инсинерация и открытое сжигание медицинских отходов</v>
      </c>
      <c r="B63" s="267" t="str">
        <f>IF(OR('Этап5-Обраб. отходов+перераб.'!B19=yes,'Этап5-Обраб. отходов+перераб.'!B19=no,'Этап5-Обраб. отходов+перераб.'!B19=que),'Этап5-Обраб. отходов+перераб.'!B19,  pres)</f>
        <v>Присутствует?</v>
      </c>
    </row>
    <row r="64" spans="1:2">
      <c r="A64" s="263" t="str">
        <f>'Этап5-Обраб. отходов+перераб.'!A22</f>
        <v>Сжигание осадка сточных вод</v>
      </c>
      <c r="B64" s="267" t="str">
        <f>IF(OR('Этап5-Обраб. отходов+перераб.'!B22=yes,'Этап5-Обраб. отходов+перераб.'!B22=no,'Этап5-Обраб. отходов+перераб.'!B22=que),'Этап5-Обраб. отходов+перераб.'!B22,  pres)</f>
        <v>Присутствует?</v>
      </c>
    </row>
    <row r="65" spans="1:2" ht="25">
      <c r="A65" s="263" t="str">
        <f>'Этап5-Обраб. отходов+перераб.'!A23</f>
        <v>Сжигание отходов на открытом огне (на полигонах и произвольно)</v>
      </c>
      <c r="B65" s="267" t="str">
        <f>IF(OR('Этап5-Обраб. отходов+перераб.'!B23=yes,'Этап5-Обраб. отходов+перераб.'!B23=no,'Этап5-Обраб. отходов+перераб.'!B23=que),'Этап5-Обраб. отходов+перераб.'!B23,  pres)</f>
        <v>Присутствует?</v>
      </c>
    </row>
    <row r="66" spans="1:2" ht="26">
      <c r="A66" s="390" t="str">
        <f>'Этап5-Обраб. отходов+перераб.'!A25</f>
        <v>Размещение отходов/ссыпание отходов в отвал и обработка сточных вод</v>
      </c>
      <c r="B66" s="302"/>
    </row>
    <row r="67" spans="1:2">
      <c r="A67" s="263" t="str">
        <f>'Этап5-Обраб. отходов+перераб.'!A26</f>
        <v>Контролируемые свалки отходов/отложений</v>
      </c>
      <c r="B67" s="267" t="str">
        <f>IF(OR('Этап5-Обраб. отходов+перераб.'!B26=yes,'Этап5-Обраб. отходов+перераб.'!B26=no,'Этап5-Обраб. отходов+перераб.'!B26=que),'Этап5-Обраб. отходов+перераб.'!B26,  pres)</f>
        <v>Присутствует?</v>
      </c>
    </row>
    <row r="68" spans="1:2">
      <c r="A68" s="263" t="str">
        <f>'Этап5-Обраб. отходов+перераб.'!A27</f>
        <v>Несанкционированный сброс обычных отходов *1</v>
      </c>
      <c r="B68" s="267" t="str">
        <f>IF(OR('Этап5-Обраб. отходов+перераб.'!B27=yes,'Этап5-Обраб. отходов+перераб.'!B27=no,'Этап5-Обраб. отходов+перераб.'!B27=que),'Этап5-Обраб. отходов+перераб.'!B27,  pres)</f>
        <v>Присутствует?</v>
      </c>
    </row>
    <row r="69" spans="1:2">
      <c r="A69" s="263" t="str">
        <f>'Этап5-Обраб. отходов+перераб.'!A29</f>
        <v>Система сбора и отведения/обработка сточных вод</v>
      </c>
      <c r="B69" s="267" t="str">
        <f>IF(OR('Этап5-Обраб. отходов+перераб.'!B29=yes,'Этап5-Обраб. отходов+перераб.'!B29=no,'Этап5-Обраб. отходов+перераб.'!B29=que),'Этап5-Обраб. отходов+перераб.'!B29,  pres)</f>
        <v>Присутствует?</v>
      </c>
    </row>
    <row r="70" spans="1:2" ht="13">
      <c r="A70" s="390" t="str">
        <f>'Этап 7 - Крематории-кладбища'!A4</f>
        <v>Крематории и кладбища</v>
      </c>
      <c r="B70" s="302"/>
    </row>
    <row r="71" spans="1:2">
      <c r="A71" s="263" t="str">
        <f>'Этап 7 - Крематории-кладбища'!A5</f>
        <v>Крематории</v>
      </c>
      <c r="B71" s="267" t="str">
        <f>IF(OR('Этап 7 - Крематории-кладбища'!B5=yes,'Этап 7 - Крематории-кладбища'!B5=no,'Этап 7 - Крематории-кладбища'!B5=que),'Этап 7 - Крематории-кладбища'!B5,  pres)</f>
        <v>Присутствует?</v>
      </c>
    </row>
    <row r="72" spans="1:2">
      <c r="A72" s="263" t="str">
        <f>'Этап 7 - Крематории-кладбища'!A6</f>
        <v>Кладбища</v>
      </c>
      <c r="B72" s="267" t="str">
        <f>IF(OR('Этап 7 - Крематории-кладбища'!B6=yes,'Этап 7 - Крематории-кладбища'!B6=no,'Этап 7 - Крематории-кладбища'!B6=que),'Этап 7 - Крематории-кладбища'!B6,  pres)</f>
        <v>Присутствует?</v>
      </c>
    </row>
    <row r="73" spans="1:2">
      <c r="A73" s="355"/>
      <c r="B73" s="356"/>
    </row>
    <row r="77" spans="1:2">
      <c r="A77" s="371"/>
    </row>
  </sheetData>
  <sheetProtection algorithmName="SHA-512" hashValue="JmpV47YX7Z0Xk+Siw2Uz3Z+WvIpBCRBn/uOCR7CcvGCsumjvWFnxOnp/tQdX6fHlKIx54/DZQNa63M9tRb0D9Q==" saltValue="TVIwqbNRQugaSHLfOJDb5g==" spinCount="100000" sheet="1" objects="1" scenarios="1"/>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E82"/>
  <sheetViews>
    <sheetView workbookViewId="0">
      <selection activeCell="K10" sqref="K10"/>
    </sheetView>
  </sheetViews>
  <sheetFormatPr defaultColWidth="9.1796875" defaultRowHeight="12.5"/>
  <cols>
    <col min="1" max="1" width="46.81640625" style="337" customWidth="1"/>
    <col min="2" max="2" width="12.81640625" style="357" customWidth="1"/>
    <col min="3" max="3" width="13.453125" style="337" customWidth="1"/>
    <col min="4" max="4" width="33.453125" style="337" customWidth="1"/>
    <col min="5" max="5" width="12.453125" style="337" customWidth="1"/>
    <col min="6" max="16384" width="9.1796875" style="337"/>
  </cols>
  <sheetData>
    <row r="1" spans="1:5" ht="13">
      <c r="A1" s="749" t="s">
        <v>1177</v>
      </c>
      <c r="B1" s="750"/>
      <c r="C1" s="203"/>
      <c r="D1" s="755"/>
      <c r="E1" s="203"/>
    </row>
    <row r="2" spans="1:5" s="358" customFormat="1" ht="37.5">
      <c r="A2" s="736" t="s">
        <v>868</v>
      </c>
      <c r="B2" s="752" t="s">
        <v>869</v>
      </c>
      <c r="C2" s="753"/>
      <c r="D2" s="753"/>
      <c r="E2" s="752" t="s">
        <v>871</v>
      </c>
    </row>
    <row r="3" spans="1:5" ht="38">
      <c r="A3" s="804"/>
      <c r="B3" s="806" t="str">
        <f>quest</f>
        <v>Да/Нет/?</v>
      </c>
      <c r="C3" s="752" t="s">
        <v>870</v>
      </c>
      <c r="D3" s="752" t="s">
        <v>875</v>
      </c>
      <c r="E3" s="752" t="s">
        <v>876</v>
      </c>
    </row>
    <row r="4" spans="1:5" ht="13">
      <c r="A4" s="390" t="str">
        <f>'Range-thresholds'!A5</f>
        <v>Потребление энергии</v>
      </c>
      <c r="B4" s="370"/>
      <c r="C4" s="421"/>
      <c r="D4" s="302"/>
      <c r="E4" s="421"/>
    </row>
    <row r="5" spans="1:5" ht="25">
      <c r="A5" s="263" t="str">
        <f>'Range-thresholds'!A6</f>
        <v>Сжигание угля на крупных электростанциях</v>
      </c>
      <c r="B5" s="267" t="str">
        <f>IF(OR('Этап 2 - Потребление энергии'!B5=yes,'Этап 2 - Потребление энергии'!B5=no,'Этап 2 - Потребление энергии'!B5=que),'Этап 2 - Потребление энергии'!B5,  pres)</f>
        <v>Присутствует?</v>
      </c>
      <c r="C5" s="424">
        <f>'Уровень 1 - Суммарный итог'!C5</f>
        <v>0</v>
      </c>
      <c r="D5" s="263" t="str">
        <f>'Этап 2 - Потребление энергии'!D5</f>
        <v>Сожженный уголь, т/год </v>
      </c>
      <c r="E5" s="424" t="str">
        <f>'Уровень 1 - Суммарный итог'!E5</f>
        <v>Присутствует?</v>
      </c>
    </row>
    <row r="6" spans="1:5" ht="25">
      <c r="A6" s="263" t="str">
        <f>'Range-thresholds'!A7</f>
        <v>Сжигание угля в угольных промышленных котлоагрегатах</v>
      </c>
      <c r="B6" s="267" t="str">
        <f>IF(OR('Этап 2 - Потребление энергии'!B8=yes,'Этап 2 - Потребление энергии'!B8=no,'Этап 2 - Потребление энергии'!B8=que),'Этап 2 - Потребление энергии'!B8,  pres)</f>
        <v>Присутствует?</v>
      </c>
      <c r="C6" s="424">
        <f>'Уровень 1 - Суммарный итог'!C6</f>
        <v>0</v>
      </c>
      <c r="D6" s="263" t="str">
        <f>'Этап 2 - Потребление энергии'!D8</f>
        <v>Сожженный уголь, т/год </v>
      </c>
      <c r="E6" s="424" t="str">
        <f>'Уровень 1 - Суммарный итог'!E6</f>
        <v>Присутствует?</v>
      </c>
    </row>
    <row r="7" spans="1:5" ht="25">
      <c r="A7" s="263" t="str">
        <f>'Range-thresholds'!A8</f>
        <v>Прочие способы применения угля</v>
      </c>
      <c r="B7" s="267" t="str">
        <f>IF(OR('Этап 2 - Потребление энергии'!B11=yes,'Этап 2 - Потребление энергии'!B11=no,'Этап 2 - Потребление энергии'!B11=que),'Этап 2 - Потребление энергии'!B11,  pres)</f>
        <v>Присутствует?</v>
      </c>
      <c r="C7" s="424">
        <f>'Уровень 1 - Суммарный итог'!C7</f>
        <v>0</v>
      </c>
      <c r="D7" s="263" t="str">
        <f>'Этап 2 - Потребление энергии'!D11</f>
        <v>Использованный уголь, т/год</v>
      </c>
      <c r="E7" s="424" t="str">
        <f>'Уровень 1 - Суммарный итог'!E7</f>
        <v>Присутствует?</v>
      </c>
    </row>
    <row r="8" spans="1:5" ht="25">
      <c r="A8" s="263" t="str">
        <f>'Range-thresholds'!A9</f>
        <v>Сжигание/использование нефтяного кокса и тяжелого топлива</v>
      </c>
      <c r="B8" s="267" t="str">
        <f>IF(OR('Этап 2 - Потребление энергии'!B12=yes,'Этап 2 - Потребление энергии'!B12=no,'Этап 2 - Потребление энергии'!B12=que),'Этап 2 - Потребление энергии'!B12,  pres)</f>
        <v>Присутствует?</v>
      </c>
      <c r="C8" s="424">
        <f>'Уровень 1 - Суммарный итог'!C8</f>
        <v>0</v>
      </c>
      <c r="D8" s="263" t="str">
        <f>'Этап 2 - Потребление энергии'!D12</f>
        <v>Сожженные нефтепродукты, т/год</v>
      </c>
      <c r="E8" s="424" t="str">
        <f>'Уровень 1 - Суммарный итог'!E8</f>
        <v>Присутствует?</v>
      </c>
    </row>
    <row r="9" spans="1:5" ht="25">
      <c r="A9" s="263" t="str">
        <f>'Range-thresholds'!A10</f>
        <v>Сжигание/использование дизельного топлива, бензина, нефти, керосина</v>
      </c>
      <c r="B9" s="267" t="str">
        <f>IF(OR('Этап 2 - Потребление энергии'!B15=yes,'Этап 2 - Потребление энергии'!B15=no,'Этап 2 - Потребление энергии'!B15=que),'Этап 2 - Потребление энергии'!B15,  pres)</f>
        <v>Присутствует?</v>
      </c>
      <c r="C9" s="424">
        <f>'Уровень 1 - Суммарный итог'!C9</f>
        <v>0</v>
      </c>
      <c r="D9" s="263" t="str">
        <f>'Этап 2 - Потребление энергии'!D15</f>
        <v>Сожженные нефтепродукты, т/год</v>
      </c>
      <c r="E9" s="424" t="str">
        <f>'Уровень 1 - Суммарный итог'!E9</f>
        <v>Присутствует?</v>
      </c>
    </row>
    <row r="10" spans="1:5" ht="25">
      <c r="A10" s="263" t="str">
        <f>'Range-thresholds'!A11</f>
        <v xml:space="preserve">Использование неочищенного или предварительно очищенного природного газа </v>
      </c>
      <c r="B10" s="267" t="str">
        <f>IF(OR('Этап 2 - Потребление энергии'!B18=yes,'Этап 2 - Потребление энергии'!B18=no,'Этап 2 - Потребление энергии'!B18=que),'Этап 2 - Потребление энергии'!B18,  pres)</f>
        <v>Присутствует?</v>
      </c>
      <c r="C10" s="424">
        <f>'Уровень 1 - Суммарный итог'!C10</f>
        <v>0</v>
      </c>
      <c r="D10" s="263" t="str">
        <f>'Этап 2 - Потребление энергии'!D18</f>
        <v>Использованный газ, Нм³/год</v>
      </c>
      <c r="E10" s="424" t="str">
        <f>'Уровень 1 - Суммарный итог'!E10</f>
        <v>Присутствует?</v>
      </c>
    </row>
    <row r="11" spans="1:5" ht="25">
      <c r="A11" s="263" t="str">
        <f>'Range-thresholds'!A12</f>
        <v>Использование газа, подаваемого по трубопроводу (качество потребителя)</v>
      </c>
      <c r="B11" s="267" t="str">
        <f>IF(OR('Этап 2 - Потребление энергии'!B19=yes,'Этап 2 - Потребление энергии'!B19=no,'Этап 2 - Потребление энергии'!B19=que),'Этап 2 - Потребление энергии'!B19,  pres)</f>
        <v>Присутствует?</v>
      </c>
      <c r="C11" s="424">
        <f>'Уровень 1 - Суммарный итог'!C11</f>
        <v>0</v>
      </c>
      <c r="D11" s="263" t="str">
        <f>'Этап 2 - Потребление энергии'!D19</f>
        <v>Использованный газ, Нм³/год</v>
      </c>
      <c r="E11" s="424" t="str">
        <f>'Уровень 1 - Суммарный итог'!E11</f>
        <v>Присутствует?</v>
      </c>
    </row>
    <row r="12" spans="1:5" ht="25">
      <c r="A12" s="263" t="str">
        <f>'Range-thresholds'!A13</f>
        <v>Электростанции, работающие на биомассе и производство тепла</v>
      </c>
      <c r="B12" s="267" t="str">
        <f>IF(OR('Этап 2 - Потребление энергии'!B20=yes,'Этап 2 - Потребление энергии'!B20=no,'Этап 2 - Потребление энергии'!B20=que),'Этап 2 - Потребление энергии'!B20,  pres)</f>
        <v>Присутствует?</v>
      </c>
      <c r="C12" s="424">
        <f>'Уровень 1 - Суммарный итог'!C12</f>
        <v>0</v>
      </c>
      <c r="D12" s="263" t="str">
        <f>'Этап 2 - Потребление энергии'!D20</f>
        <v>Сожженная биомасса, т/год</v>
      </c>
      <c r="E12" s="424" t="str">
        <f>'Уровень 1 - Суммарный итог'!E12</f>
        <v>Присутствует?</v>
      </c>
    </row>
    <row r="13" spans="1:5" ht="25">
      <c r="A13" s="263" t="str">
        <f>'Range-thresholds'!A14</f>
        <v>Сжигание древесного угля</v>
      </c>
      <c r="B13" s="267" t="str">
        <f>IF(OR('Этап 2 - Потребление энергии'!B21=yes,'Этап 2 - Потребление энергии'!B21=no,'Этап 2 - Потребление энергии'!B21=que),'Этап 2 - Потребление энергии'!B21,  pres)</f>
        <v>Присутствует?</v>
      </c>
      <c r="C13" s="424">
        <f>'Уровень 1 - Суммарный итог'!C13</f>
        <v>0</v>
      </c>
      <c r="D13" s="263" t="str">
        <f>'Этап 2 - Потребление энергии'!D21</f>
        <v>Сожженный древесный уголь, т/год</v>
      </c>
      <c r="E13" s="424" t="str">
        <f>'Уровень 1 - Суммарный итог'!E13</f>
        <v>Присутствует?</v>
      </c>
    </row>
    <row r="14" spans="1:5" ht="13">
      <c r="A14" s="390" t="str">
        <f>'Range-thresholds'!A15</f>
        <v>Производство топлива</v>
      </c>
      <c r="B14" s="302"/>
      <c r="C14" s="302"/>
      <c r="D14" s="369"/>
      <c r="E14" s="369"/>
    </row>
    <row r="15" spans="1:5" ht="25">
      <c r="A15" s="263" t="str">
        <f>'Range-thresholds'!A16</f>
        <v>Добыча нефти</v>
      </c>
      <c r="B15" s="267" t="str">
        <f>IF(OR('Этап 2 - Потребление энергии'!B24=yes,'Этап 2 - Потребление энергии'!B24=no,'Этап 2 - Потребление энергии'!B24=que),'Этап 2 - Потребление энергии'!B24,  pres)</f>
        <v>Присутствует?</v>
      </c>
      <c r="C15" s="424">
        <f>'Уровень 1 - Суммарный итог'!C15</f>
        <v>0</v>
      </c>
      <c r="D15" s="263" t="str">
        <f>'Этап 2 - Потребление энергии'!D24</f>
        <v>Произведенная сырая нефть, т/год</v>
      </c>
      <c r="E15" s="424" t="str">
        <f>'Уровень 1 - Суммарный итог'!E15</f>
        <v>Присутствует?</v>
      </c>
    </row>
    <row r="16" spans="1:5" ht="25">
      <c r="A16" s="263" t="str">
        <f>'Range-thresholds'!A17</f>
        <v>Нефтепереработка</v>
      </c>
      <c r="B16" s="267" t="str">
        <f>IF(OR('Этап 2 - Потребление энергии'!B25=yes,'Этап 2 - Потребление энергии'!B25=no,'Этап 2 - Потребление энергии'!B25=que),'Этап 2 - Потребление энергии'!B25,  pres)</f>
        <v>Присутствует?</v>
      </c>
      <c r="C16" s="424">
        <f>'Уровень 1 - Суммарный итог'!C16</f>
        <v>0</v>
      </c>
      <c r="D16" s="263" t="str">
        <f>'Этап 2 - Потребление энергии'!D25</f>
        <v>Переработанная сырая нефть, т/год</v>
      </c>
      <c r="E16" s="424" t="str">
        <f>'Уровень 1 - Суммарный итог'!E16</f>
        <v>Присутствует?</v>
      </c>
    </row>
    <row r="17" spans="1:5" ht="25">
      <c r="A17" s="263" t="str">
        <f>'Range-thresholds'!A18</f>
        <v>Добыча и обработка природного газа.</v>
      </c>
      <c r="B17" s="267" t="str">
        <f>IF(OR('Этап 2 - Потребление энергии'!B26=yes,'Этап 2 - Потребление энергии'!B26=no,'Этап 2 - Потребление энергии'!B26=que),'Этап 2 - Потребление энергии'!B26,  pres)</f>
        <v>Присутствует?</v>
      </c>
      <c r="C17" s="424">
        <f>'Уровень 1 - Суммарный итог'!C17</f>
        <v>0</v>
      </c>
      <c r="D17" s="263" t="str">
        <f>'Этап 2 - Потребление энергии'!D26</f>
        <v>Произведенный газ, Нм³/год</v>
      </c>
      <c r="E17" s="424" t="str">
        <f>'Уровень 1 - Суммарный итог'!E17</f>
        <v>Присутствует?</v>
      </c>
    </row>
    <row r="18" spans="1:5" ht="13">
      <c r="A18" s="390" t="str">
        <f>'Range-thresholds'!A19</f>
        <v>Производство первичного металла</v>
      </c>
      <c r="B18" s="302"/>
      <c r="C18" s="302"/>
      <c r="D18" s="369"/>
      <c r="E18" s="369"/>
    </row>
    <row r="19" spans="1:5" ht="25">
      <c r="A19" s="263" t="str">
        <f>'Range-thresholds'!A20</f>
        <v>(Первичная) экстракция ртути и начальная обработка</v>
      </c>
      <c r="B19" s="267" t="str">
        <f>IF(OR('Этап 3 - Металлы - Сырье'!B6=yes,'Этап 3 - Металлы - Сырье'!B6=no,'Этап 3 - Металлы - Сырье'!B6=que),'Этап 3 - Металлы - Сырье'!B6,  pres)</f>
        <v>Присутствует?</v>
      </c>
      <c r="C19" s="424">
        <f>'Уровень 1 - Суммарный итог'!C19</f>
        <v>0</v>
      </c>
      <c r="D19" s="263" t="str">
        <f>'Этап 3 - Металлы - Сырье'!D6</f>
        <v>Произведенная ртуть, т/год</v>
      </c>
      <c r="E19" s="424" t="str">
        <f>'Уровень 1 - Суммарный итог'!E19</f>
        <v>Присутствует?</v>
      </c>
    </row>
    <row r="20" spans="1:5" ht="25">
      <c r="A20" s="263" t="str">
        <f>'Range-thresholds'!A21</f>
        <v>Производство цинка из продуктов обогащения</v>
      </c>
      <c r="B20" s="267" t="str">
        <f>IF(OR('Этап 3 - Металлы - Сырье'!B7=yes,'Этап 3 - Металлы - Сырье'!B7=no,'Этап 3 - Металлы - Сырье'!B7=que),'Этап 3 - Металлы - Сырье'!B7,  pres)</f>
        <v>Присутствует?</v>
      </c>
      <c r="C20" s="424">
        <f>'Уровень 1 - Суммарный итог'!C20</f>
        <v>0</v>
      </c>
      <c r="D20" s="263" t="str">
        <f>'Этап 3 - Металлы - Сырье'!D7</f>
        <v>Использованный продукт обогащения, т/год</v>
      </c>
      <c r="E20" s="424" t="str">
        <f>'Уровень 1 - Суммарный итог'!E20</f>
        <v>Присутствует?</v>
      </c>
    </row>
    <row r="21" spans="1:5" ht="25">
      <c r="A21" s="263" t="str">
        <f>'Range-thresholds'!A22</f>
        <v>Производство меди из продуктов обогащения</v>
      </c>
      <c r="B21" s="267" t="str">
        <f>IF(OR('Этап 3 - Металлы - Сырье'!B10=yes,'Этап 3 - Металлы - Сырье'!B10=no,'Этап 3 - Металлы - Сырье'!B10=que),'Этап 3 - Металлы - Сырье'!B10,  pres)</f>
        <v>Присутствует?</v>
      </c>
      <c r="C21" s="424">
        <f>'Уровень 1 - Суммарный итог'!C21</f>
        <v>0</v>
      </c>
      <c r="D21" s="263" t="str">
        <f>'Этап 3 - Металлы - Сырье'!D10</f>
        <v>Использованный продукт обогащения, т/год</v>
      </c>
      <c r="E21" s="424" t="str">
        <f>'Уровень 1 - Суммарный итог'!E21</f>
        <v>Присутствует?</v>
      </c>
    </row>
    <row r="22" spans="1:5" ht="25">
      <c r="A22" s="263" t="str">
        <f>'Range-thresholds'!A23</f>
        <v>Производство свинца из продуктов обогащения</v>
      </c>
      <c r="B22" s="267" t="str">
        <f>IF(OR('Этап 3 - Металлы - Сырье'!B13=yes,'Этап 3 - Металлы - Сырье'!B13=no,'Этап 3 - Металлы - Сырье'!B13=que),'Этап 3 - Металлы - Сырье'!B13,  pres)</f>
        <v>Присутствует?</v>
      </c>
      <c r="C22" s="424">
        <f>'Уровень 1 - Суммарный итог'!C22</f>
        <v>0</v>
      </c>
      <c r="D22" s="263" t="str">
        <f>'Этап 3 - Металлы - Сырье'!D13</f>
        <v>Использованный продукт обогащения, т/год</v>
      </c>
      <c r="E22" s="424" t="str">
        <f>'Уровень 1 - Суммарный итог'!E22</f>
        <v>Присутствует?</v>
      </c>
    </row>
    <row r="23" spans="1:5" ht="25">
      <c r="A23" s="263" t="str">
        <f>'Range-thresholds'!A24</f>
        <v>Добыча золота способами, кроме процесса амальгамирования ртути</v>
      </c>
      <c r="B23" s="267" t="str">
        <f>IF(OR('Этап 3 - Металлы - Сырье'!B16=yes,'Этап 3 - Металлы - Сырье'!B16=no,'Этап 3 - Металлы - Сырье'!B16=que),'Этап 3 - Металлы - Сырье'!B16,  pres)</f>
        <v>Присутствует?</v>
      </c>
      <c r="C23" s="424">
        <f>'Уровень 1 - Суммарный итог'!C23</f>
        <v>0</v>
      </c>
      <c r="D23" s="263" t="str">
        <f>'Этап 3 - Металлы - Сырье'!D16</f>
        <v>Использованная золотосодержащая руда, т/год</v>
      </c>
      <c r="E23" s="424" t="str">
        <f>'Уровень 1 - Суммарный итог'!E23</f>
        <v>Присутствует?</v>
      </c>
    </row>
    <row r="24" spans="1:5" ht="25">
      <c r="A24" s="263" t="str">
        <f>'Range-thresholds'!A25</f>
        <v>Производство глинозема из бокситов (производство алюминия)</v>
      </c>
      <c r="B24" s="267" t="str">
        <f>IF(OR('Этап 3 - Металлы - Сырье'!B17=yes,'Этап 3 - Металлы - Сырье'!B17=no,'Этап 3 - Металлы - Сырье'!B17=que),'Этап 3 - Металлы - Сырье'!B17,  pres)</f>
        <v>Присутствует?</v>
      </c>
      <c r="C24" s="424">
        <f>'Уровень 1 - Суммарный итог'!C24</f>
        <v>0</v>
      </c>
      <c r="D24" s="263" t="str">
        <f>'Этап 3 - Металлы - Сырье'!D17</f>
        <v>Обработанные бокситы, т/год</v>
      </c>
      <c r="E24" s="424" t="str">
        <f>'Уровень 1 - Суммарный итог'!E24</f>
        <v>Присутствует?</v>
      </c>
    </row>
    <row r="25" spans="1:5" ht="25">
      <c r="A25" s="263" t="str">
        <f>'Range-thresholds'!A26</f>
        <v>Производство первичного черного металла (производство чугуна в болванках)</v>
      </c>
      <c r="B25" s="267" t="str">
        <f>IF(OR('Этап 3 - Металлы - Сырье'!B18=yes,'Этап 3 - Металлы - Сырье'!B18=no,'Этап 3 - Металлы - Сырье'!B18=que),'Этап 3 - Металлы - Сырье'!B18,  pres)</f>
        <v>Присутствует?</v>
      </c>
      <c r="C25" s="424">
        <f>'Уровень 1 - Суммарный итог'!C25</f>
        <v>0</v>
      </c>
      <c r="D25" s="263" t="str">
        <f>'Этап 3 - Металлы - Сырье'!D18</f>
        <v>Произведенный чугун в болванках, т/год</v>
      </c>
      <c r="E25" s="424" t="str">
        <f>'Уровень 1 - Суммарный итог'!E25</f>
        <v>Присутствует?</v>
      </c>
    </row>
    <row r="26" spans="1:5" ht="25">
      <c r="A26" s="263" t="str">
        <f>'Range-thresholds'!A27</f>
        <v>Добыча золота с помощью процесса амальгамирования ртути - Из недробленой руды</v>
      </c>
      <c r="B26" s="267" t="str">
        <f>IF(OR('Этап 3 - Металлы - Сырье'!B19=yes,'Этап 3 - Металлы - Сырье'!B19=no,'Этап 3 - Металлы - Сырье'!B19=que),'Этап 3 - Металлы - Сырье'!B19,  pres)</f>
        <v>Присутствует?</v>
      </c>
      <c r="C26" s="424">
        <f>'Уровень 1 - Суммарный итог'!C26</f>
        <v>0</v>
      </c>
      <c r="D26" s="263" t="str">
        <f>'Этап 3 - Металлы - Сырье'!D19</f>
        <v>Произведенное золото, кг/год</v>
      </c>
      <c r="E26" s="424" t="str">
        <f>'Уровень 1 - Суммарный итог'!E26</f>
        <v>Присутствует?</v>
      </c>
    </row>
    <row r="27" spans="1:5" ht="25">
      <c r="A27" s="263" t="str">
        <f>'Range-thresholds'!A28</f>
        <v>Добыча золота с помощью процесса амальгамирования ртути - Из обогащенной руды</v>
      </c>
      <c r="B27" s="267" t="str">
        <f>IF(OR('Этап 3 - Металлы - Сырье'!B22=yes,'Этап 3 - Металлы - Сырье'!B22=no,'Этап 3 - Металлы - Сырье'!B22=que),'Этап 3 - Металлы - Сырье'!B22,  pres)</f>
        <v>Присутствует?</v>
      </c>
      <c r="C27" s="424">
        <f>'Уровень 1 - Суммарный итог'!C27</f>
        <v>0</v>
      </c>
      <c r="D27" s="263" t="str">
        <f>'Этап 3 - Металлы - Сырье'!D22</f>
        <v>Произведенное золото, кг/год</v>
      </c>
      <c r="E27" s="424" t="str">
        <f>'Уровень 1 - Суммарный итог'!E27</f>
        <v>Присутствует?</v>
      </c>
    </row>
    <row r="28" spans="1:5" ht="13">
      <c r="A28" s="390" t="str">
        <f>'Range-thresholds'!A29</f>
        <v>Производство других материалов</v>
      </c>
      <c r="B28" s="302"/>
      <c r="C28" s="302"/>
      <c r="D28" s="369"/>
      <c r="E28" s="369"/>
    </row>
    <row r="29" spans="1:5" ht="25">
      <c r="A29" s="263" t="s">
        <v>828</v>
      </c>
      <c r="B29" s="267" t="str">
        <f>IF(OR('Этап 3 - Металлы - Сырье'!B26=yes,'Этап 3 - Металлы - Сырье'!B26=no,'Этап 3 - Металлы - Сырье'!B26=que),'Этап 3 - Металлы - Сырье'!B26,  pres)</f>
        <v>Присутствует?</v>
      </c>
      <c r="C29" s="424">
        <f>'Уровень 1 - Суммарный итог'!C29</f>
        <v>0</v>
      </c>
      <c r="D29" s="263" t="str">
        <f>'Этап 3 - Металлы - Сырье'!D26</f>
        <v>Произведенный цемент, т/год</v>
      </c>
      <c r="E29" s="424" t="str">
        <f>'Уровень 1 - Суммарный итог'!E29</f>
        <v>Присутствует?</v>
      </c>
    </row>
    <row r="30" spans="1:5" ht="25">
      <c r="A30" s="263" t="str">
        <f>'Range-thresholds'!A31</f>
        <v>Производство целлюлозы и бумаги</v>
      </c>
      <c r="B30" s="267" t="str">
        <f>IF(OR('Этап 3 - Металлы - Сырье'!B31=yes,'Этап 3 - Металлы - Сырье'!B31=no,'Этап 3 - Металлы - Сырье'!B31=que),'Этап 3 - Металлы - Сырье'!B31,  pres)</f>
        <v>Присутствует?</v>
      </c>
      <c r="C30" s="424">
        <f>'Уровень 1 - Суммарный итог'!C30</f>
        <v>0</v>
      </c>
      <c r="D30" s="263" t="str">
        <f>'Этап 3 - Металлы - Сырье'!D31</f>
        <v>Биомасса, использованная для производства, т/год</v>
      </c>
      <c r="E30" s="424" t="str">
        <f>'Уровень 1 - Суммарный итог'!E30</f>
        <v>Присутствует?</v>
      </c>
    </row>
    <row r="31" spans="1:5" ht="13">
      <c r="A31" s="390" t="str">
        <f>'Range-thresholds'!A32</f>
        <v>Производство химических веществ</v>
      </c>
      <c r="B31" s="302"/>
      <c r="C31" s="302"/>
      <c r="D31" s="303"/>
      <c r="E31" s="303"/>
    </row>
    <row r="32" spans="1:5" ht="25">
      <c r="A32" s="263" t="str">
        <f>'Range-thresholds'!A33</f>
        <v>Производство хлорщелочи с использованием ртутных электролизеров</v>
      </c>
      <c r="B32" s="267" t="str">
        <f>IF(OR('Этап 4-Пром. прим. Hg'!B5=yes,'Этап 4-Пром. прим. Hg'!B5=no,'Этап 4-Пром. прим. Hg'!B5=que),'Этап 4-Пром. прим. Hg'!B5,  pres)</f>
        <v>Присутствует?</v>
      </c>
      <c r="C32" s="424">
        <f>'Уровень 1 - Суммарный итог'!C32</f>
        <v>0</v>
      </c>
      <c r="D32" s="271" t="str">
        <f>'Этап 4-Пром. прим. Hg'!D5</f>
        <v>Произведенный Cl2, т/год</v>
      </c>
      <c r="E32" s="424" t="str">
        <f>'Уровень 1 - Суммарный итог'!E32</f>
        <v>Присутствует?</v>
      </c>
    </row>
    <row r="33" spans="1:5" ht="25">
      <c r="A33" s="263" t="str">
        <f>'Range-thresholds'!A34</f>
        <v>Производство винилхлорида с помощью ртутного катализатора</v>
      </c>
      <c r="B33" s="267" t="str">
        <f>IF(OR('Этап 4-Пром. прим. Hg'!B6=yes,'Этап 4-Пром. прим. Hg'!B6=no,'Этап 4-Пром. прим. Hg'!B6=que),'Этап 4-Пром. прим. Hg'!B6,  pres)</f>
        <v>Присутствует?</v>
      </c>
      <c r="C33" s="424">
        <f>'Уровень 1 - Суммарный итог'!C33</f>
        <v>0</v>
      </c>
      <c r="D33" s="271" t="str">
        <f>'Этап 4-Пром. прим. Hg'!D6</f>
        <v xml:space="preserve">Произведенный VCM, т/год </v>
      </c>
      <c r="E33" s="424" t="str">
        <f>'Уровень 1 - Суммарный итог'!E33</f>
        <v>Присутствует?</v>
      </c>
    </row>
    <row r="34" spans="1:5" ht="25">
      <c r="A34" s="263" t="str">
        <f>'Range-thresholds'!A35</f>
        <v>Производство ацетальдегида с помощью ртутного катализатора</v>
      </c>
      <c r="B34" s="267" t="str">
        <f>IF(OR('Этап 4-Пром. прим. Hg'!B7=yes,'Этап 4-Пром. прим. Hg'!B7=no,'Этап 4-Пром. прим. Hg'!B7=que),'Этап 4-Пром. прим. Hg'!B7,  pres)</f>
        <v>Присутствует?</v>
      </c>
      <c r="C34" s="424">
        <f>'Уровень 1 - Суммарный итог'!C34</f>
        <v>0</v>
      </c>
      <c r="D34" s="271" t="str">
        <f>'Этап 4-Пром. прим. Hg'!D7</f>
        <v>Произведенный ацетальдегид, т/год</v>
      </c>
      <c r="E34" s="424" t="str">
        <f>'Уровень 1 - Суммарный итог'!E34</f>
        <v>Присутствует?</v>
      </c>
    </row>
    <row r="35" spans="1:5" ht="13">
      <c r="A35" s="390" t="str">
        <f>'Range-thresholds'!A36</f>
        <v>Производство продукции с содержанием ртути</v>
      </c>
      <c r="B35" s="302"/>
      <c r="C35" s="302"/>
      <c r="D35" s="303"/>
      <c r="E35" s="303"/>
    </row>
    <row r="36" spans="1:5" ht="25">
      <c r="A36" s="263" t="str">
        <f>'Range-thresholds'!A37</f>
        <v xml:space="preserve">Ртутные термометры (медицинские, воздушные, лабораторные, промышленные и т. п.) </v>
      </c>
      <c r="B36" s="267" t="str">
        <f>IF(OR('Этап 4-Пром. прим. Hg'!B10=yes,'Этап 4-Пром. прим. Hg'!B10=no,'Этап 4-Пром. прим. Hg'!B10=que),'Этап 4-Пром. прим. Hg'!B10,  pres)</f>
        <v>Присутствует?</v>
      </c>
      <c r="C36" s="424">
        <f>'Уровень 1 - Суммарный итог'!C36</f>
        <v>0</v>
      </c>
      <c r="D36" s="271" t="str">
        <f>'Этап 4-Пром. прим. Hg'!D10</f>
        <v>Ртуть, использованная для производства, кг/год</v>
      </c>
      <c r="E36" s="424" t="str">
        <f>'Уровень 1 - Суммарный итог'!E36</f>
        <v>Присутствует?</v>
      </c>
    </row>
    <row r="37" spans="1:5" ht="25">
      <c r="A37" s="263" t="str">
        <f>'Range-thresholds'!A38</f>
        <v xml:space="preserve">Электрические переключатели и реле с ртутью </v>
      </c>
      <c r="B37" s="267" t="str">
        <f>IF(OR('Этап 4-Пром. прим. Hg'!B11=yes,'Этап 4-Пром. прим. Hg'!B11=no,'Этап 4-Пром. прим. Hg'!B11=que),'Этап 4-Пром. прим. Hg'!B11,  pres)</f>
        <v>Присутствует?</v>
      </c>
      <c r="C37" s="424">
        <f>'Уровень 1 - Суммарный итог'!C37</f>
        <v>0</v>
      </c>
      <c r="D37" s="271" t="str">
        <f>'Этап 4-Пром. прим. Hg'!D11</f>
        <v>Ртуть, использованная для производства, кг/год</v>
      </c>
      <c r="E37" s="424" t="str">
        <f>'Уровень 1 - Суммарный итог'!E37</f>
        <v>Присутствует?</v>
      </c>
    </row>
    <row r="38" spans="1:5" ht="25">
      <c r="A38" s="263" t="str">
        <f>'Range-thresholds'!A39</f>
        <v>Источники света с ртутью (флуоресцентные, компактные, прочие: см. руководство)</v>
      </c>
      <c r="B38" s="267" t="str">
        <f>IF(OR('Этап 4-Пром. прим. Hg'!B12=yes,'Этап 4-Пром. прим. Hg'!B12=no,'Этап 4-Пром. прим. Hg'!B12=que),'Этап 4-Пром. прим. Hg'!B12,  pres)</f>
        <v>Присутствует?</v>
      </c>
      <c r="C38" s="424">
        <f>'Уровень 1 - Суммарный итог'!C38</f>
        <v>0</v>
      </c>
      <c r="D38" s="271" t="str">
        <f>'Этап 4-Пром. прим. Hg'!D12</f>
        <v>Ртуть, использованная для производства, кг/год</v>
      </c>
      <c r="E38" s="424" t="str">
        <f>'Уровень 1 - Суммарный итог'!E38</f>
        <v>Присутствует?</v>
      </c>
    </row>
    <row r="39" spans="1:5" ht="25">
      <c r="A39" s="263" t="str">
        <f>'Range-thresholds'!A40</f>
        <v xml:space="preserve">Ртутные батареи </v>
      </c>
      <c r="B39" s="267" t="str">
        <f>IF(OR('Этап 4-Пром. прим. Hg'!B13=yes,'Этап 4-Пром. прим. Hg'!B13=no,'Этап 4-Пром. прим. Hg'!B13=que),'Этап 4-Пром. прим. Hg'!B13,  pres)</f>
        <v>Присутствует?</v>
      </c>
      <c r="C39" s="424">
        <f>'Уровень 1 - Суммарный итог'!C39</f>
        <v>0</v>
      </c>
      <c r="D39" s="271" t="str">
        <f>'Этап 4-Пром. прим. Hg'!D13</f>
        <v>Ртуть, использованная для производства, кг/год</v>
      </c>
      <c r="E39" s="424" t="str">
        <f>'Уровень 1 - Суммарный итог'!E39</f>
        <v>Присутствует?</v>
      </c>
    </row>
    <row r="40" spans="1:5" ht="25">
      <c r="A40" s="263" t="str">
        <f>'Range-thresholds'!A41</f>
        <v xml:space="preserve">Ртутные манометры и датчики </v>
      </c>
      <c r="B40" s="267" t="str">
        <f>IF(OR('Этап 4-Пром. прим. Hg'!B14=yes,'Этап 4-Пром. прим. Hg'!B14=no,'Этап 4-Пром. прим. Hg'!B14=que),'Этап 4-Пром. прим. Hg'!B14,  pres)</f>
        <v>Присутствует?</v>
      </c>
      <c r="C40" s="424">
        <f>'Уровень 1 - Суммарный итог'!C40</f>
        <v>0</v>
      </c>
      <c r="D40" s="271" t="str">
        <f>'Этап 4-Пром. прим. Hg'!D14</f>
        <v>Ртуть, использованная для производства, кг/год</v>
      </c>
      <c r="E40" s="424" t="str">
        <f>'Уровень 1 - Суммарный итог'!E40</f>
        <v>Присутствует?</v>
      </c>
    </row>
    <row r="41" spans="1:5" ht="25">
      <c r="A41" s="263" t="str">
        <f>'Range-thresholds'!A42</f>
        <v xml:space="preserve">Ртутьсодержащие биоциды и пестициды </v>
      </c>
      <c r="B41" s="267" t="str">
        <f>IF(OR('Этап 4-Пром. прим. Hg'!B15=yes,'Этап 4-Пром. прим. Hg'!B15=no,'Этап 4-Пром. прим. Hg'!B15=que),'Этап 4-Пром. прим. Hg'!B15,  pres)</f>
        <v>Присутствует?</v>
      </c>
      <c r="C41" s="424">
        <f>'Уровень 1 - Суммарный итог'!C41</f>
        <v>0</v>
      </c>
      <c r="D41" s="271" t="str">
        <f>'Этап 4-Пром. прим. Hg'!D15</f>
        <v>Ртуть, использованная для производства, кг/год</v>
      </c>
      <c r="E41" s="424" t="str">
        <f>'Уровень 1 - Суммарный итог'!E41</f>
        <v>Присутствует?</v>
      </c>
    </row>
    <row r="42" spans="1:5" ht="25">
      <c r="A42" s="263" t="str">
        <f>'Range-thresholds'!A43</f>
        <v xml:space="preserve">Ртутьсодержащие краски </v>
      </c>
      <c r="B42" s="267" t="str">
        <f>IF(OR('Этап 4-Пром. прим. Hg'!B16=yes,'Этап 4-Пром. прим. Hg'!B16=no,'Этап 4-Пром. прим. Hg'!B16=que),'Этап 4-Пром. прим. Hg'!B16,  pres)</f>
        <v>Присутствует?</v>
      </c>
      <c r="C42" s="424">
        <f>'Уровень 1 - Суммарный итог'!C42</f>
        <v>0</v>
      </c>
      <c r="D42" s="271" t="str">
        <f>'Этап 4-Пром. прим. Hg'!D16</f>
        <v>Ртуть, использованная для производства, кг/год</v>
      </c>
      <c r="E42" s="424" t="str">
        <f>'Уровень 1 - Суммарный итог'!E42</f>
        <v>Присутствует?</v>
      </c>
    </row>
    <row r="43" spans="1:5" ht="25">
      <c r="A43" s="263" t="str">
        <f>'Range-thresholds'!A44</f>
        <v xml:space="preserve">Кремы для отбеливания кожи и мыло с содержанием элементов ртути </v>
      </c>
      <c r="B43" s="267" t="str">
        <f>IF(OR('Этап 4-Пром. прим. Hg'!B17=yes,'Этап 4-Пром. прим. Hg'!B17=no,'Этап 4-Пром. прим. Hg'!B17=que),'Этап 4-Пром. прим. Hg'!B17,  pres)</f>
        <v>Присутствует?</v>
      </c>
      <c r="C43" s="424">
        <f>'Уровень 1 - Суммарный итог'!C43</f>
        <v>0</v>
      </c>
      <c r="D43" s="271" t="str">
        <f>'Этап 4-Пром. прим. Hg'!D17</f>
        <v>Ртуть, использованная для производства, кг/год</v>
      </c>
      <c r="E43" s="424" t="str">
        <f>'Уровень 1 - Суммарный итог'!E43</f>
        <v>Присутствует?</v>
      </c>
    </row>
    <row r="44" spans="1:5" ht="26">
      <c r="A44" s="390" t="str">
        <f>'Range-thresholds'!A45</f>
        <v>Использование и утилизация ртутьсодержащей продукции</v>
      </c>
      <c r="B44" s="302"/>
      <c r="C44" s="302"/>
      <c r="D44" s="369"/>
      <c r="E44" s="369"/>
    </row>
    <row r="45" spans="1:5" ht="25">
      <c r="A45" s="263" t="str">
        <f>'Range-thresholds'!A46</f>
        <v>Амальгама для зубных пломб («серебряные» пломбы)</v>
      </c>
      <c r="B45" s="267" t="str">
        <f>IF(OR('Этап 6-Hg-продукция - вещ-ва'!B7=yes,'Этап 6-Hg-продукция - вещ-ва'!B7=no,'Этап 6-Hg-продукция - вещ-ва'!B7=que),'Этап 6-Hg-продукция - вещ-ва'!B7,  pres)</f>
        <v>Присутствует?</v>
      </c>
      <c r="C45" s="424">
        <f>'Уровень 1 - Суммарный итог'!C45</f>
        <v>0</v>
      </c>
      <c r="D45" s="419" t="str">
        <f>'Этап 6-Hg-продукция - вещ-ва'!D8</f>
        <v>Количество жителей</v>
      </c>
      <c r="E45" s="424" t="str">
        <f>'Уровень 1 - Суммарный итог'!E45</f>
        <v>Присутствует?</v>
      </c>
    </row>
    <row r="46" spans="1:5" ht="25">
      <c r="A46" s="263" t="str">
        <f>'Range-thresholds'!A47</f>
        <v>Термометры</v>
      </c>
      <c r="B46" s="267" t="str">
        <f>IF(OR('Этап 6-Hg-продукция - вещ-ва'!B15=yes,'Этап 6-Hg-продукция - вещ-ва'!B15=no,'Этап 6-Hg-продукция - вещ-ва'!B15=que),'Этап 6-Hg-продукция - вещ-ва'!B15,  pres)</f>
        <v>Присутствует?</v>
      </c>
      <c r="C46" s="424">
        <f>'Уровень 1 - Суммарный итог'!C46</f>
        <v>0</v>
      </c>
      <c r="D46" s="419" t="str">
        <f>'Этап 6-Hg-продукция - вещ-ва'!D16</f>
        <v>Кол-во проданных позиций/год</v>
      </c>
      <c r="E46" s="424" t="str">
        <f>'Уровень 1 - Суммарный итог'!E46</f>
        <v>Присутствует?</v>
      </c>
    </row>
    <row r="47" spans="1:5" ht="25">
      <c r="A47" s="263" t="str">
        <f>'Range-thresholds'!A48</f>
        <v>Электрические переключатели и реле с ртутью</v>
      </c>
      <c r="B47" s="267" t="str">
        <f>IF(OR('Этап 6-Hg-продукция - вещ-ва'!B20=yes,'Этап 6-Hg-продукция - вещ-ва'!B20=no,'Этап 6-Hg-продукция - вещ-ва'!B20=que),'Этап 6-Hg-продукция - вещ-ва'!B20,  pres)</f>
        <v>Присутствует?</v>
      </c>
      <c r="C47" s="424">
        <f>'Уровень 1 - Суммарный итог'!C47</f>
        <v>0</v>
      </c>
      <c r="D47" s="271" t="str">
        <f>'Этап 6-Hg-продукция - вещ-ва'!D20</f>
        <v>Количество жителей</v>
      </c>
      <c r="E47" s="424" t="str">
        <f>'Уровень 1 - Суммарный итог'!E47</f>
        <v>Присутствует?</v>
      </c>
    </row>
    <row r="48" spans="1:5" ht="25">
      <c r="A48" s="263" t="str">
        <f>'Range-thresholds'!A49</f>
        <v>Ртутьсодержащие источники света</v>
      </c>
      <c r="B48" s="267" t="str">
        <f>IF(OR('Этап 6-Hg-продукция - вещ-ва'!B23=yes,'Этап 6-Hg-продукция - вещ-ва'!B23=no,'Этап 6-Hg-продукция - вещ-ва'!B23=que),'Этап 6-Hg-продукция - вещ-ва'!B23,  pres)</f>
        <v>Да</v>
      </c>
      <c r="C48" s="424">
        <f>'Уровень 1 - Суммарный итог'!C48</f>
        <v>0</v>
      </c>
      <c r="D48" s="271" t="str">
        <f>'Этап 6-Hg-продукция - вещ-ва'!D23</f>
        <v>Кол-во проданных позиций/год</v>
      </c>
      <c r="E48" s="424" t="str">
        <f>'Уровень 1 - Суммарный итог'!E48</f>
        <v>Присутствует?</v>
      </c>
    </row>
    <row r="49" spans="1:5" ht="25">
      <c r="A49" s="365" t="str">
        <f>'Range-thresholds'!A50</f>
        <v>Ртутные батареи</v>
      </c>
      <c r="B49" s="267" t="str">
        <f>IF(OR('Этап 6-Hg-продукция - вещ-ва'!B28=yes,'Этап 6-Hg-продукция - вещ-ва'!B28=no,'Этап 6-Hg-продукция - вещ-ва'!B28=que),'Этап 6-Hg-продукция - вещ-ва'!B28,  pres)</f>
        <v>Присутствует?</v>
      </c>
      <c r="C49" s="424">
        <f>'Уровень 1 - Суммарный итог'!C49</f>
        <v>0</v>
      </c>
      <c r="D49" s="271" t="str">
        <f>'Этап 6-Hg-продукция - вещ-ва'!D28</f>
        <v>Кол-во проданных батарей, т/год</v>
      </c>
      <c r="E49" s="424" t="str">
        <f>'Уровень 1 - Суммарный итог'!E49</f>
        <v>Присутствует?</v>
      </c>
    </row>
    <row r="50" spans="1:5" ht="25">
      <c r="A50" s="263" t="str">
        <f>'Range-thresholds'!A51</f>
        <v>Полиуретан (PU, PUR), полученный с помощью ртутного катализатора</v>
      </c>
      <c r="B50" s="267" t="str">
        <f>IF(OR('Этап 6-Hg-продукция - вещ-ва'!B33=yes,'Этап 6-Hg-продукция - вещ-ва'!B33=no,'Этап 6-Hg-продукция - вещ-ва'!B33=que),'Этап 6-Hg-продукция - вещ-ва'!B33,  pres)</f>
        <v>Нет</v>
      </c>
      <c r="C50" s="424">
        <f>'Уровень 1 - Суммарный итог'!C50</f>
        <v>0</v>
      </c>
      <c r="D50" s="271" t="str">
        <f>'Этап 6-Hg-продукция - вещ-ва'!D33</f>
        <v>Количество жителей</v>
      </c>
      <c r="E50" s="424" t="str">
        <f>'Уровень 1 - Суммарный итог'!E50</f>
        <v>-</v>
      </c>
    </row>
    <row r="51" spans="1:5" ht="25">
      <c r="A51" s="263" t="str">
        <f>'Range-thresholds'!A52</f>
        <v>Краски с ртутьсодержащими стабилизаторами</v>
      </c>
      <c r="B51" s="267" t="str">
        <f>IF(OR('Этап 6-Hg-продукция - вещ-ва'!B36=yes,'Этап 6-Hg-продукция - вещ-ва'!B36=no,'Этап 6-Hg-продукция - вещ-ва'!B36=que),'Этап 6-Hg-продукция - вещ-ва'!B36,  pres)</f>
        <v>Присутствует?</v>
      </c>
      <c r="C51" s="424">
        <f>'Уровень 1 - Суммарный итог'!C51</f>
        <v>0</v>
      </c>
      <c r="D51" s="271" t="str">
        <f>'Этап 6-Hg-продукция - вещ-ва'!D36</f>
        <v>Проданная краска, т/год</v>
      </c>
      <c r="E51" s="424" t="str">
        <f>'Уровень 1 - Суммарный итог'!E51</f>
        <v>Присутствует?</v>
      </c>
    </row>
    <row r="52" spans="1:5" ht="25">
      <c r="A52" s="263" t="str">
        <f>'Range-thresholds'!A53</f>
        <v>Кремы для отбеливания кожи и мыло с содержанием элементов ртути</v>
      </c>
      <c r="B52" s="267" t="str">
        <f>IF(OR('Этап 6-Hg-продукция - вещ-ва'!B38=yes,'Этап 6-Hg-продукция - вещ-ва'!B38=no,'Этап 6-Hg-продукция - вещ-ва'!B38=que),'Этап 6-Hg-продукция - вещ-ва'!B38,  pres)</f>
        <v>Присутствует?</v>
      </c>
      <c r="C52" s="424">
        <f>'Уровень 1 - Суммарный итог'!C52</f>
        <v>0</v>
      </c>
      <c r="D52" s="271" t="str">
        <f>'Этап 6-Hg-продукция - вещ-ва'!D38</f>
        <v>Проданные крем или мыло, т/год</v>
      </c>
      <c r="E52" s="424" t="str">
        <f>'Уровень 1 - Суммарный итог'!E52</f>
        <v>Присутствует?</v>
      </c>
    </row>
    <row r="53" spans="1:5" ht="25">
      <c r="A53" s="263" t="str">
        <f>'Range-thresholds'!A54</f>
        <v>Медицинские тонометры (ртутные сфигмоманометры)</v>
      </c>
      <c r="B53" s="267" t="str">
        <f>IF(OR('Этап 6-Hg-продукция - вещ-ва'!B40=yes,'Этап 6-Hg-продукция - вещ-ва'!B40=no,'Этап 6-Hg-продукция - вещ-ва'!B40=que),'Этап 6-Hg-продукция - вещ-ва'!B40,  pres)</f>
        <v>Присутствует?</v>
      </c>
      <c r="C53" s="424">
        <f>'Уровень 1 - Суммарный итог'!C53</f>
        <v>0</v>
      </c>
      <c r="D53" s="271" t="str">
        <f>'Этап 6-Hg-продукция - вещ-ва'!D40</f>
        <v>Кол-во проданных позиций/год</v>
      </c>
      <c r="E53" s="424" t="str">
        <f>'Уровень 1 - Суммарный итог'!E53</f>
        <v>Присутствует?</v>
      </c>
    </row>
    <row r="54" spans="1:5" ht="25">
      <c r="A54" s="263" t="str">
        <f>'Range-thresholds'!A55</f>
        <v>Прочие ртутные манометры и датчики</v>
      </c>
      <c r="B54" s="267" t="str">
        <f>IF(OR('Этап 6-Hg-продукция - вещ-ва'!B42=yes,'Этап 6-Hg-продукция - вещ-ва'!B42=no,'Этап 6-Hg-продукция - вещ-ва'!B42=que),'Этап 6-Hg-продукция - вещ-ва'!B42,  pres)</f>
        <v>Присутствует?</v>
      </c>
      <c r="C54" s="424">
        <f>'Уровень 1 - Суммарный итог'!C54</f>
        <v>0</v>
      </c>
      <c r="D54" s="271" t="str">
        <f>'Этап 6-Hg-продукция - вещ-ва'!D42</f>
        <v>Количество жителей</v>
      </c>
      <c r="E54" s="424" t="str">
        <f>'Уровень 1 - Суммарный итог'!E54</f>
        <v>Присутствует?</v>
      </c>
    </row>
    <row r="55" spans="1:5" ht="25">
      <c r="A55" s="263" t="str">
        <f>'Range-thresholds'!A56</f>
        <v>Химические вещества для лабораторий</v>
      </c>
      <c r="B55" s="267" t="str">
        <f>IF(OR('Этап 6-Hg-продукция - вещ-ва'!B45=yes,'Этап 6-Hg-продукция - вещ-ва'!B45=no,'Этап 6-Hg-продукция - вещ-ва'!B45=que),'Этап 6-Hg-продукция - вещ-ва'!B45,  pres)</f>
        <v>Присутствует?</v>
      </c>
      <c r="C55" s="424">
        <f>'Уровень 1 - Суммарный итог'!C55</f>
        <v>0</v>
      </c>
      <c r="D55" s="271" t="str">
        <f>'Этап 6-Hg-продукция - вещ-ва'!D45</f>
        <v>Количество жителей</v>
      </c>
      <c r="E55" s="424" t="str">
        <f>'Уровень 1 - Суммарный итог'!E55</f>
        <v>Присутствует?</v>
      </c>
    </row>
    <row r="56" spans="1:5" ht="25">
      <c r="A56" s="263" t="str">
        <f>'Range-thresholds'!A57</f>
        <v xml:space="preserve">Прочее ртутьсодержащее лабораторное и медицинское оборудование </v>
      </c>
      <c r="B56" s="267" t="str">
        <f>IF(OR('Этап 6-Hg-продукция - вещ-ва'!B48=yes,'Этап 6-Hg-продукция - вещ-ва'!B48=no,'Этап 6-Hg-продукция - вещ-ва'!B48=que),'Этап 6-Hg-продукция - вещ-ва'!B48,  pres)</f>
        <v>Присутствует?</v>
      </c>
      <c r="C56" s="424">
        <f>'Уровень 1 - Суммарный итог'!C56</f>
        <v>0</v>
      </c>
      <c r="D56" s="271" t="str">
        <f>'Этап 6-Hg-продукция - вещ-ва'!D48</f>
        <v>Количество жителей</v>
      </c>
      <c r="E56" s="424" t="str">
        <f>'Уровень 1 - Суммарный итог'!E56</f>
        <v>Присутствует?</v>
      </c>
    </row>
    <row r="57" spans="1:5" ht="13">
      <c r="A57" s="390" t="str">
        <f>'Range-thresholds'!A58</f>
        <v>Производство восстановленных металлов</v>
      </c>
      <c r="B57" s="302"/>
      <c r="C57" s="302"/>
      <c r="D57" s="369"/>
      <c r="E57" s="369"/>
    </row>
    <row r="58" spans="1:5" ht="25">
      <c r="A58" s="263" t="str">
        <f>'Range-thresholds'!A59</f>
        <v>Производство повторно используемой ртути («вторичное производство»)</v>
      </c>
      <c r="B58" s="267" t="str">
        <f>IF(OR('Этап5-Обраб. отходов+перераб.'!B9=yes,'Этап5-Обраб. отходов+перераб.'!B9=no,'Этап5-Обраб. отходов+перераб.'!B9=que),'Этап5-Обраб. отходов+перераб.'!B9,  pres)</f>
        <v>Присутствует?</v>
      </c>
      <c r="C58" s="424">
        <f>'Уровень 1 - Суммарный итог'!C58</f>
        <v>0</v>
      </c>
      <c r="D58" s="271" t="str">
        <f>'Этап5-Обраб. отходов+перераб.'!D9</f>
        <v xml:space="preserve">Произведенная ртуть, кг/год </v>
      </c>
      <c r="E58" s="424" t="str">
        <f>'Уровень 1 - Суммарный итог'!E58</f>
        <v>Присутствует?</v>
      </c>
    </row>
    <row r="59" spans="1:5" ht="25">
      <c r="A59" s="263" t="str">
        <f>'Range-thresholds'!A60</f>
        <v>Производство повторно используемых черных металлов (чугун и сталь)</v>
      </c>
      <c r="B59" s="267" t="str">
        <f>IF(OR('Этап5-Обраб. отходов+перераб.'!B10=yes,'Этап5-Обраб. отходов+перераб.'!B10=no,'Этап5-Обраб. отходов+перераб.'!B10=que),'Этап5-Обраб. отходов+перераб.'!B10,  pres)</f>
        <v>Присутствует?</v>
      </c>
      <c r="C59" s="424">
        <f>'Уровень 1 - Суммарный итог'!C59</f>
        <v>0</v>
      </c>
      <c r="D59" s="271" t="str">
        <f>'Этап5-Обраб. отходов+перераб.'!D10</f>
        <v>Количество повторно используемого транспорта/год</v>
      </c>
      <c r="E59" s="424" t="str">
        <f>'Уровень 1 - Суммарный итог'!E59</f>
        <v>Присутствует?</v>
      </c>
    </row>
    <row r="60" spans="1:5" ht="13">
      <c r="A60" s="390" t="str">
        <f>'Range-thresholds'!A61</f>
        <v>Сжигание отходов</v>
      </c>
      <c r="B60" s="302"/>
      <c r="C60" s="302"/>
      <c r="D60" s="369"/>
      <c r="E60" s="369"/>
    </row>
    <row r="61" spans="1:5" ht="25">
      <c r="A61" s="263" t="str">
        <f>'Range-thresholds'!A62</f>
        <v>Сжигание городских/обычных отходов</v>
      </c>
      <c r="B61" s="267" t="str">
        <f>IF(OR('Этап5-Обраб. отходов+перераб.'!B13=yes,'Этап5-Обраб. отходов+перераб.'!B13=no,'Этап5-Обраб. отходов+перераб.'!B13=que),'Этап5-Обраб. отходов+перераб.'!B13,  pres)</f>
        <v>Присутствует?</v>
      </c>
      <c r="C61" s="424">
        <f>'Уровень 1 - Суммарный итог'!C61</f>
        <v>0</v>
      </c>
      <c r="D61" s="271" t="str">
        <f>'Этап5-Обраб. отходов+перераб.'!D13</f>
        <v xml:space="preserve">Сгоревшие отходы, т/год </v>
      </c>
      <c r="E61" s="424" t="str">
        <f>'Уровень 1 - Суммарный итог'!E61</f>
        <v>Присутствует?</v>
      </c>
    </row>
    <row r="62" spans="1:5" ht="25">
      <c r="A62" s="263" t="str">
        <f>'Range-thresholds'!A63</f>
        <v>Сжигание опасных отходов</v>
      </c>
      <c r="B62" s="267" t="str">
        <f>IF(OR('Этап5-Обраб. отходов+перераб.'!B16=yes,'Этап5-Обраб. отходов+перераб.'!B16=no,'Этап5-Обраб. отходов+перераб.'!B16=que),'Этап5-Обраб. отходов+перераб.'!B16,  pres)</f>
        <v>Присутствует?</v>
      </c>
      <c r="C62" s="424">
        <f>'Уровень 1 - Суммарный итог'!C62</f>
        <v>0</v>
      </c>
      <c r="D62" s="271" t="str">
        <f>'Этап5-Обраб. отходов+перераб.'!D16</f>
        <v>Сгоревшие отходы, т/год</v>
      </c>
      <c r="E62" s="424" t="str">
        <f>'Уровень 1 - Суммарный итог'!E62</f>
        <v>Присутствует?</v>
      </c>
    </row>
    <row r="63" spans="1:5" ht="25">
      <c r="A63" s="263" t="str">
        <f>'Range-thresholds'!A64</f>
        <v>Инсинерация и открытое сжигание медицинских отходов</v>
      </c>
      <c r="B63" s="267" t="str">
        <f>IF(OR('Этап5-Обраб. отходов+перераб.'!B19=yes,'Этап5-Обраб. отходов+перераб.'!B19=no,'Этап5-Обраб. отходов+перераб.'!B19=que),'Этап5-Обраб. отходов+перераб.'!B19,  pres)</f>
        <v>Присутствует?</v>
      </c>
      <c r="C63" s="424">
        <f>'Уровень 1 - Суммарный итог'!C63</f>
        <v>0</v>
      </c>
      <c r="D63" s="271" t="str">
        <f>'Этап5-Обраб. отходов+перераб.'!D19</f>
        <v>Сгоревшие отходы, т/год</v>
      </c>
      <c r="E63" s="424" t="str">
        <f>'Уровень 1 - Суммарный итог'!E63</f>
        <v>Присутствует?</v>
      </c>
    </row>
    <row r="64" spans="1:5" ht="25">
      <c r="A64" s="263" t="str">
        <f>'Range-thresholds'!A65</f>
        <v>Сжигание осадка сточных вод</v>
      </c>
      <c r="B64" s="267" t="str">
        <f>IF(OR('Этап5-Обраб. отходов+перераб.'!B22=yes,'Этап5-Обраб. отходов+перераб.'!B22=no,'Этап5-Обраб. отходов+перераб.'!B22=que),'Этап5-Обраб. отходов+перераб.'!B22,  pres)</f>
        <v>Присутствует?</v>
      </c>
      <c r="C64" s="424">
        <f>'Уровень 1 - Суммарный итог'!C64</f>
        <v>0</v>
      </c>
      <c r="D64" s="271" t="str">
        <f>'Этап5-Обраб. отходов+перераб.'!D22</f>
        <v>Сгоревшие отходы, т/год</v>
      </c>
      <c r="E64" s="424" t="str">
        <f>'Уровень 1 - Суммарный итог'!E64</f>
        <v>Присутствует?</v>
      </c>
    </row>
    <row r="65" spans="1:5" ht="25">
      <c r="A65" s="263" t="str">
        <f>'Range-thresholds'!A66</f>
        <v>Сжигание отходов на открытом огне (на полигонах и произвольно)</v>
      </c>
      <c r="B65" s="267" t="str">
        <f>IF(OR('Этап5-Обраб. отходов+перераб.'!B23=yes,'Этап5-Обраб. отходов+перераб.'!B23=no,'Этап5-Обраб. отходов+перераб.'!B23=que),'Этап5-Обраб. отходов+перераб.'!B23,  pres)</f>
        <v>Присутствует?</v>
      </c>
      <c r="C65" s="424">
        <f>'Уровень 1 - Суммарный итог'!C65</f>
        <v>0</v>
      </c>
      <c r="D65" s="271" t="str">
        <f>'Этап5-Обраб. отходов+перераб.'!D23</f>
        <v xml:space="preserve">Сожженные отходы, т/год </v>
      </c>
      <c r="E65" s="424" t="str">
        <f>'Уровень 1 - Суммарный итог'!E65</f>
        <v>Присутствует?</v>
      </c>
    </row>
    <row r="66" spans="1:5" ht="26">
      <c r="A66" s="390" t="str">
        <f>'Range-thresholds'!A67</f>
        <v>Размещение отходов/ссыпание отходов в отвал и обработка сточных вод</v>
      </c>
      <c r="B66" s="302"/>
      <c r="C66" s="302"/>
      <c r="D66" s="369"/>
      <c r="E66" s="369"/>
    </row>
    <row r="67" spans="1:5" ht="25">
      <c r="A67" s="365" t="str">
        <f>'Range-thresholds'!A68</f>
        <v>Контролируемые свалки отходов/отложений</v>
      </c>
      <c r="B67" s="267" t="str">
        <f>IF(OR('Этап5-Обраб. отходов+перераб.'!B26=yes,'Этап5-Обраб. отходов+перераб.'!B26=no,'Этап5-Обраб. отходов+перераб.'!B26=que),'Этап5-Обраб. отходов+перераб.'!B26,  pres)</f>
        <v>Присутствует?</v>
      </c>
      <c r="C67" s="424">
        <f>'Уровень 1 - Суммарный итог'!C67</f>
        <v>0</v>
      </c>
      <c r="D67" s="271" t="str">
        <f>'Этап5-Обраб. отходов+перераб.'!D26</f>
        <v>Сброшенные отходы в отвалы, т/год</v>
      </c>
      <c r="E67" s="424" t="str">
        <f>'Уровень 1 - Суммарный итог'!E67</f>
        <v>Присутствует?</v>
      </c>
    </row>
    <row r="68" spans="1:5" ht="25">
      <c r="A68" s="365" t="str">
        <f>'Range-thresholds'!A69</f>
        <v>Несанкционированный сброс обычных отходов *1</v>
      </c>
      <c r="B68" s="267" t="str">
        <f>IF(OR('Этап5-Обраб. отходов+перераб.'!B27=yes,'Этап5-Обраб. отходов+перераб.'!B27=no,'Этап5-Обраб. отходов+перераб.'!B27=que),'Этап5-Обраб. отходов+перераб.'!B27,  pres)</f>
        <v>Присутствует?</v>
      </c>
      <c r="C68" s="424">
        <f>'Уровень 1 - Суммарный итог'!C68</f>
        <v>0</v>
      </c>
      <c r="D68" s="271" t="str">
        <f>'Этап5-Обраб. отходов+перераб.'!D27</f>
        <v>Сброшенные отходы, т/год</v>
      </c>
      <c r="E68" s="424" t="str">
        <f>'Уровень 1 - Суммарный итог'!E68</f>
        <v>Присутствует?</v>
      </c>
    </row>
    <row r="69" spans="1:5" ht="25">
      <c r="A69" s="365" t="str">
        <f>'Range-thresholds'!A70</f>
        <v>Система сбора и отведения/обработка сточных вод</v>
      </c>
      <c r="B69" s="267" t="str">
        <f>IF(OR('Этап5-Обраб. отходов+перераб.'!B29=yes,'Этап5-Обраб. отходов+перераб.'!B29=no,'Этап5-Обраб. отходов+перераб.'!B29=que),'Этап5-Обраб. отходов+перераб.'!B29,  pres)</f>
        <v>Присутствует?</v>
      </c>
      <c r="C69" s="424">
        <f>'Уровень 1 - Суммарный итог'!C69</f>
        <v>0</v>
      </c>
      <c r="D69" s="271" t="str">
        <f>'Этап5-Обраб. отходов+перераб.'!D29</f>
        <v xml:space="preserve">Сточная вода, м3/год </v>
      </c>
      <c r="E69" s="424" t="str">
        <f>'Уровень 1 - Суммарный итог'!E69</f>
        <v>Присутствует?</v>
      </c>
    </row>
    <row r="70" spans="1:5" ht="13">
      <c r="A70" s="390" t="str">
        <f>'Range-thresholds'!A71</f>
        <v>Крематории и кладбища</v>
      </c>
      <c r="B70" s="302"/>
      <c r="C70" s="302"/>
      <c r="D70" s="369"/>
      <c r="E70" s="369"/>
    </row>
    <row r="71" spans="1:5" ht="25">
      <c r="A71" s="263" t="str">
        <f>'Range-thresholds'!A72</f>
        <v>Крематории</v>
      </c>
      <c r="B71" s="267" t="str">
        <f>IF(OR('Этап 7 - Крематории-кладбища'!B5=yes,'Этап 7 - Крематории-кладбища'!B5=no,'Этап 7 - Крематории-кладбища'!B5=que),'Этап 7 - Крематории-кладбища'!B5,  pres)</f>
        <v>Присутствует?</v>
      </c>
      <c r="C71" s="424">
        <f>'Уровень 1 - Суммарный итог'!C71</f>
        <v>0</v>
      </c>
      <c r="D71" s="271" t="str">
        <f>'Этап 7 - Крематории-кладбища'!D5</f>
        <v>Количество кремированных трупов/год</v>
      </c>
      <c r="E71" s="424" t="str">
        <f>'Уровень 1 - Суммарный итог'!E71</f>
        <v>Присутствует?</v>
      </c>
    </row>
    <row r="72" spans="1:5" ht="25">
      <c r="A72" s="263" t="str">
        <f>'Range-thresholds'!A73</f>
        <v>Кладбища</v>
      </c>
      <c r="B72" s="267" t="str">
        <f>IF(OR('Этап 7 - Крематории-кладбища'!B6=yes,'Этап 7 - Крематории-кладбища'!B6=no,'Этап 7 - Крематории-кладбища'!B6=que),'Этап 7 - Крематории-кладбища'!B6,  pres)</f>
        <v>Присутствует?</v>
      </c>
      <c r="C72" s="424">
        <f>'Уровень 1 - Суммарный итог'!C72</f>
        <v>0</v>
      </c>
      <c r="D72" s="271" t="str">
        <f>'Этап 7 - Крематории-кладбища'!D6</f>
        <v>Количество захороненных трупов/год</v>
      </c>
      <c r="E72" s="424" t="str">
        <f>'Уровень 1 - Суммарный итог'!E72</f>
        <v>Присутствует?</v>
      </c>
    </row>
    <row r="73" spans="1:5" s="353" customFormat="1" ht="13">
      <c r="A73" s="265" t="s">
        <v>827</v>
      </c>
      <c r="B73" s="426"/>
      <c r="C73" s="427"/>
      <c r="D73" s="372"/>
      <c r="E73" s="530">
        <f>'Уровень 1 - Суммарный итог'!E73</f>
        <v>0</v>
      </c>
    </row>
    <row r="74" spans="1:5">
      <c r="A74" s="743" t="s">
        <v>884</v>
      </c>
    </row>
    <row r="75" spans="1:5">
      <c r="A75" s="743" t="s">
        <v>1165</v>
      </c>
    </row>
    <row r="76" spans="1:5">
      <c r="A76" s="743" t="s">
        <v>1166</v>
      </c>
    </row>
    <row r="77" spans="1:5">
      <c r="A77" s="743" t="s">
        <v>1167</v>
      </c>
      <c r="B77" s="337"/>
    </row>
    <row r="78" spans="1:5">
      <c r="A78" s="743" t="s">
        <v>1168</v>
      </c>
      <c r="B78" s="337"/>
    </row>
    <row r="79" spans="1:5">
      <c r="A79" s="743" t="s">
        <v>1169</v>
      </c>
      <c r="B79" s="337"/>
    </row>
    <row r="80" spans="1:5">
      <c r="A80" s="743" t="s">
        <v>1170</v>
      </c>
      <c r="B80" s="337"/>
    </row>
    <row r="81" spans="1:1">
      <c r="A81" s="743" t="s">
        <v>1178</v>
      </c>
    </row>
    <row r="82" spans="1:1">
      <c r="A82" s="595" t="s">
        <v>826</v>
      </c>
    </row>
  </sheetData>
  <sheetProtection algorithmName="SHA-512" hashValue="mS3Bh2r6oXbqvCv5u4YaFTyaxY3GGtELwb1Z2UhejDeim7bIRNfE02esFSAJUa/IBhIrSt2qWmSnCrcmuLpXrQ==" saltValue="nVb6h269vUORf5EEm27ctw==" spinCount="100000" sheet="1" objects="1" scenarios="1"/>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pageSetUpPr fitToPage="1"/>
  </sheetPr>
  <dimension ref="A1:G94"/>
  <sheetViews>
    <sheetView topLeftCell="A36" workbookViewId="0">
      <selection activeCell="L64" sqref="L64"/>
    </sheetView>
  </sheetViews>
  <sheetFormatPr defaultColWidth="9.1796875" defaultRowHeight="12.5"/>
  <cols>
    <col min="1" max="1" width="46.81640625" style="337" customWidth="1"/>
    <col min="2" max="2" width="12.81640625" style="337" customWidth="1"/>
    <col min="3" max="6" width="11.6328125" style="337" customWidth="1"/>
    <col min="7" max="7" width="16.1796875" style="337" customWidth="1"/>
    <col min="8" max="16384" width="9.1796875" style="337"/>
  </cols>
  <sheetData>
    <row r="1" spans="1:7" ht="13">
      <c r="A1" s="749" t="s">
        <v>1150</v>
      </c>
      <c r="B1" s="203"/>
      <c r="C1" s="203"/>
      <c r="D1" s="203"/>
      <c r="E1" s="203"/>
      <c r="F1" s="203"/>
      <c r="G1" s="203"/>
    </row>
    <row r="2" spans="1:7" s="358" customFormat="1">
      <c r="A2" s="736" t="s">
        <v>868</v>
      </c>
      <c r="B2" s="912" t="s">
        <v>1119</v>
      </c>
      <c r="C2" s="913"/>
      <c r="D2" s="913"/>
      <c r="E2" s="913"/>
      <c r="F2" s="913"/>
      <c r="G2" s="914"/>
    </row>
    <row r="3" spans="1:7" ht="62.5">
      <c r="A3" s="804"/>
      <c r="B3" s="757" t="s">
        <v>877</v>
      </c>
      <c r="C3" s="757" t="s">
        <v>878</v>
      </c>
      <c r="D3" s="757" t="s">
        <v>879</v>
      </c>
      <c r="E3" s="752" t="s">
        <v>880</v>
      </c>
      <c r="F3" s="752" t="s">
        <v>881</v>
      </c>
      <c r="G3" s="752" t="s">
        <v>882</v>
      </c>
    </row>
    <row r="4" spans="1:7" ht="13">
      <c r="A4" s="390" t="str">
        <f>'Этап 2 - Потребление энергии'!A4</f>
        <v>Потребление энергии</v>
      </c>
      <c r="B4" s="362"/>
      <c r="C4" s="362"/>
      <c r="D4" s="362"/>
      <c r="E4" s="306"/>
      <c r="F4" s="306"/>
      <c r="G4" s="306"/>
    </row>
    <row r="5" spans="1:7" ht="25">
      <c r="A5" s="263" t="str">
        <f>'Этап 2 - Потребление энергии'!A5</f>
        <v>Сжигание угля на крупных электростанциях</v>
      </c>
      <c r="B5" s="425" t="str">
        <f>'Уровень 1 - Суммарный итог'!F5</f>
        <v>Присутствует?</v>
      </c>
      <c r="C5" s="425" t="str">
        <f>'Уровень 1 - Суммарный итог'!G5</f>
        <v>Присутствует?</v>
      </c>
      <c r="D5" s="425" t="str">
        <f>'Уровень 1 - Суммарный итог'!H5</f>
        <v>Присутствует?</v>
      </c>
      <c r="E5" s="425" t="str">
        <f>'Уровень 1 - Суммарный итог'!I5</f>
        <v>Присутствует?</v>
      </c>
      <c r="F5" s="425" t="str">
        <f>'Уровень 1 - Суммарный итог'!J5</f>
        <v>Присутствует?</v>
      </c>
      <c r="G5" s="425" t="str">
        <f>'Уровень 1 - Суммарный итог'!K5</f>
        <v>Присутствует?</v>
      </c>
    </row>
    <row r="6" spans="1:7" ht="25">
      <c r="A6" s="263" t="str">
        <f>'Этап 2 - Потребление энергии'!A8</f>
        <v>Сжигание угля в угольных промышленных котлоагрегатах</v>
      </c>
      <c r="B6" s="425" t="str">
        <f>'Уровень 1 - Суммарный итог'!F6</f>
        <v>Присутствует?</v>
      </c>
      <c r="C6" s="425" t="str">
        <f>'Уровень 1 - Суммарный итог'!G6</f>
        <v>Присутствует?</v>
      </c>
      <c r="D6" s="425" t="str">
        <f>'Уровень 1 - Суммарный итог'!H6</f>
        <v>Присутствует?</v>
      </c>
      <c r="E6" s="425" t="str">
        <f>'Уровень 1 - Суммарный итог'!I6</f>
        <v>Присутствует?</v>
      </c>
      <c r="F6" s="425" t="str">
        <f>'Уровень 1 - Суммарный итог'!J6</f>
        <v>Присутствует?</v>
      </c>
      <c r="G6" s="425" t="str">
        <f>'Уровень 1 - Суммарный итог'!K6</f>
        <v>Присутствует?</v>
      </c>
    </row>
    <row r="7" spans="1:7" ht="25">
      <c r="A7" s="263" t="str">
        <f>'Этап 2 - Потребление энергии'!A11</f>
        <v>Прочие способы применения угля</v>
      </c>
      <c r="B7" s="425" t="str">
        <f>'Уровень 1 - Суммарный итог'!F7</f>
        <v>Присутствует?</v>
      </c>
      <c r="C7" s="425" t="str">
        <f>'Уровень 1 - Суммарный итог'!G7</f>
        <v>Присутствует?</v>
      </c>
      <c r="D7" s="425" t="str">
        <f>'Уровень 1 - Суммарный итог'!H7</f>
        <v>Присутствует?</v>
      </c>
      <c r="E7" s="425" t="str">
        <f>'Уровень 1 - Суммарный итог'!I7</f>
        <v>Присутствует?</v>
      </c>
      <c r="F7" s="425" t="str">
        <f>'Уровень 1 - Суммарный итог'!J7</f>
        <v>Присутствует?</v>
      </c>
      <c r="G7" s="425" t="str">
        <f>'Уровень 1 - Суммарный итог'!K7</f>
        <v>Присутствует?</v>
      </c>
    </row>
    <row r="8" spans="1:7" ht="25">
      <c r="A8" s="263" t="str">
        <f>'Этап 2 - Потребление энергии'!A12</f>
        <v>Сжигание/использование нефтяного кокса и тяжелого топлива</v>
      </c>
      <c r="B8" s="425" t="str">
        <f>'Уровень 1 - Суммарный итог'!F8</f>
        <v>Присутствует?</v>
      </c>
      <c r="C8" s="425" t="str">
        <f>'Уровень 1 - Суммарный итог'!G8</f>
        <v>Присутствует?</v>
      </c>
      <c r="D8" s="425" t="str">
        <f>'Уровень 1 - Суммарный итог'!H8</f>
        <v>Присутствует?</v>
      </c>
      <c r="E8" s="425" t="str">
        <f>'Уровень 1 - Суммарный итог'!I8</f>
        <v>Присутствует?</v>
      </c>
      <c r="F8" s="425" t="str">
        <f>'Уровень 1 - Суммарный итог'!J8</f>
        <v>Присутствует?</v>
      </c>
      <c r="G8" s="425" t="str">
        <f>'Уровень 1 - Суммарный итог'!K8</f>
        <v>Присутствует?</v>
      </c>
    </row>
    <row r="9" spans="1:7" ht="25">
      <c r="A9" s="263" t="str">
        <f>'Этап 2 - Потребление энергии'!A15</f>
        <v>Сжигание/использование дизельного топлива, бензина, нефти, керосина</v>
      </c>
      <c r="B9" s="425" t="str">
        <f>'Уровень 1 - Суммарный итог'!F9</f>
        <v>Присутствует?</v>
      </c>
      <c r="C9" s="425" t="str">
        <f>'Уровень 1 - Суммарный итог'!G9</f>
        <v>Присутствует?</v>
      </c>
      <c r="D9" s="425" t="str">
        <f>'Уровень 1 - Суммарный итог'!H9</f>
        <v>Присутствует?</v>
      </c>
      <c r="E9" s="425" t="str">
        <f>'Уровень 1 - Суммарный итог'!I9</f>
        <v>Присутствует?</v>
      </c>
      <c r="F9" s="425" t="str">
        <f>'Уровень 1 - Суммарный итог'!J9</f>
        <v>Присутствует?</v>
      </c>
      <c r="G9" s="425" t="str">
        <f>'Уровень 1 - Суммарный итог'!K9</f>
        <v>Присутствует?</v>
      </c>
    </row>
    <row r="10" spans="1:7" ht="25">
      <c r="A10" s="263" t="str">
        <f>'Этап 2 - Потребление энергии'!A18</f>
        <v xml:space="preserve">Использование неочищенного или предварительно очищенного природного газа </v>
      </c>
      <c r="B10" s="425" t="str">
        <f>'Уровень 1 - Суммарный итог'!F10</f>
        <v>Присутствует?</v>
      </c>
      <c r="C10" s="425" t="str">
        <f>'Уровень 1 - Суммарный итог'!G10</f>
        <v>Присутствует?</v>
      </c>
      <c r="D10" s="425" t="str">
        <f>'Уровень 1 - Суммарный итог'!H10</f>
        <v>Присутствует?</v>
      </c>
      <c r="E10" s="425" t="str">
        <f>'Уровень 1 - Суммарный итог'!I10</f>
        <v>Присутствует?</v>
      </c>
      <c r="F10" s="425" t="str">
        <f>'Уровень 1 - Суммарный итог'!J10</f>
        <v>Присутствует?</v>
      </c>
      <c r="G10" s="425" t="str">
        <f>'Уровень 1 - Суммарный итог'!K10</f>
        <v>Присутствует?</v>
      </c>
    </row>
    <row r="11" spans="1:7" ht="25">
      <c r="A11" s="263" t="str">
        <f>'Этап 2 - Потребление энергии'!A19</f>
        <v>Использование газа, подаваемого по трубопроводу (качество потребителя)</v>
      </c>
      <c r="B11" s="425" t="str">
        <f>'Уровень 1 - Суммарный итог'!F11</f>
        <v>Присутствует?</v>
      </c>
      <c r="C11" s="425" t="str">
        <f>'Уровень 1 - Суммарный итог'!G11</f>
        <v>Присутствует?</v>
      </c>
      <c r="D11" s="425" t="str">
        <f>'Уровень 1 - Суммарный итог'!H11</f>
        <v>Присутствует?</v>
      </c>
      <c r="E11" s="425" t="str">
        <f>'Уровень 1 - Суммарный итог'!I11</f>
        <v>Присутствует?</v>
      </c>
      <c r="F11" s="425" t="str">
        <f>'Уровень 1 - Суммарный итог'!J11</f>
        <v>Присутствует?</v>
      </c>
      <c r="G11" s="425" t="str">
        <f>'Уровень 1 - Суммарный итог'!K11</f>
        <v>Присутствует?</v>
      </c>
    </row>
    <row r="12" spans="1:7" ht="25">
      <c r="A12" s="263" t="str">
        <f>'Этап 2 - Потребление энергии'!A20</f>
        <v>Электростанции, работающие на биомассе и производство тепла</v>
      </c>
      <c r="B12" s="425" t="str">
        <f>'Уровень 1 - Суммарный итог'!F12</f>
        <v>Присутствует?</v>
      </c>
      <c r="C12" s="425" t="str">
        <f>'Уровень 1 - Суммарный итог'!G12</f>
        <v>Присутствует?</v>
      </c>
      <c r="D12" s="425" t="str">
        <f>'Уровень 1 - Суммарный итог'!H12</f>
        <v>Присутствует?</v>
      </c>
      <c r="E12" s="425" t="str">
        <f>'Уровень 1 - Суммарный итог'!I12</f>
        <v>Присутствует?</v>
      </c>
      <c r="F12" s="425" t="str">
        <f>'Уровень 1 - Суммарный итог'!J12</f>
        <v>Присутствует?</v>
      </c>
      <c r="G12" s="425" t="str">
        <f>'Уровень 1 - Суммарный итог'!K12</f>
        <v>Присутствует?</v>
      </c>
    </row>
    <row r="13" spans="1:7" ht="25">
      <c r="A13" s="263" t="str">
        <f>'Этап 2 - Потребление энергии'!A21</f>
        <v>Сжигание древесного угля</v>
      </c>
      <c r="B13" s="425" t="str">
        <f>'Уровень 1 - Суммарный итог'!F13</f>
        <v>Присутствует?</v>
      </c>
      <c r="C13" s="425" t="str">
        <f>'Уровень 1 - Суммарный итог'!G13</f>
        <v>Присутствует?</v>
      </c>
      <c r="D13" s="425" t="str">
        <f>'Уровень 1 - Суммарный итог'!H13</f>
        <v>Присутствует?</v>
      </c>
      <c r="E13" s="425" t="str">
        <f>'Уровень 1 - Суммарный итог'!I13</f>
        <v>Присутствует?</v>
      </c>
      <c r="F13" s="425" t="str">
        <f>'Уровень 1 - Суммарный итог'!J13</f>
        <v>Присутствует?</v>
      </c>
      <c r="G13" s="425" t="str">
        <f>'Уровень 1 - Суммарный итог'!K13</f>
        <v>Присутствует?</v>
      </c>
    </row>
    <row r="14" spans="1:7" ht="13">
      <c r="A14" s="390" t="str">
        <f>'Этап 2 - Потребление энергии'!A23</f>
        <v>Производство топлива</v>
      </c>
      <c r="B14" s="362"/>
      <c r="C14" s="362"/>
      <c r="D14" s="362"/>
      <c r="E14" s="306"/>
      <c r="F14" s="306"/>
      <c r="G14" s="306"/>
    </row>
    <row r="15" spans="1:7" ht="25">
      <c r="A15" s="263" t="str">
        <f>'Этап 2 - Потребление энергии'!A24</f>
        <v>Добыча нефти</v>
      </c>
      <c r="B15" s="425" t="str">
        <f>'Уровень 1 - Суммарный итог'!F15</f>
        <v>Присутствует?</v>
      </c>
      <c r="C15" s="425" t="str">
        <f>'Уровень 1 - Суммарный итог'!G15</f>
        <v>Присутствует?</v>
      </c>
      <c r="D15" s="425" t="str">
        <f>'Уровень 1 - Суммарный итог'!H15</f>
        <v>Присутствует?</v>
      </c>
      <c r="E15" s="425" t="str">
        <f>'Уровень 1 - Суммарный итог'!I15</f>
        <v>Присутствует?</v>
      </c>
      <c r="F15" s="425" t="str">
        <f>'Уровень 1 - Суммарный итог'!J15</f>
        <v>Присутствует?</v>
      </c>
      <c r="G15" s="425" t="str">
        <f>'Уровень 1 - Суммарный итог'!K15</f>
        <v>Присутствует?</v>
      </c>
    </row>
    <row r="16" spans="1:7" ht="25">
      <c r="A16" s="263" t="str">
        <f>'Этап 2 - Потребление энергии'!A25</f>
        <v>Нефтепереработка</v>
      </c>
      <c r="B16" s="425" t="str">
        <f>'Уровень 1 - Суммарный итог'!F16</f>
        <v>Присутствует?</v>
      </c>
      <c r="C16" s="425" t="str">
        <f>'Уровень 1 - Суммарный итог'!G16</f>
        <v>Присутствует?</v>
      </c>
      <c r="D16" s="425" t="str">
        <f>'Уровень 1 - Суммарный итог'!H16</f>
        <v>Присутствует?</v>
      </c>
      <c r="E16" s="425" t="str">
        <f>'Уровень 1 - Суммарный итог'!I16</f>
        <v>Присутствует?</v>
      </c>
      <c r="F16" s="425" t="str">
        <f>'Уровень 1 - Суммарный итог'!J16</f>
        <v>Присутствует?</v>
      </c>
      <c r="G16" s="425" t="str">
        <f>'Уровень 1 - Суммарный итог'!K16</f>
        <v>Присутствует?</v>
      </c>
    </row>
    <row r="17" spans="1:7" ht="25">
      <c r="A17" s="263" t="str">
        <f>'Этап 2 - Потребление энергии'!A26</f>
        <v>Добыча и обработка природного газа.</v>
      </c>
      <c r="B17" s="425" t="str">
        <f>'Уровень 1 - Суммарный итог'!F17</f>
        <v>Присутствует?</v>
      </c>
      <c r="C17" s="425" t="str">
        <f>'Уровень 1 - Суммарный итог'!G17</f>
        <v>Присутствует?</v>
      </c>
      <c r="D17" s="425" t="str">
        <f>'Уровень 1 - Суммарный итог'!H17</f>
        <v>Присутствует?</v>
      </c>
      <c r="E17" s="425" t="str">
        <f>'Уровень 1 - Суммарный итог'!I17</f>
        <v>Присутствует?</v>
      </c>
      <c r="F17" s="425" t="str">
        <f>'Уровень 1 - Суммарный итог'!J17</f>
        <v>Присутствует?</v>
      </c>
      <c r="G17" s="425" t="str">
        <f>'Уровень 1 - Суммарный итог'!K17</f>
        <v>Присутствует?</v>
      </c>
    </row>
    <row r="18" spans="1:7" ht="13">
      <c r="A18" s="390" t="str">
        <f>'Этап 3 - Металлы - Сырье'!A5</f>
        <v>Производство первичного металла</v>
      </c>
      <c r="B18" s="362"/>
      <c r="C18" s="362"/>
      <c r="D18" s="362"/>
      <c r="E18" s="306"/>
      <c r="F18" s="306"/>
      <c r="G18" s="306"/>
    </row>
    <row r="19" spans="1:7" ht="25">
      <c r="A19" s="263" t="str">
        <f>'Этап 3 - Металлы - Сырье'!A6</f>
        <v>(Первичная) экстракция ртути и начальная обработка</v>
      </c>
      <c r="B19" s="425" t="str">
        <f>'Уровень 1 - Суммарный итог'!F19</f>
        <v>Присутствует?</v>
      </c>
      <c r="C19" s="425" t="str">
        <f>'Уровень 1 - Суммарный итог'!G19</f>
        <v>Присутствует?</v>
      </c>
      <c r="D19" s="425" t="str">
        <f>'Уровень 1 - Суммарный итог'!H19</f>
        <v>Присутствует?</v>
      </c>
      <c r="E19" s="425" t="str">
        <f>'Уровень 1 - Суммарный итог'!I19</f>
        <v>Присутствует?</v>
      </c>
      <c r="F19" s="425" t="str">
        <f>'Уровень 1 - Суммарный итог'!J19</f>
        <v>Присутствует?</v>
      </c>
      <c r="G19" s="425" t="str">
        <f>'Уровень 1 - Суммарный итог'!K19</f>
        <v>Присутствует?</v>
      </c>
    </row>
    <row r="20" spans="1:7" ht="25">
      <c r="A20" s="263" t="str">
        <f>'Этап 3 - Металлы - Сырье'!A7</f>
        <v>Производство цинка из продуктов обогащения</v>
      </c>
      <c r="B20" s="425" t="str">
        <f>'Уровень 1 - Суммарный итог'!F20</f>
        <v>Присутствует?</v>
      </c>
      <c r="C20" s="425" t="str">
        <f>'Уровень 1 - Суммарный итог'!G20</f>
        <v>Присутствует?</v>
      </c>
      <c r="D20" s="425" t="str">
        <f>'Уровень 1 - Суммарный итог'!H20</f>
        <v>Присутствует?</v>
      </c>
      <c r="E20" s="425" t="str">
        <f>'Уровень 1 - Суммарный итог'!I20</f>
        <v>Присутствует?</v>
      </c>
      <c r="F20" s="425" t="str">
        <f>'Уровень 1 - Суммарный итог'!J20</f>
        <v>Присутствует?</v>
      </c>
      <c r="G20" s="425" t="str">
        <f>'Уровень 1 - Суммарный итог'!K20</f>
        <v>Присутствует?</v>
      </c>
    </row>
    <row r="21" spans="1:7" ht="25">
      <c r="A21" s="263" t="str">
        <f>'Этап 3 - Металлы - Сырье'!A10</f>
        <v>Производство меди из продуктов обогащения</v>
      </c>
      <c r="B21" s="425" t="str">
        <f>'Уровень 1 - Суммарный итог'!F21</f>
        <v>Присутствует?</v>
      </c>
      <c r="C21" s="425" t="str">
        <f>'Уровень 1 - Суммарный итог'!G21</f>
        <v>Присутствует?</v>
      </c>
      <c r="D21" s="425" t="str">
        <f>'Уровень 1 - Суммарный итог'!H21</f>
        <v>Присутствует?</v>
      </c>
      <c r="E21" s="425" t="str">
        <f>'Уровень 1 - Суммарный итог'!I21</f>
        <v>Присутствует?</v>
      </c>
      <c r="F21" s="425" t="str">
        <f>'Уровень 1 - Суммарный итог'!J21</f>
        <v>Присутствует?</v>
      </c>
      <c r="G21" s="425" t="str">
        <f>'Уровень 1 - Суммарный итог'!K21</f>
        <v>Присутствует?</v>
      </c>
    </row>
    <row r="22" spans="1:7" ht="25">
      <c r="A22" s="263" t="str">
        <f>'Этап 3 - Металлы - Сырье'!A13</f>
        <v>Производство свинца из продуктов обогащения</v>
      </c>
      <c r="B22" s="425" t="str">
        <f>'Уровень 1 - Суммарный итог'!F22</f>
        <v>Присутствует?</v>
      </c>
      <c r="C22" s="425" t="str">
        <f>'Уровень 1 - Суммарный итог'!G22</f>
        <v>Присутствует?</v>
      </c>
      <c r="D22" s="425" t="str">
        <f>'Уровень 1 - Суммарный итог'!H22</f>
        <v>Присутствует?</v>
      </c>
      <c r="E22" s="425" t="str">
        <f>'Уровень 1 - Суммарный итог'!I22</f>
        <v>Присутствует?</v>
      </c>
      <c r="F22" s="425" t="str">
        <f>'Уровень 1 - Суммарный итог'!J22</f>
        <v>Присутствует?</v>
      </c>
      <c r="G22" s="425" t="str">
        <f>'Уровень 1 - Суммарный итог'!K22</f>
        <v>Присутствует?</v>
      </c>
    </row>
    <row r="23" spans="1:7" ht="25">
      <c r="A23" s="263" t="str">
        <f>'Этап 3 - Металлы - Сырье'!A16</f>
        <v>Добыча золота способами, кроме процесса амальгамирования ртути</v>
      </c>
      <c r="B23" s="425" t="str">
        <f>'Уровень 1 - Суммарный итог'!F23</f>
        <v>Присутствует?</v>
      </c>
      <c r="C23" s="425" t="str">
        <f>'Уровень 1 - Суммарный итог'!G23</f>
        <v>Присутствует?</v>
      </c>
      <c r="D23" s="425" t="str">
        <f>'Уровень 1 - Суммарный итог'!H23</f>
        <v>Присутствует?</v>
      </c>
      <c r="E23" s="425" t="str">
        <f>'Уровень 1 - Суммарный итог'!I23</f>
        <v>Присутствует?</v>
      </c>
      <c r="F23" s="425" t="str">
        <f>'Уровень 1 - Суммарный итог'!J23</f>
        <v>Присутствует?</v>
      </c>
      <c r="G23" s="425" t="str">
        <f>'Уровень 1 - Суммарный итог'!K23</f>
        <v>Присутствует?</v>
      </c>
    </row>
    <row r="24" spans="1:7" ht="25">
      <c r="A24" s="263" t="str">
        <f>'Этап 3 - Металлы - Сырье'!A17</f>
        <v>Производство глинозема из бокситов (производство алюминия)</v>
      </c>
      <c r="B24" s="425" t="str">
        <f>'Уровень 1 - Суммарный итог'!F24</f>
        <v>Присутствует?</v>
      </c>
      <c r="C24" s="425" t="str">
        <f>'Уровень 1 - Суммарный итог'!G24</f>
        <v>Присутствует?</v>
      </c>
      <c r="D24" s="425" t="str">
        <f>'Уровень 1 - Суммарный итог'!H24</f>
        <v>Присутствует?</v>
      </c>
      <c r="E24" s="425" t="str">
        <f>'Уровень 1 - Суммарный итог'!I24</f>
        <v>Присутствует?</v>
      </c>
      <c r="F24" s="425" t="str">
        <f>'Уровень 1 - Суммарный итог'!J24</f>
        <v>Присутствует?</v>
      </c>
      <c r="G24" s="425" t="str">
        <f>'Уровень 1 - Суммарный итог'!K24</f>
        <v>Присутствует?</v>
      </c>
    </row>
    <row r="25" spans="1:7" ht="25">
      <c r="A25" s="263" t="str">
        <f>'Этап 3 - Металлы - Сырье'!A18</f>
        <v>Производство первичного черного металла (производство чугуна в болванках)</v>
      </c>
      <c r="B25" s="425" t="str">
        <f>'Уровень 1 - Суммарный итог'!F25</f>
        <v>Присутствует?</v>
      </c>
      <c r="C25" s="425" t="str">
        <f>'Уровень 1 - Суммарный итог'!G25</f>
        <v>Присутствует?</v>
      </c>
      <c r="D25" s="425" t="str">
        <f>'Уровень 1 - Суммарный итог'!H25</f>
        <v>Присутствует?</v>
      </c>
      <c r="E25" s="425" t="str">
        <f>'Уровень 1 - Суммарный итог'!I25</f>
        <v>Присутствует?</v>
      </c>
      <c r="F25" s="425" t="str">
        <f>'Уровень 1 - Суммарный итог'!J25</f>
        <v>Присутствует?</v>
      </c>
      <c r="G25" s="425" t="str">
        <f>'Уровень 1 - Суммарный итог'!K25</f>
        <v>Присутствует?</v>
      </c>
    </row>
    <row r="26" spans="1:7" ht="25">
      <c r="A26" s="263" t="str">
        <f>'Этап 3 - Металлы - Сырье'!A19</f>
        <v>Добыча золота с помощью процесса амальгамирования ртути - Из недробленой руды</v>
      </c>
      <c r="B26" s="425" t="str">
        <f>'Уровень 1 - Суммарный итог'!F26</f>
        <v>Присутствует?</v>
      </c>
      <c r="C26" s="425" t="str">
        <f>'Уровень 1 - Суммарный итог'!G26</f>
        <v>Присутствует?</v>
      </c>
      <c r="D26" s="425" t="str">
        <f>'Уровень 1 - Суммарный итог'!H26</f>
        <v>Присутствует?</v>
      </c>
      <c r="E26" s="425" t="str">
        <f>'Уровень 1 - Суммарный итог'!I26</f>
        <v>Присутствует?</v>
      </c>
      <c r="F26" s="425" t="str">
        <f>'Уровень 1 - Суммарный итог'!J26</f>
        <v>Присутствует?</v>
      </c>
      <c r="G26" s="425" t="str">
        <f>'Уровень 1 - Суммарный итог'!K26</f>
        <v>Присутствует?</v>
      </c>
    </row>
    <row r="27" spans="1:7" ht="25">
      <c r="A27" s="263" t="str">
        <f>'Этап 3 - Металлы - Сырье'!A22</f>
        <v>Добыча золота с помощью процесса амальгамирования ртути - Из обогащенной руды</v>
      </c>
      <c r="B27" s="425" t="str">
        <f>'Уровень 1 - Суммарный итог'!F27</f>
        <v>Присутствует?</v>
      </c>
      <c r="C27" s="425" t="str">
        <f>'Уровень 1 - Суммарный итог'!G27</f>
        <v>Присутствует?</v>
      </c>
      <c r="D27" s="425" t="str">
        <f>'Уровень 1 - Суммарный итог'!H27</f>
        <v>Присутствует?</v>
      </c>
      <c r="E27" s="425" t="str">
        <f>'Уровень 1 - Суммарный итог'!I27</f>
        <v>Присутствует?</v>
      </c>
      <c r="F27" s="425" t="str">
        <f>'Уровень 1 - Суммарный итог'!J27</f>
        <v>Присутствует?</v>
      </c>
      <c r="G27" s="425" t="str">
        <f>'Уровень 1 - Суммарный итог'!K27</f>
        <v>Присутствует?</v>
      </c>
    </row>
    <row r="28" spans="1:7" ht="13">
      <c r="A28" s="390" t="str">
        <f>'Этап 3 - Металлы - Сырье'!A25</f>
        <v>Производство других материалов</v>
      </c>
      <c r="B28" s="362"/>
      <c r="C28" s="362"/>
      <c r="D28" s="362"/>
      <c r="E28" s="306"/>
      <c r="F28" s="306"/>
      <c r="G28" s="306"/>
    </row>
    <row r="29" spans="1:7" ht="25">
      <c r="A29" s="263" t="s">
        <v>825</v>
      </c>
      <c r="B29" s="425" t="str">
        <f>'Уровень 1 - Суммарный итог'!F29</f>
        <v>Присутствует?</v>
      </c>
      <c r="C29" s="425" t="str">
        <f>'Уровень 1 - Суммарный итог'!G29</f>
        <v>Присутствует?</v>
      </c>
      <c r="D29" s="425" t="str">
        <f>'Уровень 1 - Суммарный итог'!H29</f>
        <v>Присутствует?</v>
      </c>
      <c r="E29" s="425" t="str">
        <f>'Уровень 1 - Суммарный итог'!I29</f>
        <v>Присутствует?</v>
      </c>
      <c r="F29" s="425" t="str">
        <f>'Уровень 1 - Суммарный итог'!J29</f>
        <v>Присутствует?</v>
      </c>
      <c r="G29" s="425" t="str">
        <f>'Уровень 1 - Суммарный итог'!K29</f>
        <v>Присутствует?</v>
      </c>
    </row>
    <row r="30" spans="1:7" ht="25">
      <c r="A30" s="263" t="str">
        <f>'Этап 3 - Металлы - Сырье'!A31</f>
        <v>Производство целлюлозы и бумаги</v>
      </c>
      <c r="B30" s="425" t="str">
        <f>'Уровень 1 - Суммарный итог'!F30</f>
        <v>Присутствует?</v>
      </c>
      <c r="C30" s="425" t="str">
        <f>'Уровень 1 - Суммарный итог'!G30</f>
        <v>Присутствует?</v>
      </c>
      <c r="D30" s="425" t="str">
        <f>'Уровень 1 - Суммарный итог'!H30</f>
        <v>Присутствует?</v>
      </c>
      <c r="E30" s="425" t="str">
        <f>'Уровень 1 - Суммарный итог'!I30</f>
        <v>Присутствует?</v>
      </c>
      <c r="F30" s="425" t="str">
        <f>'Уровень 1 - Суммарный итог'!J30</f>
        <v>Присутствует?</v>
      </c>
      <c r="G30" s="425" t="str">
        <f>'Уровень 1 - Суммарный итог'!K30</f>
        <v>Присутствует?</v>
      </c>
    </row>
    <row r="31" spans="1:7" ht="13">
      <c r="A31" s="390" t="str">
        <f>'Этап 4-Пром. прим. Hg'!A4</f>
        <v>Производство химических веществ</v>
      </c>
      <c r="B31" s="362"/>
      <c r="C31" s="362"/>
      <c r="D31" s="362"/>
      <c r="E31" s="306"/>
      <c r="F31" s="306"/>
      <c r="G31" s="306"/>
    </row>
    <row r="32" spans="1:7" ht="25">
      <c r="A32" s="263" t="str">
        <f>'Этап 4-Пром. прим. Hg'!A5</f>
        <v>Производство хлорщелочи с использованием ртутных электролизеров</v>
      </c>
      <c r="B32" s="425" t="str">
        <f>'Уровень 1 - Суммарный итог'!F32</f>
        <v>Присутствует?</v>
      </c>
      <c r="C32" s="425" t="str">
        <f>'Уровень 1 - Суммарный итог'!G32</f>
        <v>Присутствует?</v>
      </c>
      <c r="D32" s="425" t="str">
        <f>'Уровень 1 - Суммарный итог'!H32</f>
        <v>Присутствует?</v>
      </c>
      <c r="E32" s="425" t="str">
        <f>'Уровень 1 - Суммарный итог'!I32</f>
        <v>Присутствует?</v>
      </c>
      <c r="F32" s="425" t="str">
        <f>'Уровень 1 - Суммарный итог'!J32</f>
        <v>Присутствует?</v>
      </c>
      <c r="G32" s="425" t="str">
        <f>'Уровень 1 - Суммарный итог'!K32</f>
        <v>Присутствует?</v>
      </c>
    </row>
    <row r="33" spans="1:7" ht="25">
      <c r="A33" s="263" t="str">
        <f>'Этап 4-Пром. прим. Hg'!A6</f>
        <v>Производство винилхлорида с помощью ртутного катализатора</v>
      </c>
      <c r="B33" s="425" t="str">
        <f>'Уровень 1 - Суммарный итог'!F33</f>
        <v>Присутствует?</v>
      </c>
      <c r="C33" s="425" t="str">
        <f>'Уровень 1 - Суммарный итог'!G33</f>
        <v>Присутствует?</v>
      </c>
      <c r="D33" s="425" t="str">
        <f>'Уровень 1 - Суммарный итог'!H33</f>
        <v>Присутствует?</v>
      </c>
      <c r="E33" s="425" t="str">
        <f>'Уровень 1 - Суммарный итог'!I33</f>
        <v>Присутствует?</v>
      </c>
      <c r="F33" s="425" t="str">
        <f>'Уровень 1 - Суммарный итог'!J33</f>
        <v>Присутствует?</v>
      </c>
      <c r="G33" s="425" t="str">
        <f>'Уровень 1 - Суммарный итог'!K33</f>
        <v>Присутствует?</v>
      </c>
    </row>
    <row r="34" spans="1:7" ht="25">
      <c r="A34" s="263" t="str">
        <f>'Этап 4-Пром. прим. Hg'!A7</f>
        <v>Производство ацетальдегида с помощью ртутного катализатора</v>
      </c>
      <c r="B34" s="425" t="str">
        <f>'Уровень 1 - Суммарный итог'!F34</f>
        <v>Присутствует?</v>
      </c>
      <c r="C34" s="425" t="str">
        <f>'Уровень 1 - Суммарный итог'!G34</f>
        <v>Присутствует?</v>
      </c>
      <c r="D34" s="425" t="str">
        <f>'Уровень 1 - Суммарный итог'!H34</f>
        <v>Присутствует?</v>
      </c>
      <c r="E34" s="425" t="str">
        <f>'Уровень 1 - Суммарный итог'!I34</f>
        <v>Присутствует?</v>
      </c>
      <c r="F34" s="425" t="str">
        <f>'Уровень 1 - Суммарный итог'!J34</f>
        <v>Присутствует?</v>
      </c>
      <c r="G34" s="425" t="str">
        <f>'Уровень 1 - Суммарный итог'!K34</f>
        <v>Присутствует?</v>
      </c>
    </row>
    <row r="35" spans="1:7" ht="13">
      <c r="A35" s="390" t="str">
        <f>'Этап 4-Пром. прим. Hg'!A9</f>
        <v>Производство продукции с содержанием ртути</v>
      </c>
      <c r="B35" s="362"/>
      <c r="C35" s="362"/>
      <c r="D35" s="362"/>
      <c r="E35" s="306"/>
      <c r="F35" s="306"/>
      <c r="G35" s="306"/>
    </row>
    <row r="36" spans="1:7" ht="25">
      <c r="A36" s="263" t="str">
        <f>'Этап 4-Пром. прим. Hg'!A10</f>
        <v xml:space="preserve">Ртутные термометры (медицинские, воздушные, лабораторные, промышленные и т. п.) </v>
      </c>
      <c r="B36" s="425" t="str">
        <f>'Уровень 1 - Суммарный итог'!F36</f>
        <v>Присутствует?</v>
      </c>
      <c r="C36" s="425" t="str">
        <f>'Уровень 1 - Суммарный итог'!G36</f>
        <v>Присутствует?</v>
      </c>
      <c r="D36" s="425" t="str">
        <f>'Уровень 1 - Суммарный итог'!H36</f>
        <v>Присутствует?</v>
      </c>
      <c r="E36" s="425" t="str">
        <f>'Уровень 1 - Суммарный итог'!I36</f>
        <v>Присутствует?</v>
      </c>
      <c r="F36" s="425" t="str">
        <f>'Уровень 1 - Суммарный итог'!J36</f>
        <v>Присутствует?</v>
      </c>
      <c r="G36" s="425" t="str">
        <f>'Уровень 1 - Суммарный итог'!K36</f>
        <v>Присутствует?</v>
      </c>
    </row>
    <row r="37" spans="1:7" ht="25">
      <c r="A37" s="263" t="str">
        <f>'Этап 4-Пром. прим. Hg'!A11</f>
        <v xml:space="preserve">Электрические переключатели и реле с ртутью </v>
      </c>
      <c r="B37" s="425" t="str">
        <f>'Уровень 1 - Суммарный итог'!F37</f>
        <v>Присутствует?</v>
      </c>
      <c r="C37" s="425" t="str">
        <f>'Уровень 1 - Суммарный итог'!G37</f>
        <v>Присутствует?</v>
      </c>
      <c r="D37" s="425" t="str">
        <f>'Уровень 1 - Суммарный итог'!H37</f>
        <v>Присутствует?</v>
      </c>
      <c r="E37" s="425" t="str">
        <f>'Уровень 1 - Суммарный итог'!I37</f>
        <v>Присутствует?</v>
      </c>
      <c r="F37" s="425" t="str">
        <f>'Уровень 1 - Суммарный итог'!J37</f>
        <v>Присутствует?</v>
      </c>
      <c r="G37" s="425" t="str">
        <f>'Уровень 1 - Суммарный итог'!K37</f>
        <v>Присутствует?</v>
      </c>
    </row>
    <row r="38" spans="1:7" ht="25">
      <c r="A38" s="263" t="str">
        <f>'Этап 4-Пром. прим. Hg'!A12</f>
        <v>Источники света с ртутью (флуоресцентные, компактные, прочие: см. руководство)</v>
      </c>
      <c r="B38" s="425" t="str">
        <f>'Уровень 1 - Суммарный итог'!F38</f>
        <v>Присутствует?</v>
      </c>
      <c r="C38" s="425" t="str">
        <f>'Уровень 1 - Суммарный итог'!G38</f>
        <v>Присутствует?</v>
      </c>
      <c r="D38" s="425" t="str">
        <f>'Уровень 1 - Суммарный итог'!H38</f>
        <v>Присутствует?</v>
      </c>
      <c r="E38" s="425" t="str">
        <f>'Уровень 1 - Суммарный итог'!I38</f>
        <v>Присутствует?</v>
      </c>
      <c r="F38" s="425" t="str">
        <f>'Уровень 1 - Суммарный итог'!J38</f>
        <v>Присутствует?</v>
      </c>
      <c r="G38" s="425" t="str">
        <f>'Уровень 1 - Суммарный итог'!K38</f>
        <v>Присутствует?</v>
      </c>
    </row>
    <row r="39" spans="1:7" ht="25">
      <c r="A39" s="263" t="str">
        <f>'Этап 4-Пром. прим. Hg'!A13</f>
        <v xml:space="preserve">Ртутные батареи </v>
      </c>
      <c r="B39" s="425" t="str">
        <f>'Уровень 1 - Суммарный итог'!F39</f>
        <v>Присутствует?</v>
      </c>
      <c r="C39" s="425" t="str">
        <f>'Уровень 1 - Суммарный итог'!G39</f>
        <v>Присутствует?</v>
      </c>
      <c r="D39" s="425" t="str">
        <f>'Уровень 1 - Суммарный итог'!H39</f>
        <v>Присутствует?</v>
      </c>
      <c r="E39" s="425" t="str">
        <f>'Уровень 1 - Суммарный итог'!I39</f>
        <v>Присутствует?</v>
      </c>
      <c r="F39" s="425" t="str">
        <f>'Уровень 1 - Суммарный итог'!J39</f>
        <v>Присутствует?</v>
      </c>
      <c r="G39" s="425" t="str">
        <f>'Уровень 1 - Суммарный итог'!K39</f>
        <v>Присутствует?</v>
      </c>
    </row>
    <row r="40" spans="1:7" ht="25">
      <c r="A40" s="263" t="str">
        <f>'Этап 4-Пром. прим. Hg'!A14</f>
        <v xml:space="preserve">Ртутные манометры и датчики </v>
      </c>
      <c r="B40" s="425" t="str">
        <f>'Уровень 1 - Суммарный итог'!F40</f>
        <v>Присутствует?</v>
      </c>
      <c r="C40" s="425" t="str">
        <f>'Уровень 1 - Суммарный итог'!G40</f>
        <v>Присутствует?</v>
      </c>
      <c r="D40" s="425" t="str">
        <f>'Уровень 1 - Суммарный итог'!H40</f>
        <v>Присутствует?</v>
      </c>
      <c r="E40" s="425" t="str">
        <f>'Уровень 1 - Суммарный итог'!I40</f>
        <v>Присутствует?</v>
      </c>
      <c r="F40" s="425" t="str">
        <f>'Уровень 1 - Суммарный итог'!J40</f>
        <v>Присутствует?</v>
      </c>
      <c r="G40" s="425" t="str">
        <f>'Уровень 1 - Суммарный итог'!K40</f>
        <v>Присутствует?</v>
      </c>
    </row>
    <row r="41" spans="1:7" ht="25">
      <c r="A41" s="263" t="str">
        <f>'Этап 4-Пром. прим. Hg'!A15</f>
        <v xml:space="preserve">Ртутьсодержащие биоциды и пестициды </v>
      </c>
      <c r="B41" s="425" t="str">
        <f>'Уровень 1 - Суммарный итог'!F41</f>
        <v>Присутствует?</v>
      </c>
      <c r="C41" s="425" t="str">
        <f>'Уровень 1 - Суммарный итог'!G41</f>
        <v>Присутствует?</v>
      </c>
      <c r="D41" s="425" t="str">
        <f>'Уровень 1 - Суммарный итог'!H41</f>
        <v>Присутствует?</v>
      </c>
      <c r="E41" s="425" t="str">
        <f>'Уровень 1 - Суммарный итог'!I41</f>
        <v>Присутствует?</v>
      </c>
      <c r="F41" s="425" t="str">
        <f>'Уровень 1 - Суммарный итог'!J41</f>
        <v>Присутствует?</v>
      </c>
      <c r="G41" s="425" t="str">
        <f>'Уровень 1 - Суммарный итог'!K41</f>
        <v>Присутствует?</v>
      </c>
    </row>
    <row r="42" spans="1:7" ht="25">
      <c r="A42" s="263" t="str">
        <f>'Этап 4-Пром. прим. Hg'!A16</f>
        <v xml:space="preserve">Ртутьсодержащие краски </v>
      </c>
      <c r="B42" s="425" t="str">
        <f>'Уровень 1 - Суммарный итог'!F42</f>
        <v>Присутствует?</v>
      </c>
      <c r="C42" s="425" t="str">
        <f>'Уровень 1 - Суммарный итог'!G42</f>
        <v>Присутствует?</v>
      </c>
      <c r="D42" s="425" t="str">
        <f>'Уровень 1 - Суммарный итог'!H42</f>
        <v>Присутствует?</v>
      </c>
      <c r="E42" s="425" t="str">
        <f>'Уровень 1 - Суммарный итог'!I42</f>
        <v>Присутствует?</v>
      </c>
      <c r="F42" s="425" t="str">
        <f>'Уровень 1 - Суммарный итог'!J42</f>
        <v>Присутствует?</v>
      </c>
      <c r="G42" s="425" t="str">
        <f>'Уровень 1 - Суммарный итог'!K42</f>
        <v>Присутствует?</v>
      </c>
    </row>
    <row r="43" spans="1:7" ht="25">
      <c r="A43" s="263" t="str">
        <f>'Этап 4-Пром. прим. Hg'!A17</f>
        <v xml:space="preserve">Кремы для отбеливания кожи и мыло с содержанием элементов ртути </v>
      </c>
      <c r="B43" s="425" t="str">
        <f>'Уровень 1 - Суммарный итог'!F43</f>
        <v>Присутствует?</v>
      </c>
      <c r="C43" s="425" t="str">
        <f>'Уровень 1 - Суммарный итог'!G43</f>
        <v>Присутствует?</v>
      </c>
      <c r="D43" s="425" t="str">
        <f>'Уровень 1 - Суммарный итог'!H43</f>
        <v>Присутствует?</v>
      </c>
      <c r="E43" s="425" t="str">
        <f>'Уровень 1 - Суммарный итог'!I43</f>
        <v>Присутствует?</v>
      </c>
      <c r="F43" s="425" t="str">
        <f>'Уровень 1 - Суммарный итог'!J43</f>
        <v>Присутствует?</v>
      </c>
      <c r="G43" s="425" t="str">
        <f>'Уровень 1 - Суммарный итог'!K43</f>
        <v>Присутствует?</v>
      </c>
    </row>
    <row r="44" spans="1:7" ht="26">
      <c r="A44" s="390" t="str">
        <f>'Этап 6-Hg-продукция - вещ-ва'!A6</f>
        <v>Использование и утилизация ртутьсодержащей продукции</v>
      </c>
      <c r="B44" s="362"/>
      <c r="C44" s="362"/>
      <c r="D44" s="362"/>
      <c r="E44" s="306"/>
      <c r="F44" s="306"/>
      <c r="G44" s="306"/>
    </row>
    <row r="45" spans="1:7" ht="25">
      <c r="A45" s="263" t="str">
        <f>'Этап 6-Hg-продукция - вещ-ва'!A7</f>
        <v>Амальгама для зубных пломб («серебряные» пломбы)</v>
      </c>
      <c r="B45" s="425" t="str">
        <f>'Уровень 1 - Суммарный итог'!F45</f>
        <v>Присутствует?</v>
      </c>
      <c r="C45" s="425" t="str">
        <f>'Уровень 1 - Суммарный итог'!G45</f>
        <v>Присутствует?</v>
      </c>
      <c r="D45" s="425" t="str">
        <f>'Уровень 1 - Суммарный итог'!H45</f>
        <v>Присутствует?</v>
      </c>
      <c r="E45" s="425" t="str">
        <f>'Уровень 1 - Суммарный итог'!I45</f>
        <v>Присутствует?</v>
      </c>
      <c r="F45" s="425" t="str">
        <f>'Уровень 1 - Суммарный итог'!J45</f>
        <v>Присутствует?</v>
      </c>
      <c r="G45" s="425" t="str">
        <f>'Уровень 1 - Суммарный итог'!K45</f>
        <v>Присутствует?</v>
      </c>
    </row>
    <row r="46" spans="1:7" ht="25">
      <c r="A46" s="263" t="str">
        <f>'Этап 6-Hg-продукция - вещ-ва'!A15</f>
        <v>Термометры</v>
      </c>
      <c r="B46" s="425" t="str">
        <f>'Уровень 1 - Суммарный итог'!F46</f>
        <v>Присутствует?</v>
      </c>
      <c r="C46" s="425" t="str">
        <f>'Уровень 1 - Суммарный итог'!G46</f>
        <v>Присутствует?</v>
      </c>
      <c r="D46" s="425" t="str">
        <f>'Уровень 1 - Суммарный итог'!H46</f>
        <v>Присутствует?</v>
      </c>
      <c r="E46" s="425" t="str">
        <f>'Уровень 1 - Суммарный итог'!I46</f>
        <v>Присутствует?</v>
      </c>
      <c r="F46" s="425" t="str">
        <f>'Уровень 1 - Суммарный итог'!J46</f>
        <v>Присутствует?</v>
      </c>
      <c r="G46" s="425" t="str">
        <f>'Уровень 1 - Суммарный итог'!K46</f>
        <v>Присутствует?</v>
      </c>
    </row>
    <row r="47" spans="1:7" ht="25">
      <c r="A47" s="263" t="str">
        <f>'Этап 6-Hg-продукция - вещ-ва'!A20</f>
        <v>Электрические переключатели и реле с ртутью</v>
      </c>
      <c r="B47" s="425" t="str">
        <f>'Уровень 1 - Суммарный итог'!F47</f>
        <v>Присутствует?</v>
      </c>
      <c r="C47" s="425" t="str">
        <f>'Уровень 1 - Суммарный итог'!G47</f>
        <v>Присутствует?</v>
      </c>
      <c r="D47" s="425" t="str">
        <f>'Уровень 1 - Суммарный итог'!H47</f>
        <v>Присутствует?</v>
      </c>
      <c r="E47" s="425" t="str">
        <f>'Уровень 1 - Суммарный итог'!I47</f>
        <v>Присутствует?</v>
      </c>
      <c r="F47" s="425" t="str">
        <f>'Уровень 1 - Суммарный итог'!J47</f>
        <v>Присутствует?</v>
      </c>
      <c r="G47" s="425" t="str">
        <f>'Уровень 1 - Суммарный итог'!K47</f>
        <v>Присутствует?</v>
      </c>
    </row>
    <row r="48" spans="1:7" ht="25">
      <c r="A48" s="263" t="str">
        <f>'Этап 6-Hg-продукция - вещ-ва'!A23</f>
        <v>Ртутьсодержащие источники света</v>
      </c>
      <c r="B48" s="425" t="str">
        <f>'Уровень 1 - Суммарный итог'!F48</f>
        <v>Присутствует?</v>
      </c>
      <c r="C48" s="425" t="str">
        <f>'Уровень 1 - Суммарный итог'!G48</f>
        <v>Присутствует?</v>
      </c>
      <c r="D48" s="425" t="str">
        <f>'Уровень 1 - Суммарный итог'!H48</f>
        <v>Присутствует?</v>
      </c>
      <c r="E48" s="425" t="str">
        <f>'Уровень 1 - Суммарный итог'!I48</f>
        <v>Присутствует?</v>
      </c>
      <c r="F48" s="425" t="str">
        <f>'Уровень 1 - Суммарный итог'!J48</f>
        <v>Присутствует?</v>
      </c>
      <c r="G48" s="425" t="str">
        <f>'Уровень 1 - Суммарный итог'!K48</f>
        <v>Присутствует?</v>
      </c>
    </row>
    <row r="49" spans="1:7" ht="25">
      <c r="A49" s="365" t="str">
        <f>'Этап 6-Hg-продукция - вещ-ва'!A28</f>
        <v>Ртутные батареи</v>
      </c>
      <c r="B49" s="425" t="str">
        <f>'Уровень 1 - Суммарный итог'!F49</f>
        <v>Присутствует?</v>
      </c>
      <c r="C49" s="425" t="str">
        <f>'Уровень 1 - Суммарный итог'!G49</f>
        <v>Присутствует?</v>
      </c>
      <c r="D49" s="425" t="str">
        <f>'Уровень 1 - Суммарный итог'!H49</f>
        <v>Присутствует?</v>
      </c>
      <c r="E49" s="425" t="str">
        <f>'Уровень 1 - Суммарный итог'!I49</f>
        <v>Присутствует?</v>
      </c>
      <c r="F49" s="425" t="str">
        <f>'Уровень 1 - Суммарный итог'!J49</f>
        <v>Присутствует?</v>
      </c>
      <c r="G49" s="425" t="str">
        <f>'Уровень 1 - Суммарный итог'!K49</f>
        <v>Присутствует?</v>
      </c>
    </row>
    <row r="50" spans="1:7" ht="25">
      <c r="A50" s="263" t="str">
        <f>'Этап 6-Hg-продукция - вещ-ва'!A33</f>
        <v>Полиуретан (PU, PUR), полученный с помощью ртутного катализатора</v>
      </c>
      <c r="B50" s="425" t="str">
        <f>'Уровень 1 - Суммарный итог'!F50</f>
        <v>-</v>
      </c>
      <c r="C50" s="425" t="str">
        <f>'Уровень 1 - Суммарный итог'!G50</f>
        <v>-</v>
      </c>
      <c r="D50" s="425" t="str">
        <f>'Уровень 1 - Суммарный итог'!H50</f>
        <v>-</v>
      </c>
      <c r="E50" s="425" t="str">
        <f>'Уровень 1 - Суммарный итог'!I50</f>
        <v>-</v>
      </c>
      <c r="F50" s="425" t="str">
        <f>'Уровень 1 - Суммарный итог'!J50</f>
        <v>-</v>
      </c>
      <c r="G50" s="425" t="str">
        <f>'Уровень 1 - Суммарный итог'!K50</f>
        <v>-</v>
      </c>
    </row>
    <row r="51" spans="1:7" ht="25">
      <c r="A51" s="263" t="str">
        <f>'Этап 6-Hg-продукция - вещ-ва'!A36</f>
        <v>Краски с ртутьсодержащими стабилизаторами</v>
      </c>
      <c r="B51" s="425" t="str">
        <f>'Уровень 1 - Суммарный итог'!F51</f>
        <v>Присутствует?</v>
      </c>
      <c r="C51" s="425" t="str">
        <f>'Уровень 1 - Суммарный итог'!G51</f>
        <v>Присутствует?</v>
      </c>
      <c r="D51" s="425" t="str">
        <f>'Уровень 1 - Суммарный итог'!H51</f>
        <v>Присутствует?</v>
      </c>
      <c r="E51" s="425" t="str">
        <f>'Уровень 1 - Суммарный итог'!I51</f>
        <v>Присутствует?</v>
      </c>
      <c r="F51" s="425" t="str">
        <f>'Уровень 1 - Суммарный итог'!J51</f>
        <v>Присутствует?</v>
      </c>
      <c r="G51" s="425" t="str">
        <f>'Уровень 1 - Суммарный итог'!K51</f>
        <v>Присутствует?</v>
      </c>
    </row>
    <row r="52" spans="1:7" ht="25">
      <c r="A52" s="263" t="str">
        <f>'Этап 6-Hg-продукция - вещ-ва'!A38</f>
        <v>Кремы для отбеливания кожи и мыло с содержанием элементов ртути</v>
      </c>
      <c r="B52" s="425" t="str">
        <f>'Уровень 1 - Суммарный итог'!F52</f>
        <v>Присутствует?</v>
      </c>
      <c r="C52" s="425" t="str">
        <f>'Уровень 1 - Суммарный итог'!G52</f>
        <v>Присутствует?</v>
      </c>
      <c r="D52" s="425" t="str">
        <f>'Уровень 1 - Суммарный итог'!H52</f>
        <v>Присутствует?</v>
      </c>
      <c r="E52" s="425" t="str">
        <f>'Уровень 1 - Суммарный итог'!I52</f>
        <v>Присутствует?</v>
      </c>
      <c r="F52" s="425" t="str">
        <f>'Уровень 1 - Суммарный итог'!J52</f>
        <v>Присутствует?</v>
      </c>
      <c r="G52" s="425" t="str">
        <f>'Уровень 1 - Суммарный итог'!K52</f>
        <v>Присутствует?</v>
      </c>
    </row>
    <row r="53" spans="1:7" ht="25">
      <c r="A53" s="263" t="str">
        <f>'Этап 6-Hg-продукция - вещ-ва'!A40</f>
        <v>Медицинские тонометры (ртутные сфигмоманометры)</v>
      </c>
      <c r="B53" s="425" t="str">
        <f>'Уровень 1 - Суммарный итог'!F53</f>
        <v>Присутствует?</v>
      </c>
      <c r="C53" s="425" t="str">
        <f>'Уровень 1 - Суммарный итог'!G53</f>
        <v>Присутствует?</v>
      </c>
      <c r="D53" s="425" t="str">
        <f>'Уровень 1 - Суммарный итог'!H53</f>
        <v>Присутствует?</v>
      </c>
      <c r="E53" s="425" t="str">
        <f>'Уровень 1 - Суммарный итог'!I53</f>
        <v>Присутствует?</v>
      </c>
      <c r="F53" s="425" t="str">
        <f>'Уровень 1 - Суммарный итог'!J53</f>
        <v>Присутствует?</v>
      </c>
      <c r="G53" s="425" t="str">
        <f>'Уровень 1 - Суммарный итог'!K53</f>
        <v>Присутствует?</v>
      </c>
    </row>
    <row r="54" spans="1:7" ht="25">
      <c r="A54" s="263" t="str">
        <f>'Этап 6-Hg-продукция - вещ-ва'!A42</f>
        <v>Прочие ртутные манометры и датчики</v>
      </c>
      <c r="B54" s="425" t="str">
        <f>'Уровень 1 - Суммарный итог'!F54</f>
        <v>Присутствует?</v>
      </c>
      <c r="C54" s="425" t="str">
        <f>'Уровень 1 - Суммарный итог'!G54</f>
        <v>Присутствует?</v>
      </c>
      <c r="D54" s="425" t="str">
        <f>'Уровень 1 - Суммарный итог'!H54</f>
        <v>Присутствует?</v>
      </c>
      <c r="E54" s="425" t="str">
        <f>'Уровень 1 - Суммарный итог'!I54</f>
        <v>Присутствует?</v>
      </c>
      <c r="F54" s="425" t="str">
        <f>'Уровень 1 - Суммарный итог'!J54</f>
        <v>Присутствует?</v>
      </c>
      <c r="G54" s="425" t="str">
        <f>'Уровень 1 - Суммарный итог'!K54</f>
        <v>Присутствует?</v>
      </c>
    </row>
    <row r="55" spans="1:7" ht="25">
      <c r="A55" s="263" t="str">
        <f>'Этап 6-Hg-продукция - вещ-ва'!A45</f>
        <v>Химические вещества для лабораторий</v>
      </c>
      <c r="B55" s="425" t="str">
        <f>'Уровень 1 - Суммарный итог'!F55</f>
        <v>Присутствует?</v>
      </c>
      <c r="C55" s="425" t="str">
        <f>'Уровень 1 - Суммарный итог'!G55</f>
        <v>Присутствует?</v>
      </c>
      <c r="D55" s="425" t="str">
        <f>'Уровень 1 - Суммарный итог'!H55</f>
        <v>Присутствует?</v>
      </c>
      <c r="E55" s="425" t="str">
        <f>'Уровень 1 - Суммарный итог'!I55</f>
        <v>Присутствует?</v>
      </c>
      <c r="F55" s="425" t="str">
        <f>'Уровень 1 - Суммарный итог'!J55</f>
        <v>Присутствует?</v>
      </c>
      <c r="G55" s="425" t="str">
        <f>'Уровень 1 - Суммарный итог'!K55</f>
        <v>Присутствует?</v>
      </c>
    </row>
    <row r="56" spans="1:7" ht="25">
      <c r="A56" s="263" t="str">
        <f>'Этап 6-Hg-продукция - вещ-ва'!A48</f>
        <v xml:space="preserve">Прочее ртутьсодержащее лабораторное и медицинское оборудование </v>
      </c>
      <c r="B56" s="425" t="str">
        <f>'Уровень 1 - Суммарный итог'!F56</f>
        <v>Присутствует?</v>
      </c>
      <c r="C56" s="425" t="str">
        <f>'Уровень 1 - Суммарный итог'!G56</f>
        <v>Присутствует?</v>
      </c>
      <c r="D56" s="425" t="str">
        <f>'Уровень 1 - Суммарный итог'!H56</f>
        <v>Присутствует?</v>
      </c>
      <c r="E56" s="425" t="str">
        <f>'Уровень 1 - Суммарный итог'!I56</f>
        <v>Присутствует?</v>
      </c>
      <c r="F56" s="425" t="str">
        <f>'Уровень 1 - Суммарный итог'!J56</f>
        <v>Присутствует?</v>
      </c>
      <c r="G56" s="425" t="str">
        <f>'Уровень 1 - Суммарный итог'!K56</f>
        <v>Присутствует?</v>
      </c>
    </row>
    <row r="57" spans="1:7" ht="13">
      <c r="A57" s="390" t="str">
        <f>'Этап5-Обраб. отходов+перераб.'!A8</f>
        <v>Производство восстановленных металлов</v>
      </c>
      <c r="B57" s="362"/>
      <c r="C57" s="362"/>
      <c r="D57" s="362"/>
      <c r="E57" s="306"/>
      <c r="F57" s="306"/>
      <c r="G57" s="306"/>
    </row>
    <row r="58" spans="1:7" ht="25">
      <c r="A58" s="263" t="str">
        <f>'Этап5-Обраб. отходов+перераб.'!A9</f>
        <v>Производство повторно используемой ртути («вторичное производство»)</v>
      </c>
      <c r="B58" s="425" t="str">
        <f>'Уровень 1 - Суммарный итог'!F58</f>
        <v>Присутствует?</v>
      </c>
      <c r="C58" s="425" t="str">
        <f>'Уровень 1 - Суммарный итог'!G58</f>
        <v>Присутствует?</v>
      </c>
      <c r="D58" s="425" t="str">
        <f>'Уровень 1 - Суммарный итог'!H58</f>
        <v>Присутствует?</v>
      </c>
      <c r="E58" s="425" t="str">
        <f>'Уровень 1 - Суммарный итог'!I58</f>
        <v>Присутствует?</v>
      </c>
      <c r="F58" s="425" t="str">
        <f>'Уровень 1 - Суммарный итог'!J58</f>
        <v>Присутствует?</v>
      </c>
      <c r="G58" s="425" t="str">
        <f>'Уровень 1 - Суммарный итог'!K58</f>
        <v>Присутствует?</v>
      </c>
    </row>
    <row r="59" spans="1:7" ht="25">
      <c r="A59" s="263" t="str">
        <f>'Этап5-Обраб. отходов+перераб.'!A10</f>
        <v>Производство повторно используемых черных металлов (чугун и сталь)</v>
      </c>
      <c r="B59" s="425" t="str">
        <f>'Уровень 1 - Суммарный итог'!F59</f>
        <v>Присутствует?</v>
      </c>
      <c r="C59" s="425" t="str">
        <f>'Уровень 1 - Суммарный итог'!G59</f>
        <v>Присутствует?</v>
      </c>
      <c r="D59" s="425" t="str">
        <f>'Уровень 1 - Суммарный итог'!H59</f>
        <v>Присутствует?</v>
      </c>
      <c r="E59" s="425" t="str">
        <f>'Уровень 1 - Суммарный итог'!I59</f>
        <v>Присутствует?</v>
      </c>
      <c r="F59" s="425" t="str">
        <f>'Уровень 1 - Суммарный итог'!J59</f>
        <v>Присутствует?</v>
      </c>
      <c r="G59" s="425" t="str">
        <f>'Уровень 1 - Суммарный итог'!K59</f>
        <v>Присутствует?</v>
      </c>
    </row>
    <row r="60" spans="1:7" ht="13">
      <c r="A60" s="390" t="str">
        <f>'Этап5-Обраб. отходов+перераб.'!A12</f>
        <v>Сжигание отходов</v>
      </c>
      <c r="B60" s="362"/>
      <c r="C60" s="362"/>
      <c r="D60" s="362"/>
      <c r="E60" s="306"/>
      <c r="F60" s="306"/>
      <c r="G60" s="306"/>
    </row>
    <row r="61" spans="1:7" ht="25">
      <c r="A61" s="263" t="str">
        <f>'Этап5-Обраб. отходов+перераб.'!A13</f>
        <v>Сжигание городских/обычных отходов</v>
      </c>
      <c r="B61" s="425" t="str">
        <f>'Уровень 1 - Суммарный итог'!F61</f>
        <v>Присутствует?</v>
      </c>
      <c r="C61" s="425" t="str">
        <f>'Уровень 1 - Суммарный итог'!G61</f>
        <v>Присутствует?</v>
      </c>
      <c r="D61" s="425" t="str">
        <f>'Уровень 1 - Суммарный итог'!H61</f>
        <v>Присутствует?</v>
      </c>
      <c r="E61" s="425" t="str">
        <f>'Уровень 1 - Суммарный итог'!I61</f>
        <v>Присутствует?</v>
      </c>
      <c r="F61" s="425" t="str">
        <f>'Уровень 1 - Суммарный итог'!J61</f>
        <v>Присутствует?</v>
      </c>
      <c r="G61" s="425" t="str">
        <f>'Уровень 1 - Суммарный итог'!K61</f>
        <v>Присутствует?</v>
      </c>
    </row>
    <row r="62" spans="1:7" ht="25">
      <c r="A62" s="263" t="str">
        <f>'Этап5-Обраб. отходов+перераб.'!A16</f>
        <v>Сжигание опасных отходов</v>
      </c>
      <c r="B62" s="425" t="str">
        <f>'Уровень 1 - Суммарный итог'!F62</f>
        <v>Присутствует?</v>
      </c>
      <c r="C62" s="425" t="str">
        <f>'Уровень 1 - Суммарный итог'!G62</f>
        <v>Присутствует?</v>
      </c>
      <c r="D62" s="425" t="str">
        <f>'Уровень 1 - Суммарный итог'!H62</f>
        <v>Присутствует?</v>
      </c>
      <c r="E62" s="425" t="str">
        <f>'Уровень 1 - Суммарный итог'!I62</f>
        <v>Присутствует?</v>
      </c>
      <c r="F62" s="425" t="str">
        <f>'Уровень 1 - Суммарный итог'!J62</f>
        <v>Присутствует?</v>
      </c>
      <c r="G62" s="425" t="str">
        <f>'Уровень 1 - Суммарный итог'!K62</f>
        <v>Присутствует?</v>
      </c>
    </row>
    <row r="63" spans="1:7" ht="25">
      <c r="A63" s="263" t="str">
        <f>'Этап5-Обраб. отходов+перераб.'!A19</f>
        <v>Инсинерация и открытое сжигание медицинских отходов</v>
      </c>
      <c r="B63" s="425" t="str">
        <f>'Уровень 1 - Суммарный итог'!F63</f>
        <v>Присутствует?</v>
      </c>
      <c r="C63" s="425" t="str">
        <f>'Уровень 1 - Суммарный итог'!G63</f>
        <v>Присутствует?</v>
      </c>
      <c r="D63" s="425" t="str">
        <f>'Уровень 1 - Суммарный итог'!H63</f>
        <v>Присутствует?</v>
      </c>
      <c r="E63" s="425" t="str">
        <f>'Уровень 1 - Суммарный итог'!I63</f>
        <v>Присутствует?</v>
      </c>
      <c r="F63" s="425" t="str">
        <f>'Уровень 1 - Суммарный итог'!J63</f>
        <v>Присутствует?</v>
      </c>
      <c r="G63" s="425" t="str">
        <f>'Уровень 1 - Суммарный итог'!K63</f>
        <v>Присутствует?</v>
      </c>
    </row>
    <row r="64" spans="1:7" ht="25">
      <c r="A64" s="263" t="str">
        <f>'Этап5-Обраб. отходов+перераб.'!A22</f>
        <v>Сжигание осадка сточных вод</v>
      </c>
      <c r="B64" s="425" t="str">
        <f>'Уровень 1 - Суммарный итог'!F64</f>
        <v>Присутствует?</v>
      </c>
      <c r="C64" s="425" t="str">
        <f>'Уровень 1 - Суммарный итог'!G64</f>
        <v>Присутствует?</v>
      </c>
      <c r="D64" s="425" t="str">
        <f>'Уровень 1 - Суммарный итог'!H64</f>
        <v>Присутствует?</v>
      </c>
      <c r="E64" s="425" t="str">
        <f>'Уровень 1 - Суммарный итог'!I64</f>
        <v>Присутствует?</v>
      </c>
      <c r="F64" s="425" t="str">
        <f>'Уровень 1 - Суммарный итог'!J64</f>
        <v>Присутствует?</v>
      </c>
      <c r="G64" s="425" t="str">
        <f>'Уровень 1 - Суммарный итог'!K64</f>
        <v>Присутствует?</v>
      </c>
    </row>
    <row r="65" spans="1:7" ht="25">
      <c r="A65" s="263" t="str">
        <f>'Этап5-Обраб. отходов+перераб.'!A23</f>
        <v>Сжигание отходов на открытом огне (на полигонах и произвольно)</v>
      </c>
      <c r="B65" s="425" t="str">
        <f>'Уровень 1 - Суммарный итог'!F65</f>
        <v>Присутствует?</v>
      </c>
      <c r="C65" s="425" t="str">
        <f>'Уровень 1 - Суммарный итог'!G65</f>
        <v>Присутствует?</v>
      </c>
      <c r="D65" s="425" t="str">
        <f>'Уровень 1 - Суммарный итог'!H65</f>
        <v>Присутствует?</v>
      </c>
      <c r="E65" s="425" t="str">
        <f>'Уровень 1 - Суммарный итог'!I65</f>
        <v>Присутствует?</v>
      </c>
      <c r="F65" s="425" t="str">
        <f>'Уровень 1 - Суммарный итог'!J65</f>
        <v>Присутствует?</v>
      </c>
      <c r="G65" s="425" t="str">
        <f>'Уровень 1 - Суммарный итог'!K65</f>
        <v>Присутствует?</v>
      </c>
    </row>
    <row r="66" spans="1:7" ht="26">
      <c r="A66" s="390" t="str">
        <f>'Этап5-Обраб. отходов+перераб.'!A25</f>
        <v>Размещение отходов/ссыпание отходов в отвал и обработка сточных вод</v>
      </c>
      <c r="B66" s="362"/>
      <c r="C66" s="362"/>
      <c r="D66" s="362"/>
      <c r="E66" s="306"/>
      <c r="F66" s="306"/>
      <c r="G66" s="306"/>
    </row>
    <row r="67" spans="1:7" ht="25">
      <c r="A67" s="263" t="str">
        <f>'Этап5-Обраб. отходов+перераб.'!A26</f>
        <v>Контролируемые свалки отходов/отложений</v>
      </c>
      <c r="B67" s="425" t="str">
        <f>'Уровень 1 - Суммарный итог'!F67</f>
        <v>Присутствует?</v>
      </c>
      <c r="C67" s="425" t="str">
        <f>'Уровень 1 - Суммарный итог'!G67</f>
        <v>Присутствует?</v>
      </c>
      <c r="D67" s="425" t="str">
        <f>'Уровень 1 - Суммарный итог'!H67</f>
        <v>Присутствует?</v>
      </c>
      <c r="E67" s="425" t="str">
        <f>'Уровень 1 - Суммарный итог'!I67</f>
        <v>Присутствует?</v>
      </c>
      <c r="F67" s="425" t="str">
        <f>'Уровень 1 - Суммарный итог'!J67</f>
        <v>Присутствует?</v>
      </c>
      <c r="G67" s="425" t="str">
        <f>'Уровень 1 - Суммарный итог'!K67</f>
        <v>Присутствует?</v>
      </c>
    </row>
    <row r="68" spans="1:7" ht="25">
      <c r="A68" s="263" t="s">
        <v>421</v>
      </c>
      <c r="B68" s="425" t="str">
        <f>'Уровень 1 - Суммарный итог'!F68</f>
        <v>Присутствует?</v>
      </c>
      <c r="C68" s="425" t="str">
        <f>'Уровень 1 - Суммарный итог'!G68</f>
        <v>Присутствует?</v>
      </c>
      <c r="D68" s="425" t="str">
        <f>'Уровень 1 - Суммарный итог'!H68</f>
        <v>Присутствует?</v>
      </c>
      <c r="E68" s="425" t="str">
        <f>'Уровень 1 - Суммарный итог'!I68</f>
        <v>Присутствует?</v>
      </c>
      <c r="F68" s="425" t="str">
        <f>'Уровень 1 - Суммарный итог'!J68</f>
        <v>Присутствует?</v>
      </c>
      <c r="G68" s="425" t="str">
        <f>'Уровень 1 - Суммарный итог'!K68</f>
        <v>Присутствует?</v>
      </c>
    </row>
    <row r="69" spans="1:7" ht="25">
      <c r="A69" s="365" t="s">
        <v>442</v>
      </c>
      <c r="B69" s="425" t="str">
        <f>'Уровень 1 - Суммарный итог'!F69</f>
        <v>Присутствует?</v>
      </c>
      <c r="C69" s="425" t="str">
        <f>'Уровень 1 - Суммарный итог'!G69</f>
        <v>Присутствует?</v>
      </c>
      <c r="D69" s="425" t="str">
        <f>'Уровень 1 - Суммарный итог'!H69</f>
        <v>Присутствует?</v>
      </c>
      <c r="E69" s="425" t="str">
        <f>'Уровень 1 - Суммарный итог'!I69</f>
        <v>Присутствует?</v>
      </c>
      <c r="F69" s="425" t="str">
        <f>'Уровень 1 - Суммарный итог'!J69</f>
        <v>Присутствует?</v>
      </c>
      <c r="G69" s="425" t="str">
        <f>'Уровень 1 - Суммарный итог'!K69</f>
        <v>Присутствует?</v>
      </c>
    </row>
    <row r="70" spans="1:7" ht="13">
      <c r="A70" s="390" t="str">
        <f>'Этап 7 - Крематории-кладбища'!A4</f>
        <v>Крематории и кладбища</v>
      </c>
      <c r="B70" s="362"/>
      <c r="C70" s="362"/>
      <c r="D70" s="362"/>
      <c r="E70" s="306"/>
      <c r="F70" s="306"/>
      <c r="G70" s="306"/>
    </row>
    <row r="71" spans="1:7" ht="25">
      <c r="A71" s="263" t="str">
        <f>'Этап 7 - Крематории-кладбища'!A5</f>
        <v>Крематории</v>
      </c>
      <c r="B71" s="425" t="str">
        <f>'Уровень 1 - Суммарный итог'!F71</f>
        <v>Присутствует?</v>
      </c>
      <c r="C71" s="425" t="str">
        <f>'Уровень 1 - Суммарный итог'!G71</f>
        <v>Присутствует?</v>
      </c>
      <c r="D71" s="425" t="str">
        <f>'Уровень 1 - Суммарный итог'!H71</f>
        <v>Присутствует?</v>
      </c>
      <c r="E71" s="425" t="str">
        <f>'Уровень 1 - Суммарный итог'!I71</f>
        <v>Присутствует?</v>
      </c>
      <c r="F71" s="425" t="str">
        <f>'Уровень 1 - Суммарный итог'!J71</f>
        <v>Присутствует?</v>
      </c>
      <c r="G71" s="425" t="str">
        <f>'Уровень 1 - Суммарный итог'!K71</f>
        <v>Присутствует?</v>
      </c>
    </row>
    <row r="72" spans="1:7" ht="25">
      <c r="A72" s="263" t="str">
        <f>'Этап 7 - Крематории-кладбища'!A6</f>
        <v>Кладбища</v>
      </c>
      <c r="B72" s="425" t="str">
        <f>'Уровень 1 - Суммарный итог'!F72</f>
        <v>Присутствует?</v>
      </c>
      <c r="C72" s="425" t="str">
        <f>'Уровень 1 - Суммарный итог'!G72</f>
        <v>Присутствует?</v>
      </c>
      <c r="D72" s="425" t="str">
        <f>'Уровень 1 - Суммарный итог'!H72</f>
        <v>Присутствует?</v>
      </c>
      <c r="E72" s="425" t="str">
        <f>'Уровень 1 - Суммарный итог'!I72</f>
        <v>Присутствует?</v>
      </c>
      <c r="F72" s="425" t="str">
        <f>'Уровень 1 - Суммарный итог'!J72</f>
        <v>Присутствует?</v>
      </c>
      <c r="G72" s="425" t="str">
        <f>'Уровень 1 - Суммарный итог'!K72</f>
        <v>Присутствует?</v>
      </c>
    </row>
    <row r="73" spans="1:7" s="353" customFormat="1" ht="13">
      <c r="A73" s="265" t="s">
        <v>1151</v>
      </c>
      <c r="B73" s="531">
        <f>'Уровень 1 - Суммарный итог'!F73</f>
        <v>0</v>
      </c>
      <c r="C73" s="531" t="e">
        <f>'Уровень 1 - Суммарный итог'!G73</f>
        <v>#VALUE!</v>
      </c>
      <c r="D73" s="531" t="e">
        <f>'Уровень 1 - Суммарный итог'!H73</f>
        <v>#VALUE!</v>
      </c>
      <c r="E73" s="531">
        <f>'Уровень 1 - Суммарный итог'!I73</f>
        <v>0</v>
      </c>
      <c r="F73" s="531">
        <f>'Уровень 1 - Суммарный итог'!J73</f>
        <v>0</v>
      </c>
      <c r="G73" s="531">
        <f>'Уровень 1 - Суммарный итог'!K73</f>
        <v>0</v>
      </c>
    </row>
    <row r="74" spans="1:7">
      <c r="A74" s="355"/>
    </row>
    <row r="75" spans="1:7">
      <c r="A75" s="321" t="s">
        <v>56</v>
      </c>
    </row>
    <row r="76" spans="1:7">
      <c r="A76" s="595" t="s">
        <v>1245</v>
      </c>
    </row>
    <row r="77" spans="1:7">
      <c r="A77" s="595" t="s">
        <v>1169</v>
      </c>
    </row>
    <row r="78" spans="1:7">
      <c r="A78" s="595" t="s">
        <v>1168</v>
      </c>
    </row>
    <row r="79" spans="1:7">
      <c r="A79" s="595" t="s">
        <v>1178</v>
      </c>
    </row>
    <row r="80" spans="1:7">
      <c r="A80" s="595" t="s">
        <v>1246</v>
      </c>
    </row>
    <row r="92" spans="1:1">
      <c r="A92" s="321"/>
    </row>
    <row r="93" spans="1:1">
      <c r="A93" s="321"/>
    </row>
    <row r="94" spans="1:1">
      <c r="A94" s="321"/>
    </row>
  </sheetData>
  <sheetProtection algorithmName="SHA-512" hashValue="EO89j/IYq281wrkzyME/ZFMkfHjOzR6jnllSiukpmgvXWItAEbIk8g+3B1qtpk+Cb7+4B5Fssqi4BRv7Iu379g==" saltValue="QYoOigqWyd43WK//yhj++Q==" spinCount="100000" sheet="1" objects="1" scenarios="1"/>
  <mergeCells count="1">
    <mergeCell ref="B2:G2"/>
  </mergeCells>
  <pageMargins left="0.39370078740157483" right="0.39370078740157483" top="0.74803149606299213" bottom="0.74803149606299213" header="0.31496062992125984" footer="0.31496062992125984"/>
  <pageSetup paperSize="9" scale="65" orientation="portrait" r:id="rId1"/>
  <headerFooter>
    <oddFooter>&amp;L&amp;A
Printed &amp;D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pageSetUpPr fitToPage="1"/>
  </sheetPr>
  <dimension ref="A1:M86"/>
  <sheetViews>
    <sheetView topLeftCell="A47" workbookViewId="0">
      <selection activeCell="D72" sqref="D72"/>
    </sheetView>
  </sheetViews>
  <sheetFormatPr defaultColWidth="9.1796875" defaultRowHeight="12.5"/>
  <cols>
    <col min="1" max="1" width="46.81640625" style="337" customWidth="1"/>
    <col min="2" max="2" width="14.453125" style="357" customWidth="1"/>
    <col min="3" max="3" width="17.36328125" style="337" customWidth="1"/>
    <col min="4" max="4" width="33.453125" style="337" customWidth="1"/>
    <col min="5" max="5" width="13.453125" style="337" customWidth="1"/>
    <col min="6" max="6" width="13" style="337" customWidth="1"/>
    <col min="7" max="7" width="12.81640625" style="337" customWidth="1"/>
    <col min="8" max="9" width="13.1796875" style="337" customWidth="1"/>
    <col min="10" max="10" width="13.453125" style="337" customWidth="1"/>
    <col min="11" max="11" width="12.81640625" style="337" customWidth="1"/>
    <col min="12" max="12" width="10.81640625" style="337" customWidth="1"/>
    <col min="13" max="16384" width="9.1796875" style="337"/>
  </cols>
  <sheetData>
    <row r="1" spans="1:12" ht="13">
      <c r="A1" s="749" t="s">
        <v>1163</v>
      </c>
      <c r="B1" s="750"/>
      <c r="C1" s="203"/>
      <c r="D1" s="203"/>
      <c r="E1" s="203"/>
      <c r="F1" s="203"/>
      <c r="G1" s="203"/>
      <c r="H1" s="203"/>
      <c r="I1" s="203"/>
      <c r="J1" s="203"/>
      <c r="K1" s="203"/>
      <c r="L1" s="203"/>
    </row>
    <row r="2" spans="1:12" s="358" customFormat="1" ht="37.5">
      <c r="A2" s="736" t="s">
        <v>868</v>
      </c>
      <c r="B2" s="752" t="s">
        <v>869</v>
      </c>
      <c r="C2" s="753"/>
      <c r="D2" s="753"/>
      <c r="E2" s="754" t="s">
        <v>871</v>
      </c>
      <c r="F2" s="912" t="s">
        <v>1119</v>
      </c>
      <c r="G2" s="913"/>
      <c r="H2" s="913"/>
      <c r="I2" s="913"/>
      <c r="J2" s="913"/>
      <c r="K2" s="914"/>
      <c r="L2" s="753"/>
    </row>
    <row r="3" spans="1:12" ht="63">
      <c r="A3" s="804"/>
      <c r="B3" s="806" t="str">
        <f>quest</f>
        <v>Да/Нет/?</v>
      </c>
      <c r="C3" s="752" t="s">
        <v>870</v>
      </c>
      <c r="D3" s="752" t="s">
        <v>875</v>
      </c>
      <c r="E3" s="752" t="s">
        <v>876</v>
      </c>
      <c r="F3" s="757" t="s">
        <v>877</v>
      </c>
      <c r="G3" s="757" t="s">
        <v>878</v>
      </c>
      <c r="H3" s="757" t="s">
        <v>879</v>
      </c>
      <c r="I3" s="752" t="s">
        <v>880</v>
      </c>
      <c r="J3" s="752" t="s">
        <v>881</v>
      </c>
      <c r="K3" s="752" t="s">
        <v>882</v>
      </c>
      <c r="L3" s="736" t="s">
        <v>883</v>
      </c>
    </row>
    <row r="4" spans="1:12" ht="13">
      <c r="A4" s="390" t="str">
        <f>'Этап 2 - Потребление энергии'!A4</f>
        <v>Потребление энергии</v>
      </c>
      <c r="B4" s="370"/>
      <c r="C4" s="421"/>
      <c r="D4" s="302"/>
      <c r="E4" s="421"/>
      <c r="F4" s="362"/>
      <c r="G4" s="362"/>
      <c r="H4" s="362"/>
      <c r="I4" s="306"/>
      <c r="J4" s="306"/>
      <c r="K4" s="306"/>
      <c r="L4" s="369"/>
    </row>
    <row r="5" spans="1:12" ht="25">
      <c r="A5" s="263" t="str">
        <f>'Этап 2 - Потребление энергии'!A5</f>
        <v>Сжигание угля на крупных электростанциях</v>
      </c>
      <c r="B5" s="267" t="str">
        <f>IF(OR('Этап 2 - Потребление энергии'!B5=yes,'Этап 2 - Потребление энергии'!B5=no,'Этап 2 - Потребление энергии'!B5=que),'Этап 2 - Потребление энергии'!B5,  pres)</f>
        <v>Присутствует?</v>
      </c>
      <c r="C5" s="424">
        <f>'Этап 2 - Потребление энергии'!C5</f>
        <v>0</v>
      </c>
      <c r="D5" s="263" t="str">
        <f>'Этап 2 - Потребление энергии'!D5</f>
        <v>Сожженный уголь, т/год </v>
      </c>
      <c r="E5" s="435" t="str">
        <f>IF('Вставьте рез. яч. IL2 '!C12="",'Этап 2 - Потребление энергии'!F5,'Вставьте рез. яч. IL2 '!C12)</f>
        <v>Присутствует?</v>
      </c>
      <c r="F5" s="425" t="str">
        <f>IF('Вставьте рез. яч. IL2 '!D12="",'Этап 2 - Потребление энергии'!G5,'Вставьте рез. яч. IL2 '!D12)</f>
        <v>Присутствует?</v>
      </c>
      <c r="G5" s="425" t="str">
        <f>IF('Вставьте рез. яч. IL2 '!E12="",'Этап 2 - Потребление энергии'!H5,'Вставьте рез. яч. IL2 '!E12)</f>
        <v>Присутствует?</v>
      </c>
      <c r="H5" s="425" t="str">
        <f>IF('Вставьте рез. яч. IL2 '!F12="",'Этап 2 - Потребление энергии'!I5,'Вставьте рез. яч. IL2 '!F12)</f>
        <v>Присутствует?</v>
      </c>
      <c r="I5" s="425" t="str">
        <f>IF('Вставьте рез. яч. IL2 '!G12="",'Этап 2 - Потребление энергии'!J5,'Вставьте рез. яч. IL2 '!G12)</f>
        <v>Присутствует?</v>
      </c>
      <c r="J5" s="425" t="str">
        <f>IF('Вставьте рез. яч. IL2 '!H12="",'Этап 2 - Потребление энергии'!K5,'Вставьте рез. яч. IL2 '!H12)</f>
        <v>Присутствует?</v>
      </c>
      <c r="K5" s="425" t="str">
        <f>IF('Вставьте рез. яч. IL2 '!I12="",'Этап 2 - Потребление энергии'!L5,'Вставьте рез. яч. IL2 '!I12)</f>
        <v>Присутствует?</v>
      </c>
      <c r="L5" s="263" t="str">
        <f>'Этап 2 - Потребление энергии'!M5</f>
        <v>5.1.1</v>
      </c>
    </row>
    <row r="6" spans="1:12" ht="25">
      <c r="A6" s="263" t="str">
        <f>'Этап 2 - Потребление энергии'!A8</f>
        <v>Сжигание угля в угольных промышленных котлоагрегатах</v>
      </c>
      <c r="B6" s="267" t="str">
        <f>IF(OR('Этап 2 - Потребление энергии'!B8=yes,'Этап 2 - Потребление энергии'!B8=no,'Этап 2 - Потребление энергии'!B8=que),'Этап 2 - Потребление энергии'!B8,  pres)</f>
        <v>Присутствует?</v>
      </c>
      <c r="C6" s="424">
        <f>'Этап 2 - Потребление энергии'!C8</f>
        <v>0</v>
      </c>
      <c r="D6" s="263" t="str">
        <f>'Этап 2 - Потребление энергии'!D8</f>
        <v>Сожженный уголь, т/год </v>
      </c>
      <c r="E6" s="435" t="str">
        <f>IF('Вставьте рез. яч. IL2 '!C13="",'Этап 2 - Потребление энергии'!F8,'Вставьте рез. яч. IL2 '!C13)</f>
        <v>Присутствует?</v>
      </c>
      <c r="F6" s="425" t="str">
        <f>IF('Вставьте рез. яч. IL2 '!D13="",'Этап 2 - Потребление энергии'!G8,'Вставьте рез. яч. IL2 '!D13)</f>
        <v>Присутствует?</v>
      </c>
      <c r="G6" s="425" t="str">
        <f>IF('Вставьте рез. яч. IL2 '!E13="",'Этап 2 - Потребление энергии'!H8,'Вставьте рез. яч. IL2 '!E13)</f>
        <v>Присутствует?</v>
      </c>
      <c r="H6" s="425" t="str">
        <f>IF('Вставьте рез. яч. IL2 '!F13="",'Этап 2 - Потребление энергии'!I8,'Вставьте рез. яч. IL2 '!F13)</f>
        <v>Присутствует?</v>
      </c>
      <c r="I6" s="425" t="str">
        <f>IF('Вставьте рез. яч. IL2 '!G13="",'Этап 2 - Потребление энергии'!J8,'Вставьте рез. яч. IL2 '!G13)</f>
        <v>Присутствует?</v>
      </c>
      <c r="J6" s="425" t="str">
        <f>IF('Вставьте рез. яч. IL2 '!H13="",'Этап 2 - Потребление энергии'!K8,'Вставьте рез. яч. IL2 '!H13)</f>
        <v>Присутствует?</v>
      </c>
      <c r="K6" s="425" t="str">
        <f>IF('Вставьте рез. яч. IL2 '!I13="",'Этап 2 - Потребление энергии'!L8,'Вставьте рез. яч. IL2 '!I13)</f>
        <v>Присутствует?</v>
      </c>
      <c r="L6" s="263" t="str">
        <f>'Этап 2 - Потребление энергии'!M8</f>
        <v>5.1.2.1</v>
      </c>
    </row>
    <row r="7" spans="1:12" ht="25">
      <c r="A7" s="263" t="str">
        <f>'Этап 2 - Потребление энергии'!A11</f>
        <v>Прочие способы применения угля</v>
      </c>
      <c r="B7" s="267" t="str">
        <f>IF(OR('Этап 2 - Потребление энергии'!B11=yes,'Этап 2 - Потребление энергии'!B11=no,'Этап 2 - Потребление энергии'!B11=que),'Этап 2 - Потребление энергии'!B11,  pres)</f>
        <v>Присутствует?</v>
      </c>
      <c r="C7" s="424">
        <f>'Этап 2 - Потребление энергии'!C11</f>
        <v>0</v>
      </c>
      <c r="D7" s="263" t="str">
        <f>'Этап 2 - Потребление энергии'!D11</f>
        <v>Использованный уголь, т/год</v>
      </c>
      <c r="E7" s="435" t="str">
        <f>IF('Вставьте рез. яч. IL2 '!C14="",'Этап 2 - Потребление энергии'!F11,'Вставьте рез. яч. IL2 '!C14)</f>
        <v>Присутствует?</v>
      </c>
      <c r="F7" s="425" t="str">
        <f>IF('Вставьте рез. яч. IL2 '!D14="",'Этап 2 - Потребление энергии'!G11,'Вставьте рез. яч. IL2 '!D14)</f>
        <v>Присутствует?</v>
      </c>
      <c r="G7" s="425" t="str">
        <f>IF('Вставьте рез. яч. IL2 '!E14="",'Этап 2 - Потребление энергии'!H11,'Вставьте рез. яч. IL2 '!E14)</f>
        <v>Присутствует?</v>
      </c>
      <c r="H7" s="425" t="str">
        <f>IF('Вставьте рез. яч. IL2 '!F14="",'Этап 2 - Потребление энергии'!I11,'Вставьте рез. яч. IL2 '!F14)</f>
        <v>Присутствует?</v>
      </c>
      <c r="I7" s="425" t="str">
        <f>IF('Вставьте рез. яч. IL2 '!G14="",'Этап 2 - Потребление энергии'!J11,'Вставьте рез. яч. IL2 '!G14)</f>
        <v>Присутствует?</v>
      </c>
      <c r="J7" s="425" t="str">
        <f>IF('Вставьте рез. яч. IL2 '!H14="",'Этап 2 - Потребление энергии'!K11,'Вставьте рез. яч. IL2 '!H14)</f>
        <v>Присутствует?</v>
      </c>
      <c r="K7" s="425" t="str">
        <f>IF('Вставьте рез. яч. IL2 '!I14="",'Этап 2 - Потребление энергии'!L11,'Вставьте рез. яч. IL2 '!I14)</f>
        <v>Присутствует?</v>
      </c>
      <c r="L7" s="263" t="str">
        <f>'Этап 2 - Потребление энергии'!M11</f>
        <v>5.1.2.2</v>
      </c>
    </row>
    <row r="8" spans="1:12" ht="25">
      <c r="A8" s="263" t="str">
        <f>'Этап 2 - Потребление энергии'!A12</f>
        <v>Сжигание/использование нефтяного кокса и тяжелого топлива</v>
      </c>
      <c r="B8" s="267" t="str">
        <f>IF(OR('Этап 2 - Потребление энергии'!B12=yes,'Этап 2 - Потребление энергии'!B12=no,'Этап 2 - Потребление энергии'!B12=que),'Этап 2 - Потребление энергии'!B12,  pres)</f>
        <v>Присутствует?</v>
      </c>
      <c r="C8" s="424">
        <f>'Этап 2 - Потребление энергии'!C12</f>
        <v>0</v>
      </c>
      <c r="D8" s="263" t="str">
        <f>'Этап 2 - Потребление энергии'!D12</f>
        <v>Сожженные нефтепродукты, т/год</v>
      </c>
      <c r="E8" s="435" t="str">
        <f>IF('Вставьте рез. яч. IL2 '!C15="",'Этап 2 - Потребление энергии'!F12,'Вставьте рез. яч. IL2 '!C15)</f>
        <v>Присутствует?</v>
      </c>
      <c r="F8" s="425" t="str">
        <f>IF('Вставьте рез. яч. IL2 '!D15="",'Этап 2 - Потребление энергии'!G12,'Вставьте рез. яч. IL2 '!D15)</f>
        <v>Присутствует?</v>
      </c>
      <c r="G8" s="425" t="str">
        <f>IF('Вставьте рез. яч. IL2 '!E15="",'Этап 2 - Потребление энергии'!H12,'Вставьте рез. яч. IL2 '!E15)</f>
        <v>Присутствует?</v>
      </c>
      <c r="H8" s="425" t="str">
        <f>IF('Вставьте рез. яч. IL2 '!F15="",'Этап 2 - Потребление энергии'!I12,'Вставьте рез. яч. IL2 '!F15)</f>
        <v>Присутствует?</v>
      </c>
      <c r="I8" s="425" t="str">
        <f>IF('Вставьте рез. яч. IL2 '!G15="",'Этап 2 - Потребление энергии'!J12,'Вставьте рез. яч. IL2 '!G15)</f>
        <v>Присутствует?</v>
      </c>
      <c r="J8" s="425" t="str">
        <f>IF('Вставьте рез. яч. IL2 '!H15="",'Этап 2 - Потребление энергии'!K12,'Вставьте рез. яч. IL2 '!H15)</f>
        <v>Присутствует?</v>
      </c>
      <c r="K8" s="425" t="str">
        <f>IF('Вставьте рез. яч. IL2 '!I15="",'Этап 2 - Потребление энергии'!L12,'Вставьте рез. яч. IL2 '!I15)</f>
        <v>Присутствует?</v>
      </c>
      <c r="L8" s="263" t="str">
        <f>'Этап 2 - Потребление энергии'!M12</f>
        <v>5.1.3</v>
      </c>
    </row>
    <row r="9" spans="1:12" ht="25">
      <c r="A9" s="263" t="str">
        <f>'Этап 2 - Потребление энергии'!A15</f>
        <v>Сжигание/использование дизельного топлива, бензина, нефти, керосина</v>
      </c>
      <c r="B9" s="267" t="str">
        <f>IF(OR('Этап 2 - Потребление энергии'!B15=yes,'Этап 2 - Потребление энергии'!B15=no,'Этап 2 - Потребление энергии'!B15=que),'Этап 2 - Потребление энергии'!B15,  pres)</f>
        <v>Присутствует?</v>
      </c>
      <c r="C9" s="424">
        <f>'Этап 2 - Потребление энергии'!C15</f>
        <v>0</v>
      </c>
      <c r="D9" s="263" t="str">
        <f>'Этап 2 - Потребление энергии'!D15</f>
        <v>Сожженные нефтепродукты, т/год</v>
      </c>
      <c r="E9" s="435" t="str">
        <f>IF('Вставьте рез. яч. IL2 '!C16="",'Этап 2 - Потребление энергии'!F15,'Вставьте рез. яч. IL2 '!C16)</f>
        <v>Присутствует?</v>
      </c>
      <c r="F9" s="425" t="str">
        <f>IF('Вставьте рез. яч. IL2 '!D16="",'Этап 2 - Потребление энергии'!G15,'Вставьте рез. яч. IL2 '!D16)</f>
        <v>Присутствует?</v>
      </c>
      <c r="G9" s="425" t="str">
        <f>IF('Вставьте рез. яч. IL2 '!E16="",'Этап 2 - Потребление энергии'!H15,'Вставьте рез. яч. IL2 '!E16)</f>
        <v>Присутствует?</v>
      </c>
      <c r="H9" s="425" t="str">
        <f>IF('Вставьте рез. яч. IL2 '!F16="",'Этап 2 - Потребление энергии'!I15,'Вставьте рез. яч. IL2 '!F16)</f>
        <v>Присутствует?</v>
      </c>
      <c r="I9" s="425" t="str">
        <f>IF('Вставьте рез. яч. IL2 '!G16="",'Этап 2 - Потребление энергии'!J15,'Вставьте рез. яч. IL2 '!G16)</f>
        <v>Присутствует?</v>
      </c>
      <c r="J9" s="425" t="str">
        <f>IF('Вставьте рез. яч. IL2 '!H16="",'Этап 2 - Потребление энергии'!K15,'Вставьте рез. яч. IL2 '!H16)</f>
        <v>Присутствует?</v>
      </c>
      <c r="K9" s="425" t="str">
        <f>IF('Вставьте рез. яч. IL2 '!I16="",'Этап 2 - Потребление энергии'!L15,'Вставьте рез. яч. IL2 '!I16)</f>
        <v>Присутствует?</v>
      </c>
      <c r="L9" s="263" t="str">
        <f>'Этап 2 - Потребление энергии'!M15</f>
        <v>5.1.3</v>
      </c>
    </row>
    <row r="10" spans="1:12" ht="25">
      <c r="A10" s="263" t="str">
        <f>'Этап 2 - Потребление энергии'!A18</f>
        <v xml:space="preserve">Использование неочищенного или предварительно очищенного природного газа </v>
      </c>
      <c r="B10" s="267" t="str">
        <f>IF(OR('Этап 2 - Потребление энергии'!B18=yes,'Этап 2 - Потребление энергии'!B18=no,'Этап 2 - Потребление энергии'!B18=que),'Этап 2 - Потребление энергии'!B18,  pres)</f>
        <v>Присутствует?</v>
      </c>
      <c r="C10" s="424">
        <f>'Этап 2 - Потребление энергии'!C18</f>
        <v>0</v>
      </c>
      <c r="D10" s="263" t="str">
        <f>'Этап 2 - Потребление энергии'!D18</f>
        <v>Использованный газ, Нм³/год</v>
      </c>
      <c r="E10" s="435" t="str">
        <f>IF('Вставьте рез. яч. IL2 '!C17="",'Этап 2 - Потребление энергии'!F18,'Вставьте рез. яч. IL2 '!C17)</f>
        <v>Присутствует?</v>
      </c>
      <c r="F10" s="425" t="str">
        <f>IF('Вставьте рез. яч. IL2 '!D17="",'Этап 2 - Потребление энергии'!G18,'Вставьте рез. яч. IL2 '!D17)</f>
        <v>Присутствует?</v>
      </c>
      <c r="G10" s="425" t="str">
        <f>IF('Вставьте рез. яч. IL2 '!E17="",'Этап 2 - Потребление энергии'!H18,'Вставьте рез. яч. IL2 '!E17)</f>
        <v>Присутствует?</v>
      </c>
      <c r="H10" s="425" t="str">
        <f>IF('Вставьте рез. яч. IL2 '!F17="",'Этап 2 - Потребление энергии'!I18,'Вставьте рез. яч. IL2 '!F17)</f>
        <v>Присутствует?</v>
      </c>
      <c r="I10" s="425" t="str">
        <f>IF('Вставьте рез. яч. IL2 '!G17="",'Этап 2 - Потребление энергии'!J18,'Вставьте рез. яч. IL2 '!G17)</f>
        <v>Присутствует?</v>
      </c>
      <c r="J10" s="425" t="str">
        <f>IF('Вставьте рез. яч. IL2 '!H17="",'Этап 2 - Потребление энергии'!K18,'Вставьте рез. яч. IL2 '!H17)</f>
        <v>Присутствует?</v>
      </c>
      <c r="K10" s="425" t="str">
        <f>IF('Вставьте рез. яч. IL2 '!I17="",'Этап 2 - Потребление энергии'!L18,'Вставьте рез. яч. IL2 '!I17)</f>
        <v>Присутствует?</v>
      </c>
      <c r="L10" s="263" t="str">
        <f>'Этап 2 - Потребление энергии'!M18</f>
        <v>5.1.4</v>
      </c>
    </row>
    <row r="11" spans="1:12" ht="25">
      <c r="A11" s="263" t="str">
        <f>'Этап 2 - Потребление энергии'!A19</f>
        <v>Использование газа, подаваемого по трубопроводу (качество потребителя)</v>
      </c>
      <c r="B11" s="267" t="str">
        <f>IF(OR('Этап 2 - Потребление энергии'!B19=yes,'Этап 2 - Потребление энергии'!B19=no,'Этап 2 - Потребление энергии'!B19=que),'Этап 2 - Потребление энергии'!B19,  pres)</f>
        <v>Присутствует?</v>
      </c>
      <c r="C11" s="424">
        <f>'Этап 2 - Потребление энергии'!C19</f>
        <v>0</v>
      </c>
      <c r="D11" s="263" t="str">
        <f>'Этап 2 - Потребление энергии'!D19</f>
        <v>Использованный газ, Нм³/год</v>
      </c>
      <c r="E11" s="435" t="str">
        <f>IF('Вставьте рез. яч. IL2 '!C18="",'Этап 2 - Потребление энергии'!F19,'Вставьте рез. яч. IL2 '!C18)</f>
        <v>Присутствует?</v>
      </c>
      <c r="F11" s="425" t="str">
        <f>IF('Вставьте рез. яч. IL2 '!D18="",'Этап 2 - Потребление энергии'!G19,'Вставьте рез. яч. IL2 '!D18)</f>
        <v>Присутствует?</v>
      </c>
      <c r="G11" s="425" t="str">
        <f>IF('Вставьте рез. яч. IL2 '!E18="",'Этап 2 - Потребление энергии'!H19,'Вставьте рез. яч. IL2 '!E18)</f>
        <v>Присутствует?</v>
      </c>
      <c r="H11" s="425" t="str">
        <f>IF('Вставьте рез. яч. IL2 '!F18="",'Этап 2 - Потребление энергии'!I19,'Вставьте рез. яч. IL2 '!F18)</f>
        <v>Присутствует?</v>
      </c>
      <c r="I11" s="425" t="str">
        <f>IF('Вставьте рез. яч. IL2 '!G18="",'Этап 2 - Потребление энергии'!J19,'Вставьте рез. яч. IL2 '!G18)</f>
        <v>Присутствует?</v>
      </c>
      <c r="J11" s="425" t="str">
        <f>IF('Вставьте рез. яч. IL2 '!H18="",'Этап 2 - Потребление энергии'!K19,'Вставьте рез. яч. IL2 '!H18)</f>
        <v>Присутствует?</v>
      </c>
      <c r="K11" s="425" t="str">
        <f>IF('Вставьте рез. яч. IL2 '!I18="",'Этап 2 - Потребление энергии'!L19,'Вставьте рез. яч. IL2 '!I18)</f>
        <v>Присутствует?</v>
      </c>
      <c r="L11" s="263" t="str">
        <f>'Этап 2 - Потребление энергии'!M19</f>
        <v>5.1.4</v>
      </c>
    </row>
    <row r="12" spans="1:12" ht="25">
      <c r="A12" s="263" t="str">
        <f>'Этап 2 - Потребление энергии'!A20</f>
        <v>Электростанции, работающие на биомассе и производство тепла</v>
      </c>
      <c r="B12" s="267" t="str">
        <f>IF(OR('Этап 2 - Потребление энергии'!B20=yes,'Этап 2 - Потребление энергии'!B20=no,'Этап 2 - Потребление энергии'!B20=que),'Этап 2 - Потребление энергии'!B20,  pres)</f>
        <v>Присутствует?</v>
      </c>
      <c r="C12" s="424">
        <f>'Этап 2 - Потребление энергии'!C20</f>
        <v>0</v>
      </c>
      <c r="D12" s="263" t="str">
        <f>'Этап 2 - Потребление энергии'!D20</f>
        <v>Сожженная биомасса, т/год</v>
      </c>
      <c r="E12" s="435" t="str">
        <f>IF('Вставьте рез. яч. IL2 '!C19="",'Этап 2 - Потребление энергии'!F20,'Вставьте рез. яч. IL2 '!C19)</f>
        <v>Присутствует?</v>
      </c>
      <c r="F12" s="425" t="str">
        <f>IF('Вставьте рез. яч. IL2 '!D19="",'Этап 2 - Потребление энергии'!G20,'Вставьте рез. яч. IL2 '!D19)</f>
        <v>Присутствует?</v>
      </c>
      <c r="G12" s="425" t="str">
        <f>IF('Вставьте рез. яч. IL2 '!E19="",'Этап 2 - Потребление энергии'!H20,'Вставьте рез. яч. IL2 '!E19)</f>
        <v>Присутствует?</v>
      </c>
      <c r="H12" s="425" t="str">
        <f>IF('Вставьте рез. яч. IL2 '!F19="",'Этап 2 - Потребление энергии'!I20,'Вставьте рез. яч. IL2 '!F19)</f>
        <v>Присутствует?</v>
      </c>
      <c r="I12" s="425" t="str">
        <f>IF('Вставьте рез. яч. IL2 '!G19="",'Этап 2 - Потребление энергии'!J20,'Вставьте рез. яч. IL2 '!G19)</f>
        <v>Присутствует?</v>
      </c>
      <c r="J12" s="425" t="str">
        <f>IF('Вставьте рез. яч. IL2 '!H19="",'Этап 2 - Потребление энергии'!K20,'Вставьте рез. яч. IL2 '!H19)</f>
        <v>Присутствует?</v>
      </c>
      <c r="K12" s="425" t="str">
        <f>IF('Вставьте рез. яч. IL2 '!I19="",'Этап 2 - Потребление энергии'!L20,'Вставьте рез. яч. IL2 '!I19)</f>
        <v>Присутствует?</v>
      </c>
      <c r="L12" s="263" t="str">
        <f>'Этап 2 - Потребление энергии'!M20</f>
        <v>5.1.6</v>
      </c>
    </row>
    <row r="13" spans="1:12" ht="25">
      <c r="A13" s="263" t="str">
        <f>'Этап 2 - Потребление энергии'!A21</f>
        <v>Сжигание древесного угля</v>
      </c>
      <c r="B13" s="267" t="str">
        <f>IF(OR('Этап 2 - Потребление энергии'!B21=yes,'Этап 2 - Потребление энергии'!B21=no,'Этап 2 - Потребление энергии'!B21=que),'Этап 2 - Потребление энергии'!B21,  pres)</f>
        <v>Присутствует?</v>
      </c>
      <c r="C13" s="424">
        <f>'Этап 2 - Потребление энергии'!C21</f>
        <v>0</v>
      </c>
      <c r="D13" s="263" t="str">
        <f>'Этап 2 - Потребление энергии'!D21</f>
        <v>Сожженный древесный уголь, т/год</v>
      </c>
      <c r="E13" s="435" t="str">
        <f>IF('Вставьте рез. яч. IL2 '!C20="",'Этап 2 - Потребление энергии'!F21,'Вставьте рез. яч. IL2 '!C20)</f>
        <v>Присутствует?</v>
      </c>
      <c r="F13" s="425" t="str">
        <f>IF('Вставьте рез. яч. IL2 '!D20="",'Этап 2 - Потребление энергии'!G21,'Вставьте рез. яч. IL2 '!D20)</f>
        <v>Присутствует?</v>
      </c>
      <c r="G13" s="425" t="str">
        <f>IF('Вставьте рез. яч. IL2 '!E20="",'Этап 2 - Потребление энергии'!H21,'Вставьте рез. яч. IL2 '!E20)</f>
        <v>Присутствует?</v>
      </c>
      <c r="H13" s="425" t="str">
        <f>IF('Вставьте рез. яч. IL2 '!F20="",'Этап 2 - Потребление энергии'!I21,'Вставьте рез. яч. IL2 '!F20)</f>
        <v>Присутствует?</v>
      </c>
      <c r="I13" s="425" t="str">
        <f>IF('Вставьте рез. яч. IL2 '!G20="",'Этап 2 - Потребление энергии'!J21,'Вставьте рез. яч. IL2 '!G20)</f>
        <v>Присутствует?</v>
      </c>
      <c r="J13" s="425" t="str">
        <f>IF('Вставьте рез. яч. IL2 '!H20="",'Этап 2 - Потребление энергии'!K21,'Вставьте рез. яч. IL2 '!H20)</f>
        <v>Присутствует?</v>
      </c>
      <c r="K13" s="425" t="str">
        <f>IF('Вставьте рез. яч. IL2 '!I20="",'Этап 2 - Потребление энергии'!L21,'Вставьте рез. яч. IL2 '!I20)</f>
        <v>Присутствует?</v>
      </c>
      <c r="L13" s="263" t="str">
        <f>'Этап 2 - Потребление энергии'!M21</f>
        <v>5.1.6</v>
      </c>
    </row>
    <row r="14" spans="1:12" ht="13">
      <c r="A14" s="390" t="str">
        <f>'Этап 2 - Потребление энергии'!A23</f>
        <v>Производство топлива</v>
      </c>
      <c r="B14" s="302"/>
      <c r="C14" s="422"/>
      <c r="D14" s="369"/>
      <c r="E14" s="369"/>
      <c r="F14" s="369"/>
      <c r="G14" s="423"/>
      <c r="H14" s="423"/>
      <c r="I14" s="423"/>
      <c r="J14" s="423"/>
      <c r="K14" s="423"/>
      <c r="L14" s="369"/>
    </row>
    <row r="15" spans="1:12" ht="25">
      <c r="A15" s="263" t="str">
        <f>'Этап 2 - Потребление энергии'!A24</f>
        <v>Добыча нефти</v>
      </c>
      <c r="B15" s="267" t="str">
        <f>IF(OR('Этап 2 - Потребление энергии'!B24=yes,'Этап 2 - Потребление энергии'!B24=no,'Этап 2 - Потребление энергии'!B24=que),'Этап 2 - Потребление энергии'!B24,  pres)</f>
        <v>Присутствует?</v>
      </c>
      <c r="C15" s="424">
        <f>'Этап 2 - Потребление энергии'!C24</f>
        <v>0</v>
      </c>
      <c r="D15" s="263" t="str">
        <f>'Этап 2 - Потребление энергии'!D24</f>
        <v>Произведенная сырая нефть, т/год</v>
      </c>
      <c r="E15" s="435" t="str">
        <f>IF('Вставьте рез. яч. IL2 '!C22="",'Этап 2 - Потребление энергии'!F24,'Вставьте рез. яч. IL2 '!C22)</f>
        <v>Присутствует?</v>
      </c>
      <c r="F15" s="425" t="str">
        <f>IF('Вставьте рез. яч. IL2 '!D22="",'Этап 2 - Потребление энергии'!G24,'Вставьте рез. яч. IL2 '!D22)</f>
        <v>Присутствует?</v>
      </c>
      <c r="G15" s="425" t="str">
        <f>IF('Вставьте рез. яч. IL2 '!E22="",'Этап 2 - Потребление энергии'!H24,'Вставьте рез. яч. IL2 '!E22)</f>
        <v>Присутствует?</v>
      </c>
      <c r="H15" s="425" t="str">
        <f>IF('Вставьте рез. яч. IL2 '!F22="",'Этап 2 - Потребление энергии'!I24,'Вставьте рез. яч. IL2 '!F22)</f>
        <v>Присутствует?</v>
      </c>
      <c r="I15" s="425" t="str">
        <f>IF('Вставьте рез. яч. IL2 '!G22="",'Этап 2 - Потребление энергии'!J24,'Вставьте рез. яч. IL2 '!G22)</f>
        <v>Присутствует?</v>
      </c>
      <c r="J15" s="425" t="str">
        <f>IF('Вставьте рез. яч. IL2 '!H22="",'Этап 2 - Потребление энергии'!K24,'Вставьте рез. яч. IL2 '!H22)</f>
        <v>Присутствует?</v>
      </c>
      <c r="K15" s="425" t="str">
        <f>IF('Вставьте рез. яч. IL2 '!I22="",'Этап 2 - Потребление энергии'!L24,'Вставьте рез. яч. IL2 '!I22)</f>
        <v>Присутствует?</v>
      </c>
      <c r="L15" s="263" t="str">
        <f>'Этап 2 - Потребление энергии'!M24</f>
        <v>5.1.3</v>
      </c>
    </row>
    <row r="16" spans="1:12" ht="25">
      <c r="A16" s="263" t="str">
        <f>'Этап 2 - Потребление энергии'!A25</f>
        <v>Нефтепереработка</v>
      </c>
      <c r="B16" s="267" t="str">
        <f>IF(OR('Этап 2 - Потребление энергии'!B25=yes,'Этап 2 - Потребление энергии'!B25=no,'Этап 2 - Потребление энергии'!B25=que),'Этап 2 - Потребление энергии'!B25,  pres)</f>
        <v>Присутствует?</v>
      </c>
      <c r="C16" s="424">
        <f>'Этап 2 - Потребление энергии'!C25</f>
        <v>0</v>
      </c>
      <c r="D16" s="263" t="str">
        <f>'Этап 2 - Потребление энергии'!D25</f>
        <v>Переработанная сырая нефть, т/год</v>
      </c>
      <c r="E16" s="435" t="str">
        <f>IF('Вставьте рез. яч. IL2 '!C23="",'Этап 2 - Потребление энергии'!F25,'Вставьте рез. яч. IL2 '!C23)</f>
        <v>Присутствует?</v>
      </c>
      <c r="F16" s="425" t="str">
        <f>IF('Вставьте рез. яч. IL2 '!D23="",'Этап 2 - Потребление энергии'!G25,'Вставьте рез. яч. IL2 '!D23)</f>
        <v>Присутствует?</v>
      </c>
      <c r="G16" s="425" t="str">
        <f>IF('Вставьте рез. яч. IL2 '!E23="",'Этап 2 - Потребление энергии'!H25,'Вставьте рез. яч. IL2 '!E23)</f>
        <v>Присутствует?</v>
      </c>
      <c r="H16" s="425" t="str">
        <f>IF('Вставьте рез. яч. IL2 '!F23="",'Этап 2 - Потребление энергии'!I25,'Вставьте рез. яч. IL2 '!F23)</f>
        <v>Присутствует?</v>
      </c>
      <c r="I16" s="425" t="str">
        <f>IF('Вставьте рез. яч. IL2 '!G23="",'Этап 2 - Потребление энергии'!J25,'Вставьте рез. яч. IL2 '!G23)</f>
        <v>Присутствует?</v>
      </c>
      <c r="J16" s="425" t="str">
        <f>IF('Вставьте рез. яч. IL2 '!H23="",'Этап 2 - Потребление энергии'!K25,'Вставьте рез. яч. IL2 '!H23)</f>
        <v>Присутствует?</v>
      </c>
      <c r="K16" s="425" t="str">
        <f>IF('Вставьте рез. яч. IL2 '!I23="",'Этап 2 - Потребление энергии'!L25,'Вставьте рез. яч. IL2 '!I23)</f>
        <v>Присутствует?</v>
      </c>
      <c r="L16" s="263" t="str">
        <f>'Этап 2 - Потребление энергии'!M25</f>
        <v>5.1.3</v>
      </c>
    </row>
    <row r="17" spans="1:12" ht="25">
      <c r="A17" s="263" t="str">
        <f>'Этап 2 - Потребление энергии'!A26</f>
        <v>Добыча и обработка природного газа.</v>
      </c>
      <c r="B17" s="267" t="str">
        <f>IF(OR('Этап 2 - Потребление энергии'!B26=yes,'Этап 2 - Потребление энергии'!B26=no,'Этап 2 - Потребление энергии'!B26=que),'Этап 2 - Потребление энергии'!B26,  pres)</f>
        <v>Присутствует?</v>
      </c>
      <c r="C17" s="424">
        <f>'Этап 2 - Потребление энергии'!C26</f>
        <v>0</v>
      </c>
      <c r="D17" s="263" t="str">
        <f>'Этап 2 - Потребление энергии'!D26</f>
        <v>Произведенный газ, Нм³/год</v>
      </c>
      <c r="E17" s="435" t="str">
        <f>IF('Вставьте рез. яч. IL2 '!C24="",'Этап 2 - Потребление энергии'!F26,'Вставьте рез. яч. IL2 '!C24)</f>
        <v>Присутствует?</v>
      </c>
      <c r="F17" s="425" t="str">
        <f>IF('Вставьте рез. яч. IL2 '!D24="",'Этап 2 - Потребление энергии'!G26,'Вставьте рез. яч. IL2 '!D24)</f>
        <v>Присутствует?</v>
      </c>
      <c r="G17" s="425" t="str">
        <f>IF('Вставьте рез. яч. IL2 '!E24="",'Этап 2 - Потребление энергии'!H26,'Вставьте рез. яч. IL2 '!E24)</f>
        <v>Присутствует?</v>
      </c>
      <c r="H17" s="425" t="str">
        <f>IF('Вставьте рез. яч. IL2 '!F24="",'Этап 2 - Потребление энергии'!I26,'Вставьте рез. яч. IL2 '!F24)</f>
        <v>Присутствует?</v>
      </c>
      <c r="I17" s="425" t="str">
        <f>IF('Вставьте рез. яч. IL2 '!G24="",'Этап 2 - Потребление энергии'!J26,'Вставьте рез. яч. IL2 '!G24)</f>
        <v>Присутствует?</v>
      </c>
      <c r="J17" s="425" t="str">
        <f>IF('Вставьте рез. яч. IL2 '!H24="",'Этап 2 - Потребление энергии'!K26,'Вставьте рез. яч. IL2 '!H24)</f>
        <v>Присутствует?</v>
      </c>
      <c r="K17" s="425" t="str">
        <f>IF('Вставьте рез. яч. IL2 '!I24="",'Этап 2 - Потребление энергии'!L26,'Вставьте рез. яч. IL2 '!I24)</f>
        <v>Присутствует?</v>
      </c>
      <c r="L17" s="263" t="str">
        <f>'Этап 2 - Потребление энергии'!M26</f>
        <v>5.1.4</v>
      </c>
    </row>
    <row r="18" spans="1:12" ht="13">
      <c r="A18" s="390" t="str">
        <f>'Этап 3 - Металлы - Сырье'!A5</f>
        <v>Производство первичного металла</v>
      </c>
      <c r="B18" s="302"/>
      <c r="C18" s="422"/>
      <c r="D18" s="369"/>
      <c r="E18" s="369"/>
      <c r="F18" s="423"/>
      <c r="G18" s="423"/>
      <c r="H18" s="423"/>
      <c r="I18" s="423"/>
      <c r="J18" s="423"/>
      <c r="K18" s="423"/>
      <c r="L18" s="369"/>
    </row>
    <row r="19" spans="1:12" ht="25">
      <c r="A19" s="263" t="str">
        <f>'Этап 3 - Металлы - Сырье'!A6</f>
        <v>(Первичная) экстракция ртути и начальная обработка</v>
      </c>
      <c r="B19" s="267" t="str">
        <f>IF(OR('Этап 3 - Металлы - Сырье'!B6=yes,'Этап 3 - Металлы - Сырье'!B6=no,'Этап 3 - Металлы - Сырье'!B6=que),'Этап 3 - Металлы - Сырье'!B6,  pres)</f>
        <v>Присутствует?</v>
      </c>
      <c r="C19" s="424">
        <f>'Этап 3 - Металлы - Сырье'!C6</f>
        <v>0</v>
      </c>
      <c r="D19" s="263" t="str">
        <f>'Этап 3 - Металлы - Сырье'!D6</f>
        <v>Произведенная ртуть, т/год</v>
      </c>
      <c r="E19" s="435" t="str">
        <f>IF('Вставьте рез. яч. IL2 '!C26="",'Этап 3 - Металлы - Сырье'!F6,'Вставьте рез. яч. IL2 '!C26)</f>
        <v>Присутствует?</v>
      </c>
      <c r="F19" s="425" t="str">
        <f>IF('Вставьте рез. яч. IL2 '!D26="",'Этап 3 - Металлы - Сырье'!G6,'Вставьте рез. яч. IL2 '!D26)</f>
        <v>Присутствует?</v>
      </c>
      <c r="G19" s="425" t="str">
        <f>IF('Вставьте рез. яч. IL2 '!E26="",'Этап 3 - Металлы - Сырье'!H6,'Вставьте рез. яч. IL2 '!E26)</f>
        <v>Присутствует?</v>
      </c>
      <c r="H19" s="425" t="str">
        <f>IF('Вставьте рез. яч. IL2 '!F26="",'Этап 3 - Металлы - Сырье'!I6,'Вставьте рез. яч. IL2 '!F26)</f>
        <v>Присутствует?</v>
      </c>
      <c r="I19" s="425" t="str">
        <f>IF('Вставьте рез. яч. IL2 '!G26="",'Этап 3 - Металлы - Сырье'!J6,'Вставьте рез. яч. IL2 '!G26)</f>
        <v>Присутствует?</v>
      </c>
      <c r="J19" s="425" t="str">
        <f>IF('Вставьте рез. яч. IL2 '!H26="",'Этап 3 - Металлы - Сырье'!K6,'Вставьте рез. яч. IL2 '!H26)</f>
        <v>Присутствует?</v>
      </c>
      <c r="K19" s="425" t="str">
        <f>IF('Вставьте рез. яч. IL2 '!I26="",'Этап 3 - Металлы - Сырье'!L6,'Вставьте рез. яч. IL2 '!I26)</f>
        <v>Присутствует?</v>
      </c>
      <c r="L19" s="263" t="str">
        <f>'Этап 3 - Металлы - Сырье'!M6</f>
        <v>5.2.1</v>
      </c>
    </row>
    <row r="20" spans="1:12" ht="25">
      <c r="A20" s="263" t="str">
        <f>'Этап 3 - Металлы - Сырье'!A7</f>
        <v>Производство цинка из продуктов обогащения</v>
      </c>
      <c r="B20" s="267" t="str">
        <f>IF(OR('Этап 3 - Металлы - Сырье'!B7=yes,'Этап 3 - Металлы - Сырье'!B7=no,'Этап 3 - Металлы - Сырье'!B7=que),'Этап 3 - Металлы - Сырье'!B7,  pres)</f>
        <v>Присутствует?</v>
      </c>
      <c r="C20" s="424">
        <f>'Этап 3 - Металлы - Сырье'!C7</f>
        <v>0</v>
      </c>
      <c r="D20" s="263" t="str">
        <f>'Этап 3 - Металлы - Сырье'!D7</f>
        <v>Использованный продукт обогащения, т/год</v>
      </c>
      <c r="E20" s="435" t="str">
        <f>IF('Вставьте рез. яч. IL2 '!C27="",'Этап 3 - Металлы - Сырье'!F7,'Вставьте рез. яч. IL2 '!C27)</f>
        <v>Присутствует?</v>
      </c>
      <c r="F20" s="425" t="str">
        <f>IF('Вставьте рез. яч. IL2 '!D27="",'Этап 3 - Металлы - Сырье'!G7,'Вставьте рез. яч. IL2 '!D27)</f>
        <v>Присутствует?</v>
      </c>
      <c r="G20" s="425" t="str">
        <f>IF('Вставьте рез. яч. IL2 '!E27="",'Этап 3 - Металлы - Сырье'!H7,'Вставьте рез. яч. IL2 '!E27)</f>
        <v>Присутствует?</v>
      </c>
      <c r="H20" s="425" t="str">
        <f>IF('Вставьте рез. яч. IL2 '!F27="",'Этап 3 - Металлы - Сырье'!I7,'Вставьте рез. яч. IL2 '!F27)</f>
        <v>Присутствует?</v>
      </c>
      <c r="I20" s="425" t="str">
        <f>IF('Вставьте рез. яч. IL2 '!G27="",'Этап 3 - Металлы - Сырье'!J7,'Вставьте рез. яч. IL2 '!G27)</f>
        <v>Присутствует?</v>
      </c>
      <c r="J20" s="425" t="str">
        <f>IF('Вставьте рез. яч. IL2 '!H27="",'Этап 3 - Металлы - Сырье'!K7,'Вставьте рез. яч. IL2 '!H27)</f>
        <v>Присутствует?</v>
      </c>
      <c r="K20" s="425" t="str">
        <f>IF('Вставьте рез. яч. IL2 '!I27="",'Этап 3 - Металлы - Сырье'!L7,'Вставьте рез. яч. IL2 '!I27)</f>
        <v>Присутствует?</v>
      </c>
      <c r="L20" s="263" t="str">
        <f>'Этап 3 - Металлы - Сырье'!M7</f>
        <v>5.2.3</v>
      </c>
    </row>
    <row r="21" spans="1:12" ht="25">
      <c r="A21" s="263" t="str">
        <f>'Этап 3 - Металлы - Сырье'!A10</f>
        <v>Производство меди из продуктов обогащения</v>
      </c>
      <c r="B21" s="267" t="str">
        <f>IF(OR('Этап 3 - Металлы - Сырье'!B10=yes,'Этап 3 - Металлы - Сырье'!B10=no,'Этап 3 - Металлы - Сырье'!B10=que),'Этап 3 - Металлы - Сырье'!B10,  pres)</f>
        <v>Присутствует?</v>
      </c>
      <c r="C21" s="424">
        <f>'Этап 3 - Металлы - Сырье'!C10</f>
        <v>0</v>
      </c>
      <c r="D21" s="263" t="str">
        <f>'Этап 3 - Металлы - Сырье'!D10</f>
        <v>Использованный продукт обогащения, т/год</v>
      </c>
      <c r="E21" s="435" t="str">
        <f>IF('Вставьте рез. яч. IL2 '!C28="",'Этап 3 - Металлы - Сырье'!F10,'Вставьте рез. яч. IL2 '!C28)</f>
        <v>Присутствует?</v>
      </c>
      <c r="F21" s="425" t="str">
        <f>IF('Вставьте рез. яч. IL2 '!D28="",'Этап 3 - Металлы - Сырье'!G10,'Вставьте рез. яч. IL2 '!D28)</f>
        <v>Присутствует?</v>
      </c>
      <c r="G21" s="425" t="str">
        <f>IF('Вставьте рез. яч. IL2 '!E28="",'Этап 3 - Металлы - Сырье'!H10,'Вставьте рез. яч. IL2 '!E28)</f>
        <v>Присутствует?</v>
      </c>
      <c r="H21" s="425" t="str">
        <f>IF('Вставьте рез. яч. IL2 '!F28="",'Этап 3 - Металлы - Сырье'!I10,'Вставьте рез. яч. IL2 '!F28)</f>
        <v>Присутствует?</v>
      </c>
      <c r="I21" s="425" t="str">
        <f>IF('Вставьте рез. яч. IL2 '!G28="",'Этап 3 - Металлы - Сырье'!J10,'Вставьте рез. яч. IL2 '!G28)</f>
        <v>Присутствует?</v>
      </c>
      <c r="J21" s="425" t="str">
        <f>IF('Вставьте рез. яч. IL2 '!H28="",'Этап 3 - Металлы - Сырье'!K10,'Вставьте рез. яч. IL2 '!H28)</f>
        <v>Присутствует?</v>
      </c>
      <c r="K21" s="425" t="str">
        <f>IF('Вставьте рез. яч. IL2 '!I28="",'Этап 3 - Металлы - Сырье'!L10,'Вставьте рез. яч. IL2 '!I28)</f>
        <v>Присутствует?</v>
      </c>
      <c r="L21" s="263" t="str">
        <f>'Этап 3 - Металлы - Сырье'!M10</f>
        <v>5.2.4</v>
      </c>
    </row>
    <row r="22" spans="1:12" ht="25">
      <c r="A22" s="263" t="str">
        <f>'Этап 3 - Металлы - Сырье'!A13</f>
        <v>Производство свинца из продуктов обогащения</v>
      </c>
      <c r="B22" s="267" t="str">
        <f>IF(OR('Этап 3 - Металлы - Сырье'!B13=yes,'Этап 3 - Металлы - Сырье'!B13=no,'Этап 3 - Металлы - Сырье'!B13=que),'Этап 3 - Металлы - Сырье'!B13,  pres)</f>
        <v>Присутствует?</v>
      </c>
      <c r="C22" s="424">
        <f>'Этап 3 - Металлы - Сырье'!C13</f>
        <v>0</v>
      </c>
      <c r="D22" s="263" t="str">
        <f>'Этап 3 - Металлы - Сырье'!D13</f>
        <v>Использованный продукт обогащения, т/год</v>
      </c>
      <c r="E22" s="435" t="str">
        <f>IF('Вставьте рез. яч. IL2 '!C29="",'Этап 3 - Металлы - Сырье'!F13,'Вставьте рез. яч. IL2 '!C29)</f>
        <v>Присутствует?</v>
      </c>
      <c r="F22" s="425" t="str">
        <f>IF('Вставьте рез. яч. IL2 '!D29="",'Этап 3 - Металлы - Сырье'!G13,'Вставьте рез. яч. IL2 '!D29)</f>
        <v>Присутствует?</v>
      </c>
      <c r="G22" s="425" t="str">
        <f>IF('Вставьте рез. яч. IL2 '!E29="",'Этап 3 - Металлы - Сырье'!H13,'Вставьте рез. яч. IL2 '!E29)</f>
        <v>Присутствует?</v>
      </c>
      <c r="H22" s="425" t="str">
        <f>IF('Вставьте рез. яч. IL2 '!F29="",'Этап 3 - Металлы - Сырье'!I13,'Вставьте рез. яч. IL2 '!F29)</f>
        <v>Присутствует?</v>
      </c>
      <c r="I22" s="425" t="str">
        <f>IF('Вставьте рез. яч. IL2 '!G29="",'Этап 3 - Металлы - Сырье'!J13,'Вставьте рез. яч. IL2 '!G29)</f>
        <v>Присутствует?</v>
      </c>
      <c r="J22" s="425" t="str">
        <f>IF('Вставьте рез. яч. IL2 '!H29="",'Этап 3 - Металлы - Сырье'!K13,'Вставьте рез. яч. IL2 '!H29)</f>
        <v>Присутствует?</v>
      </c>
      <c r="K22" s="425" t="str">
        <f>IF('Вставьте рез. яч. IL2 '!I29="",'Этап 3 - Металлы - Сырье'!L13,'Вставьте рез. яч. IL2 '!I29)</f>
        <v>Присутствует?</v>
      </c>
      <c r="L22" s="263" t="str">
        <f>'Этап 3 - Металлы - Сырье'!M13</f>
        <v>5.2.5</v>
      </c>
    </row>
    <row r="23" spans="1:12" ht="25">
      <c r="A23" s="263" t="str">
        <f>'Этап 3 - Металлы - Сырье'!A16</f>
        <v>Добыча золота способами, кроме процесса амальгамирования ртути</v>
      </c>
      <c r="B23" s="267" t="str">
        <f>IF(OR('Этап 3 - Металлы - Сырье'!B16=yes,'Этап 3 - Металлы - Сырье'!B16=no,'Этап 3 - Металлы - Сырье'!B16=que),'Этап 3 - Металлы - Сырье'!B16,  pres)</f>
        <v>Присутствует?</v>
      </c>
      <c r="C23" s="424">
        <f>'Этап 3 - Металлы - Сырье'!C16</f>
        <v>0</v>
      </c>
      <c r="D23" s="263" t="str">
        <f>'Этап 3 - Металлы - Сырье'!D16</f>
        <v>Использованная золотосодержащая руда, т/год</v>
      </c>
      <c r="E23" s="435" t="str">
        <f>IF('Вставьте рез. яч. IL2 '!C30="",'Этап 3 - Металлы - Сырье'!F16,'Вставьте рез. яч. IL2 '!C30)</f>
        <v>Присутствует?</v>
      </c>
      <c r="F23" s="425" t="str">
        <f>IF('Вставьте рез. яч. IL2 '!D30="",'Этап 3 - Металлы - Сырье'!G16,'Вставьте рез. яч. IL2 '!D30)</f>
        <v>Присутствует?</v>
      </c>
      <c r="G23" s="425" t="str">
        <f>IF('Вставьте рез. яч. IL2 '!E30="",'Этап 3 - Металлы - Сырье'!H16,'Вставьте рез. яч. IL2 '!E30)</f>
        <v>Присутствует?</v>
      </c>
      <c r="H23" s="425" t="str">
        <f>IF('Вставьте рез. яч. IL2 '!F30="",'Этап 3 - Металлы - Сырье'!I16,'Вставьте рез. яч. IL2 '!F30)</f>
        <v>Присутствует?</v>
      </c>
      <c r="I23" s="425" t="str">
        <f>IF('Вставьте рез. яч. IL2 '!G30="",'Этап 3 - Металлы - Сырье'!J16,'Вставьте рез. яч. IL2 '!G30)</f>
        <v>Присутствует?</v>
      </c>
      <c r="J23" s="425" t="str">
        <f>IF('Вставьте рез. яч. IL2 '!H30="",'Этап 3 - Металлы - Сырье'!K16,'Вставьте рез. яч. IL2 '!H30)</f>
        <v>Присутствует?</v>
      </c>
      <c r="K23" s="425" t="str">
        <f>IF('Вставьте рез. яч. IL2 '!I30="",'Этап 3 - Металлы - Сырье'!L16,'Вставьте рез. яч. IL2 '!I30)</f>
        <v>Присутствует?</v>
      </c>
      <c r="L23" s="263" t="str">
        <f>'Этап 3 - Металлы - Сырье'!M16</f>
        <v>5.2.6</v>
      </c>
    </row>
    <row r="24" spans="1:12" ht="25">
      <c r="A24" s="263" t="str">
        <f>'Этап 3 - Металлы - Сырье'!A17</f>
        <v>Производство глинозема из бокситов (производство алюминия)</v>
      </c>
      <c r="B24" s="267" t="str">
        <f>IF(OR('Этап 3 - Металлы - Сырье'!B17=yes,'Этап 3 - Металлы - Сырье'!B17=no,'Этап 3 - Металлы - Сырье'!B17=que),'Этап 3 - Металлы - Сырье'!B17,  pres)</f>
        <v>Присутствует?</v>
      </c>
      <c r="C24" s="424">
        <f>'Этап 3 - Металлы - Сырье'!C17</f>
        <v>0</v>
      </c>
      <c r="D24" s="263" t="str">
        <f>'Этап 3 - Металлы - Сырье'!D17</f>
        <v>Обработанные бокситы, т/год</v>
      </c>
      <c r="E24" s="435" t="str">
        <f>IF('Вставьте рез. яч. IL2 '!C31="",'Этап 3 - Металлы - Сырье'!F17,'Вставьте рез. яч. IL2 '!C31)</f>
        <v>Присутствует?</v>
      </c>
      <c r="F24" s="425" t="str">
        <f>IF('Вставьте рез. яч. IL2 '!D31="",'Этап 3 - Металлы - Сырье'!G17,'Вставьте рез. яч. IL2 '!D31)</f>
        <v>Присутствует?</v>
      </c>
      <c r="G24" s="425" t="str">
        <f>IF('Вставьте рез. яч. IL2 '!E31="",'Этап 3 - Металлы - Сырье'!H17,'Вставьте рез. яч. IL2 '!E31)</f>
        <v>Присутствует?</v>
      </c>
      <c r="H24" s="425" t="str">
        <f>IF('Вставьте рез. яч. IL2 '!F31="",'Этап 3 - Металлы - Сырье'!I17,'Вставьте рез. яч. IL2 '!F31)</f>
        <v>Присутствует?</v>
      </c>
      <c r="I24" s="425" t="str">
        <f>IF('Вставьте рез. яч. IL2 '!G31="",'Этап 3 - Металлы - Сырье'!J17,'Вставьте рез. яч. IL2 '!G31)</f>
        <v>Присутствует?</v>
      </c>
      <c r="J24" s="425" t="str">
        <f>IF('Вставьте рез. яч. IL2 '!H31="",'Этап 3 - Металлы - Сырье'!K17,'Вставьте рез. яч. IL2 '!H31)</f>
        <v>Присутствует?</v>
      </c>
      <c r="K24" s="425" t="str">
        <f>IF('Вставьте рез. яч. IL2 '!I31="",'Этап 3 - Металлы - Сырье'!L17,'Вставьте рез. яч. IL2 '!I31)</f>
        <v>Присутствует?</v>
      </c>
      <c r="L24" s="263" t="str">
        <f>'Этап 3 - Металлы - Сырье'!M17</f>
        <v>5.2.7</v>
      </c>
    </row>
    <row r="25" spans="1:12" ht="25">
      <c r="A25" s="263" t="str">
        <f>'Этап 3 - Металлы - Сырье'!A18</f>
        <v>Производство первичного черного металла (производство чугуна в болванках)</v>
      </c>
      <c r="B25" s="267" t="str">
        <f>IF(OR('Этап 3 - Металлы - Сырье'!B18=yes,'Этап 3 - Металлы - Сырье'!B18=no,'Этап 3 - Металлы - Сырье'!B18=que),'Этап 3 - Металлы - Сырье'!B18,  pres)</f>
        <v>Присутствует?</v>
      </c>
      <c r="C25" s="424">
        <f>'Этап 3 - Металлы - Сырье'!C18</f>
        <v>0</v>
      </c>
      <c r="D25" s="263" t="str">
        <f>'Этап 3 - Металлы - Сырье'!D18</f>
        <v>Произведенный чугун в болванках, т/год</v>
      </c>
      <c r="E25" s="435" t="str">
        <f>IF('Вставьте рез. яч. IL2 '!C32="",'Этап 3 - Металлы - Сырье'!F18,'Вставьте рез. яч. IL2 '!C32)</f>
        <v>Присутствует?</v>
      </c>
      <c r="F25" s="425" t="str">
        <f>IF('Вставьте рез. яч. IL2 '!D32="",'Этап 3 - Металлы - Сырье'!G18,'Вставьте рез. яч. IL2 '!D32)</f>
        <v>Присутствует?</v>
      </c>
      <c r="G25" s="425" t="str">
        <f>IF('Вставьте рез. яч. IL2 '!E32="",'Этап 3 - Металлы - Сырье'!H18,'Вставьте рез. яч. IL2 '!E32)</f>
        <v>Присутствует?</v>
      </c>
      <c r="H25" s="425" t="str">
        <f>IF('Вставьте рез. яч. IL2 '!F32="",'Этап 3 - Металлы - Сырье'!I18,'Вставьте рез. яч. IL2 '!F32)</f>
        <v>Присутствует?</v>
      </c>
      <c r="I25" s="425" t="str">
        <f>IF('Вставьте рез. яч. IL2 '!G32="",'Этап 3 - Металлы - Сырье'!J18,'Вставьте рез. яч. IL2 '!G32)</f>
        <v>Присутствует?</v>
      </c>
      <c r="J25" s="425" t="str">
        <f>IF('Вставьте рез. яч. IL2 '!H32="",'Этап 3 - Металлы - Сырье'!K18,'Вставьте рез. яч. IL2 '!H32)</f>
        <v>Присутствует?</v>
      </c>
      <c r="K25" s="425" t="str">
        <f>IF('Вставьте рез. яч. IL2 '!I32="",'Этап 3 - Металлы - Сырье'!L18,'Вставьте рез. яч. IL2 '!I32)</f>
        <v>Присутствует?</v>
      </c>
      <c r="L25" s="263" t="str">
        <f>'Этап 3 - Металлы - Сырье'!M18</f>
        <v>5.2.9</v>
      </c>
    </row>
    <row r="26" spans="1:12" ht="25">
      <c r="A26" s="263" t="str">
        <f>'Этап 3 - Металлы - Сырье'!A19</f>
        <v>Добыча золота с помощью процесса амальгамирования ртути - Из недробленой руды</v>
      </c>
      <c r="B26" s="267" t="str">
        <f>IF(OR('Этап 3 - Металлы - Сырье'!B19=yes,'Этап 3 - Металлы - Сырье'!B19=no,'Этап 3 - Металлы - Сырье'!B19=que),'Этап 3 - Металлы - Сырье'!B19,  pres)</f>
        <v>Присутствует?</v>
      </c>
      <c r="C26" s="424">
        <f>'Этап 3 - Металлы - Сырье'!C19</f>
        <v>0</v>
      </c>
      <c r="D26" s="263" t="str">
        <f>'Этап 3 - Металлы - Сырье'!D19</f>
        <v>Произведенное золото, кг/год</v>
      </c>
      <c r="E26" s="435" t="str">
        <f>IF('Вставьте рез. яч. IL2 '!C33="",'Этап 3 - Металлы - Сырье'!F19,'Вставьте рез. яч. IL2 '!C33)</f>
        <v>Присутствует?</v>
      </c>
      <c r="F26" s="425" t="str">
        <f>IF('Вставьте рез. яч. IL2 '!D33="",'Этап 3 - Металлы - Сырье'!G19,'Вставьте рез. яч. IL2 '!D33)</f>
        <v>Присутствует?</v>
      </c>
      <c r="G26" s="425" t="str">
        <f>IF('Вставьте рез. яч. IL2 '!E33="",'Этап 3 - Металлы - Сырье'!H19,'Вставьте рез. яч. IL2 '!E33)</f>
        <v>Присутствует?</v>
      </c>
      <c r="H26" s="425" t="str">
        <f>IF('Вставьте рез. яч. IL2 '!F33="",'Этап 3 - Металлы - Сырье'!I19,'Вставьте рез. яч. IL2 '!F33)</f>
        <v>Присутствует?</v>
      </c>
      <c r="I26" s="425" t="str">
        <f>IF('Вставьте рез. яч. IL2 '!G33="",'Этап 3 - Металлы - Сырье'!J19,'Вставьте рез. яч. IL2 '!G33)</f>
        <v>Присутствует?</v>
      </c>
      <c r="J26" s="425" t="str">
        <f>IF('Вставьте рез. яч. IL2 '!H33="",'Этап 3 - Металлы - Сырье'!K19,'Вставьте рез. яч. IL2 '!H33)</f>
        <v>Присутствует?</v>
      </c>
      <c r="K26" s="425" t="str">
        <f>IF('Вставьте рез. яч. IL2 '!I33="",'Этап 3 - Металлы - Сырье'!L19,'Вставьте рез. яч. IL2 '!I33)</f>
        <v>Присутствует?</v>
      </c>
      <c r="L26" s="263" t="str">
        <f>'Этап 3 - Металлы - Сырье'!M19</f>
        <v>5.2.2</v>
      </c>
    </row>
    <row r="27" spans="1:12" ht="25">
      <c r="A27" s="263" t="str">
        <f>'Этап 3 - Металлы - Сырье'!A22</f>
        <v>Добыча золота с помощью процесса амальгамирования ртути - Из обогащенной руды</v>
      </c>
      <c r="B27" s="267" t="str">
        <f>IF(OR('Этап 3 - Металлы - Сырье'!B22=yes,'Этап 3 - Металлы - Сырье'!B22=no,'Этап 3 - Металлы - Сырье'!B22=que),'Этап 3 - Металлы - Сырье'!B22,  pres)</f>
        <v>Присутствует?</v>
      </c>
      <c r="C27" s="424">
        <f>'Этап 3 - Металлы - Сырье'!C22</f>
        <v>0</v>
      </c>
      <c r="D27" s="263" t="str">
        <f>'Этап 3 - Металлы - Сырье'!D22</f>
        <v>Произведенное золото, кг/год</v>
      </c>
      <c r="E27" s="435" t="str">
        <f>IF('Вставьте рез. яч. IL2 '!C34="",'Этап 3 - Металлы - Сырье'!F22,'Вставьте рез. яч. IL2 '!C34)</f>
        <v>Присутствует?</v>
      </c>
      <c r="F27" s="425" t="str">
        <f>IF('Вставьте рез. яч. IL2 '!D34="",'Этап 3 - Металлы - Сырье'!G22,'Вставьте рез. яч. IL2 '!D34)</f>
        <v>Присутствует?</v>
      </c>
      <c r="G27" s="425" t="str">
        <f>IF('Вставьте рез. яч. IL2 '!E34="",'Этап 3 - Металлы - Сырье'!H22,'Вставьте рез. яч. IL2 '!E34)</f>
        <v>Присутствует?</v>
      </c>
      <c r="H27" s="425" t="str">
        <f>IF('Вставьте рез. яч. IL2 '!F34="",'Этап 3 - Металлы - Сырье'!I22,'Вставьте рез. яч. IL2 '!F34)</f>
        <v>Присутствует?</v>
      </c>
      <c r="I27" s="425" t="str">
        <f>IF('Вставьте рез. яч. IL2 '!G34="",'Этап 3 - Металлы - Сырье'!J22,'Вставьте рез. яч. IL2 '!G34)</f>
        <v>Присутствует?</v>
      </c>
      <c r="J27" s="425" t="str">
        <f>IF('Вставьте рез. яч. IL2 '!H34="",'Этап 3 - Металлы - Сырье'!K22,'Вставьте рез. яч. IL2 '!H34)</f>
        <v>Присутствует?</v>
      </c>
      <c r="K27" s="425" t="str">
        <f>IF('Вставьте рез. яч. IL2 '!I34="",'Этап 3 - Металлы - Сырье'!L22,'Вставьте рез. яч. IL2 '!I34)</f>
        <v>Присутствует?</v>
      </c>
      <c r="L27" s="263" t="str">
        <f>'Этап 3 - Металлы - Сырье'!M22</f>
        <v>5.2.2</v>
      </c>
    </row>
    <row r="28" spans="1:12" ht="13">
      <c r="A28" s="390" t="str">
        <f>'Этап 3 - Металлы - Сырье'!A25</f>
        <v>Производство других материалов</v>
      </c>
      <c r="B28" s="302"/>
      <c r="C28" s="422"/>
      <c r="D28" s="369"/>
      <c r="E28" s="369"/>
      <c r="F28" s="369"/>
      <c r="G28" s="369"/>
      <c r="H28" s="369"/>
      <c r="I28" s="369"/>
      <c r="J28" s="369"/>
      <c r="K28" s="369"/>
      <c r="L28" s="369"/>
    </row>
    <row r="29" spans="1:12" ht="25">
      <c r="A29" s="263" t="s">
        <v>1249</v>
      </c>
      <c r="B29" s="267" t="str">
        <f>IF(OR('Этап 3 - Металлы - Сырье'!B26=yes,'Этап 3 - Металлы - Сырье'!B26=no,'Этап 3 - Металлы - Сырье'!B26=que),'Этап 3 - Металлы - Сырье'!B26,  pres)</f>
        <v>Присутствует?</v>
      </c>
      <c r="C29" s="424">
        <f>'Этап 3 - Металлы - Сырье'!C26</f>
        <v>0</v>
      </c>
      <c r="D29" s="263" t="str">
        <f>'Этап 3 - Металлы - Сырье'!D26</f>
        <v>Произведенный цемент, т/год</v>
      </c>
      <c r="E29" s="435" t="str">
        <f>IF('Вставьте рез. яч. IL2 '!C36="",'Этап 3 - Металлы - Сырье'!F26,'Вставьте рез. яч. IL2 '!C36)</f>
        <v>Присутствует?</v>
      </c>
      <c r="F29" s="425" t="str">
        <f>IF('Вставьте рез. яч. IL2 '!D36="",'Этап 3 - Металлы - Сырье'!G26,'Вставьте рез. яч. IL2 '!D36)</f>
        <v>Присутствует?</v>
      </c>
      <c r="G29" s="425" t="str">
        <f>IF('Вставьте рез. яч. IL2 '!E36="",'Этап 3 - Металлы - Сырье'!H26,'Вставьте рез. яч. IL2 '!E36)</f>
        <v>Присутствует?</v>
      </c>
      <c r="H29" s="425" t="str">
        <f>IF('Вставьте рез. яч. IL2 '!F36="",'Этап 3 - Металлы - Сырье'!I26,'Вставьте рез. яч. IL2 '!F36)</f>
        <v>Присутствует?</v>
      </c>
      <c r="I29" s="425" t="str">
        <f>IF('Вставьте рез. яч. IL2 '!G36="",'Этап 3 - Металлы - Сырье'!J26,'Вставьте рез. яч. IL2 '!G36)</f>
        <v>Присутствует?</v>
      </c>
      <c r="J29" s="425" t="str">
        <f>IF('Вставьте рез. яч. IL2 '!H36="",'Этап 3 - Металлы - Сырье'!K26,'Вставьте рез. яч. IL2 '!H36)</f>
        <v>Присутствует?</v>
      </c>
      <c r="K29" s="425" t="str">
        <f>IF('Вставьте рез. яч. IL2 '!I36="",'Этап 3 - Металлы - Сырье'!L26,'Вставьте рез. яч. IL2 '!I36)</f>
        <v>Присутствует?</v>
      </c>
      <c r="L29" s="263" t="str">
        <f>'Этап 3 - Металлы - Сырье'!M26</f>
        <v>5.3.1</v>
      </c>
    </row>
    <row r="30" spans="1:12" ht="25">
      <c r="A30" s="263" t="str">
        <f>'Этап 3 - Металлы - Сырье'!A31</f>
        <v>Производство целлюлозы и бумаги</v>
      </c>
      <c r="B30" s="267" t="str">
        <f>IF(OR('Этап 3 - Металлы - Сырье'!B31=yes,'Этап 3 - Металлы - Сырье'!B31=no,'Этап 3 - Металлы - Сырье'!B31=que),'Этап 3 - Металлы - Сырье'!B31,  pres)</f>
        <v>Присутствует?</v>
      </c>
      <c r="C30" s="424">
        <f>'Этап 3 - Металлы - Сырье'!C31</f>
        <v>0</v>
      </c>
      <c r="D30" s="263" t="str">
        <f>'Этап 3 - Металлы - Сырье'!D31</f>
        <v>Биомасса, использованная для производства, т/год</v>
      </c>
      <c r="E30" s="435" t="str">
        <f>IF('Вставьте рез. яч. IL2 '!C37="",'Этап 3 - Металлы - Сырье'!F31,'Вставьте рез. яч. IL2 '!C37)</f>
        <v>Присутствует?</v>
      </c>
      <c r="F30" s="425" t="str">
        <f>IF('Вставьте рез. яч. IL2 '!D37="",'Этап 3 - Металлы - Сырье'!G31,'Вставьте рез. яч. IL2 '!D37)</f>
        <v>Присутствует?</v>
      </c>
      <c r="G30" s="425" t="str">
        <f>IF('Вставьте рез. яч. IL2 '!E37="",'Этап 3 - Металлы - Сырье'!H31,'Вставьте рез. яч. IL2 '!E37)</f>
        <v>Присутствует?</v>
      </c>
      <c r="H30" s="425" t="str">
        <f>IF('Вставьте рез. яч. IL2 '!F37="",'Этап 3 - Металлы - Сырье'!I31,'Вставьте рез. яч. IL2 '!F37)</f>
        <v>Присутствует?</v>
      </c>
      <c r="I30" s="425" t="str">
        <f>IF('Вставьте рез. яч. IL2 '!G37="",'Этап 3 - Металлы - Сырье'!J31,'Вставьте рез. яч. IL2 '!G37)</f>
        <v>Присутствует?</v>
      </c>
      <c r="J30" s="425" t="str">
        <f>IF('Вставьте рез. яч. IL2 '!H37="",'Этап 3 - Металлы - Сырье'!K31,'Вставьте рез. яч. IL2 '!H37)</f>
        <v>Присутствует?</v>
      </c>
      <c r="K30" s="425" t="str">
        <f>IF('Вставьте рез. яч. IL2 '!I37="",'Этап 3 - Металлы - Сырье'!L31,'Вставьте рез. яч. IL2 '!I37)</f>
        <v>Присутствует?</v>
      </c>
      <c r="L30" s="263" t="str">
        <f>'Этап 3 - Металлы - Сырье'!M31</f>
        <v>5.3.2</v>
      </c>
    </row>
    <row r="31" spans="1:12" ht="13">
      <c r="A31" s="390" t="str">
        <f>'Этап 4-Пром. прим. Hg'!A4</f>
        <v>Производство химических веществ</v>
      </c>
      <c r="B31" s="302"/>
      <c r="C31" s="274"/>
      <c r="D31" s="303"/>
      <c r="E31" s="303"/>
      <c r="F31" s="433"/>
      <c r="G31" s="433"/>
      <c r="H31" s="433"/>
      <c r="I31" s="433"/>
      <c r="J31" s="433"/>
      <c r="K31" s="433"/>
      <c r="L31" s="304"/>
    </row>
    <row r="32" spans="1:12" ht="25">
      <c r="A32" s="263" t="str">
        <f>'Этап 4-Пром. прим. Hg'!A5</f>
        <v>Производство хлорщелочи с использованием ртутных электролизеров</v>
      </c>
      <c r="B32" s="267" t="str">
        <f>IF(OR('Этап 4-Пром. прим. Hg'!B5=yes,'Этап 4-Пром. прим. Hg'!B5=no,'Этап 4-Пром. прим. Hg'!B5=que),'Этап 4-Пром. прим. Hg'!B5,  pres)</f>
        <v>Присутствует?</v>
      </c>
      <c r="C32" s="373">
        <f>'Этап 4-Пром. прим. Hg'!C5</f>
        <v>0</v>
      </c>
      <c r="D32" s="271" t="str">
        <f>'Этап 4-Пром. прим. Hg'!D5</f>
        <v>Произведенный Cl2, т/год</v>
      </c>
      <c r="E32" s="435" t="str">
        <f>IF('Вставьте рез. яч. IL2 '!C39="",'Этап 4-Пром. прим. Hg'!E5,'Вставьте рез. яч. IL2 '!C39)</f>
        <v>Присутствует?</v>
      </c>
      <c r="F32" s="425" t="str">
        <f>IF('Вставьте рез. яч. IL2 '!D39="",'Этап 4-Пром. прим. Hg'!F5,'Вставьте рез. яч. IL2 '!D39)</f>
        <v>Присутствует?</v>
      </c>
      <c r="G32" s="425" t="str">
        <f>IF('Вставьте рез. яч. IL2 '!E39="",'Этап 4-Пром. прим. Hg'!G5,'Вставьте рез. яч. IL2 '!E39)</f>
        <v>Присутствует?</v>
      </c>
      <c r="H32" s="425" t="str">
        <f>IF('Вставьте рез. яч. IL2 '!F39="",'Этап 4-Пром. прим. Hg'!H5,'Вставьте рез. яч. IL2 '!F39)</f>
        <v>Присутствует?</v>
      </c>
      <c r="I32" s="425" t="str">
        <f>IF('Вставьте рез. яч. IL2 '!G39="",'Этап 4-Пром. прим. Hg'!I5,'Вставьте рез. яч. IL2 '!G39)</f>
        <v>Присутствует?</v>
      </c>
      <c r="J32" s="425" t="str">
        <f>IF('Вставьте рез. яч. IL2 '!H39="",'Этап 4-Пром. прим. Hg'!J5,'Вставьте рез. яч. IL2 '!H39)</f>
        <v>Присутствует?</v>
      </c>
      <c r="K32" s="425" t="str">
        <f>IF('Вставьте рез. яч. IL2 '!I39="",'Этап 4-Пром. прим. Hg'!K5,'Вставьте рез. яч. IL2 '!I39)</f>
        <v>Присутствует?</v>
      </c>
      <c r="L32" s="270" t="str">
        <f>'Этап 4-Пром. прим. Hg'!L5</f>
        <v>5.4.1</v>
      </c>
    </row>
    <row r="33" spans="1:13" ht="25">
      <c r="A33" s="263" t="str">
        <f>'Этап 4-Пром. прим. Hg'!A6</f>
        <v>Производство винилхлорида с помощью ртутного катализатора</v>
      </c>
      <c r="B33" s="267" t="str">
        <f>IF(OR('Этап 4-Пром. прим. Hg'!B6=yes,'Этап 4-Пром. прим. Hg'!B6=no,'Этап 4-Пром. прим. Hg'!B6=que),'Этап 4-Пром. прим. Hg'!B6,  pres)</f>
        <v>Присутствует?</v>
      </c>
      <c r="C33" s="373">
        <f>'Этап 4-Пром. прим. Hg'!C6</f>
        <v>0</v>
      </c>
      <c r="D33" s="271" t="str">
        <f>'Этап 4-Пром. прим. Hg'!D6</f>
        <v xml:space="preserve">Произведенный VCM, т/год </v>
      </c>
      <c r="E33" s="435" t="str">
        <f>IF('Вставьте рез. яч. IL2 '!C40="",'Этап 4-Пром. прим. Hg'!E6,'Вставьте рез. яч. IL2 '!C40)</f>
        <v>Присутствует?</v>
      </c>
      <c r="F33" s="425" t="str">
        <f>IF('Вставьте рез. яч. IL2 '!D40="",'Этап 4-Пром. прим. Hg'!F6,'Вставьте рез. яч. IL2 '!D40)</f>
        <v>Присутствует?</v>
      </c>
      <c r="G33" s="425" t="str">
        <f>IF('Вставьте рез. яч. IL2 '!E40="",'Этап 4-Пром. прим. Hg'!G6,'Вставьте рез. яч. IL2 '!E40)</f>
        <v>Присутствует?</v>
      </c>
      <c r="H33" s="425" t="str">
        <f>IF('Вставьте рез. яч. IL2 '!F40="",'Этап 4-Пром. прим. Hg'!H6,'Вставьте рез. яч. IL2 '!F40)</f>
        <v>Присутствует?</v>
      </c>
      <c r="I33" s="425" t="str">
        <f>IF('Вставьте рез. яч. IL2 '!G40="",'Этап 4-Пром. прим. Hg'!I6,'Вставьте рез. яч. IL2 '!G40)</f>
        <v>Присутствует?</v>
      </c>
      <c r="J33" s="425" t="str">
        <f>IF('Вставьте рез. яч. IL2 '!H40="",'Этап 4-Пром. прим. Hg'!J6,'Вставьте рез. яч. IL2 '!H40)</f>
        <v>Присутствует?</v>
      </c>
      <c r="K33" s="425" t="str">
        <f>IF('Вставьте рез. яч. IL2 '!I40="",'Этап 4-Пром. прим. Hg'!K6,'Вставьте рез. яч. IL2 '!I40)</f>
        <v>Присутствует?</v>
      </c>
      <c r="L33" s="270" t="str">
        <f>'Этап 4-Пром. прим. Hg'!L6</f>
        <v>5.4.2</v>
      </c>
    </row>
    <row r="34" spans="1:13" ht="25">
      <c r="A34" s="263" t="str">
        <f>'Этап 4-Пром. прим. Hg'!A7</f>
        <v>Производство ацетальдегида с помощью ртутного катализатора</v>
      </c>
      <c r="B34" s="267" t="str">
        <f>IF(OR('Этап 4-Пром. прим. Hg'!B7=yes,'Этап 4-Пром. прим. Hg'!B7=no,'Этап 4-Пром. прим. Hg'!B7=que),'Этап 4-Пром. прим. Hg'!B7,  pres)</f>
        <v>Присутствует?</v>
      </c>
      <c r="C34" s="373">
        <f>'Этап 4-Пром. прим. Hg'!C7</f>
        <v>0</v>
      </c>
      <c r="D34" s="271" t="str">
        <f>'Этап 4-Пром. прим. Hg'!D7</f>
        <v>Произведенный ацетальдегид, т/год</v>
      </c>
      <c r="E34" s="435" t="str">
        <f>IF('Вставьте рез. яч. IL2 '!C41="",'Этап 4-Пром. прим. Hg'!E7,'Вставьте рез. яч. IL2 '!C41)</f>
        <v>Присутствует?</v>
      </c>
      <c r="F34" s="425" t="str">
        <f>IF('Вставьте рез. яч. IL2 '!D41="",'Этап 4-Пром. прим. Hg'!F7,'Вставьте рез. яч. IL2 '!D41)</f>
        <v>Присутствует?</v>
      </c>
      <c r="G34" s="425" t="str">
        <f>IF('Вставьте рез. яч. IL2 '!E41="",'Этап 4-Пром. прим. Hg'!G7,'Вставьте рез. яч. IL2 '!E41)</f>
        <v>Присутствует?</v>
      </c>
      <c r="H34" s="425" t="str">
        <f>IF('Вставьте рез. яч. IL2 '!F41="",'Этап 4-Пром. прим. Hg'!H7,'Вставьте рез. яч. IL2 '!F41)</f>
        <v>Присутствует?</v>
      </c>
      <c r="I34" s="425" t="str">
        <f>IF('Вставьте рез. яч. IL2 '!G41="",'Этап 4-Пром. прим. Hg'!I7,'Вставьте рез. яч. IL2 '!G41)</f>
        <v>Присутствует?</v>
      </c>
      <c r="J34" s="425" t="str">
        <f>IF('Вставьте рез. яч. IL2 '!H41="",'Этап 4-Пром. прим. Hg'!J7,'Вставьте рез. яч. IL2 '!H41)</f>
        <v>Присутствует?</v>
      </c>
      <c r="K34" s="425" t="str">
        <f>IF('Вставьте рез. яч. IL2 '!I41="",'Этап 4-Пром. прим. Hg'!K7,'Вставьте рез. яч. IL2 '!I41)</f>
        <v>Присутствует?</v>
      </c>
      <c r="L34" s="270" t="str">
        <f>'Этап 4-Пром. прим. Hg'!L7</f>
        <v>5.4.3</v>
      </c>
    </row>
    <row r="35" spans="1:13" ht="13">
      <c r="A35" s="390" t="s">
        <v>1250</v>
      </c>
      <c r="B35" s="302"/>
      <c r="C35" s="274"/>
      <c r="D35" s="303"/>
      <c r="E35" s="303"/>
      <c r="F35" s="433"/>
      <c r="G35" s="433"/>
      <c r="H35" s="433"/>
      <c r="I35" s="433"/>
      <c r="J35" s="433"/>
      <c r="K35" s="433"/>
      <c r="L35" s="304"/>
    </row>
    <row r="36" spans="1:13" ht="25">
      <c r="A36" s="263" t="str">
        <f>'Этап 4-Пром. прим. Hg'!A10</f>
        <v xml:space="preserve">Ртутные термометры (медицинские, воздушные, лабораторные, промышленные и т. п.) </v>
      </c>
      <c r="B36" s="267" t="str">
        <f>IF(OR('Этап 4-Пром. прим. Hg'!B10=yes,'Этап 4-Пром. прим. Hg'!B10=no,'Этап 4-Пром. прим. Hg'!B10=que),'Этап 4-Пром. прим. Hg'!B10,  pres)</f>
        <v>Присутствует?</v>
      </c>
      <c r="C36" s="373">
        <f>'Этап 4-Пром. прим. Hg'!C10</f>
        <v>0</v>
      </c>
      <c r="D36" s="271" t="str">
        <f>'Этап 4-Пром. прим. Hg'!D10</f>
        <v>Ртуть, использованная для производства, кг/год</v>
      </c>
      <c r="E36" s="435" t="str">
        <f>IF('Вставьте рез. яч. IL2 '!C43="",'Этап 4-Пром. прим. Hg'!E10,'Вставьте рез. яч. IL2 '!C43)</f>
        <v>Присутствует?</v>
      </c>
      <c r="F36" s="425" t="str">
        <f>IF('Вставьте рез. яч. IL2 '!D43="",'Этап 4-Пром. прим. Hg'!F10,'Вставьте рез. яч. IL2 '!D43)</f>
        <v>Присутствует?</v>
      </c>
      <c r="G36" s="425" t="str">
        <f>IF('Вставьте рез. яч. IL2 '!E43="",'Этап 4-Пром. прим. Hg'!G10,'Вставьте рез. яч. IL2 '!E43)</f>
        <v>Присутствует?</v>
      </c>
      <c r="H36" s="425" t="str">
        <f>IF('Вставьте рез. яч. IL2 '!F43="",'Этап 4-Пром. прим. Hg'!H10,'Вставьте рез. яч. IL2 '!F43)</f>
        <v>Присутствует?</v>
      </c>
      <c r="I36" s="425" t="str">
        <f>IF('Вставьте рез. яч. IL2 '!G43="",'Этап 4-Пром. прим. Hg'!I10,'Вставьте рез. яч. IL2 '!G43)</f>
        <v>Присутствует?</v>
      </c>
      <c r="J36" s="425" t="str">
        <f>IF('Вставьте рез. яч. IL2 '!H43="",'Этап 4-Пром. прим. Hg'!J10,'Вставьте рез. яч. IL2 '!H43)</f>
        <v>Присутствует?</v>
      </c>
      <c r="K36" s="425" t="str">
        <f>IF('Вставьте рез. яч. IL2 '!I43="",'Этап 4-Пром. прим. Hg'!K10,'Вставьте рез. яч. IL2 '!I43)</f>
        <v>Присутствует?</v>
      </c>
      <c r="L36" s="278" t="str">
        <f>'Этап 4-Пром. прим. Hg'!L10</f>
        <v>5.5.1</v>
      </c>
      <c r="M36" s="538"/>
    </row>
    <row r="37" spans="1:13" ht="25">
      <c r="A37" s="263" t="str">
        <f>'Этап 4-Пром. прим. Hg'!A11</f>
        <v xml:space="preserve">Электрические переключатели и реле с ртутью </v>
      </c>
      <c r="B37" s="267" t="str">
        <f>IF(OR('Этап 4-Пром. прим. Hg'!B11=yes,'Этап 4-Пром. прим. Hg'!B11=no,'Этап 4-Пром. прим. Hg'!B11=que),'Этап 4-Пром. прим. Hg'!B11,  pres)</f>
        <v>Присутствует?</v>
      </c>
      <c r="C37" s="373">
        <f>'Этап 4-Пром. прим. Hg'!C11</f>
        <v>0</v>
      </c>
      <c r="D37" s="271" t="str">
        <f>'Этап 4-Пром. прим. Hg'!D11</f>
        <v>Ртуть, использованная для производства, кг/год</v>
      </c>
      <c r="E37" s="435" t="str">
        <f>IF('Вставьте рез. яч. IL2 '!C44="",'Этап 4-Пром. прим. Hg'!E11,'Вставьте рез. яч. IL2 '!C44)</f>
        <v>Присутствует?</v>
      </c>
      <c r="F37" s="425" t="str">
        <f>IF('Вставьте рез. яч. IL2 '!D44="",'Этап 4-Пром. прим. Hg'!F11,'Вставьте рез. яч. IL2 '!D44)</f>
        <v>Присутствует?</v>
      </c>
      <c r="G37" s="425" t="str">
        <f>IF('Вставьте рез. яч. IL2 '!E44="",'Этап 4-Пром. прим. Hg'!G11,'Вставьте рез. яч. IL2 '!E44)</f>
        <v>Присутствует?</v>
      </c>
      <c r="H37" s="425" t="str">
        <f>IF('Вставьте рез. яч. IL2 '!F44="",'Этап 4-Пром. прим. Hg'!H11,'Вставьте рез. яч. IL2 '!F44)</f>
        <v>Присутствует?</v>
      </c>
      <c r="I37" s="425" t="str">
        <f>IF('Вставьте рез. яч. IL2 '!G44="",'Этап 4-Пром. прим. Hg'!I11,'Вставьте рез. яч. IL2 '!G44)</f>
        <v>Присутствует?</v>
      </c>
      <c r="J37" s="425" t="str">
        <f>IF('Вставьте рез. яч. IL2 '!H44="",'Этап 4-Пром. прим. Hg'!J11,'Вставьте рез. яч. IL2 '!H44)</f>
        <v>Присутствует?</v>
      </c>
      <c r="K37" s="425" t="str">
        <f>IF('Вставьте рез. яч. IL2 '!I44="",'Этап 4-Пром. прим. Hg'!K11,'Вставьте рез. яч. IL2 '!I44)</f>
        <v>Присутствует?</v>
      </c>
      <c r="L37" s="278" t="str">
        <f>'Этап 4-Пром. прим. Hg'!L11</f>
        <v>5.5.2</v>
      </c>
    </row>
    <row r="38" spans="1:13" ht="25">
      <c r="A38" s="263" t="str">
        <f>'Этап 4-Пром. прим. Hg'!A12</f>
        <v>Источники света с ртутью (флуоресцентные, компактные, прочие: см. руководство)</v>
      </c>
      <c r="B38" s="267" t="str">
        <f>IF(OR('Этап 4-Пром. прим. Hg'!B12=yes,'Этап 4-Пром. прим. Hg'!B12=no,'Этап 4-Пром. прим. Hg'!B12=que),'Этап 4-Пром. прим. Hg'!B12,  pres)</f>
        <v>Присутствует?</v>
      </c>
      <c r="C38" s="373">
        <f>'Этап 4-Пром. прим. Hg'!C12</f>
        <v>0</v>
      </c>
      <c r="D38" s="271" t="str">
        <f>'Этап 4-Пром. прим. Hg'!D12</f>
        <v>Ртуть, использованная для производства, кг/год</v>
      </c>
      <c r="E38" s="435" t="str">
        <f>IF('Вставьте рез. яч. IL2 '!C45="",'Этап 4-Пром. прим. Hg'!E12,'Вставьте рез. яч. IL2 '!C45)</f>
        <v>Присутствует?</v>
      </c>
      <c r="F38" s="425" t="str">
        <f>IF('Вставьте рез. яч. IL2 '!D45="",'Этап 4-Пром. прим. Hg'!F12,'Вставьте рез. яч. IL2 '!D45)</f>
        <v>Присутствует?</v>
      </c>
      <c r="G38" s="425" t="str">
        <f>IF('Вставьте рез. яч. IL2 '!E45="",'Этап 4-Пром. прим. Hg'!G12,'Вставьте рез. яч. IL2 '!E45)</f>
        <v>Присутствует?</v>
      </c>
      <c r="H38" s="425" t="str">
        <f>IF('Вставьте рез. яч. IL2 '!F45="",'Этап 4-Пром. прим. Hg'!H12,'Вставьте рез. яч. IL2 '!F45)</f>
        <v>Присутствует?</v>
      </c>
      <c r="I38" s="425" t="str">
        <f>IF('Вставьте рез. яч. IL2 '!G45="",'Этап 4-Пром. прим. Hg'!I12,'Вставьте рез. яч. IL2 '!G45)</f>
        <v>Присутствует?</v>
      </c>
      <c r="J38" s="425" t="str">
        <f>IF('Вставьте рез. яч. IL2 '!H45="",'Этап 4-Пром. прим. Hg'!J12,'Вставьте рез. яч. IL2 '!H45)</f>
        <v>Присутствует?</v>
      </c>
      <c r="K38" s="425" t="str">
        <f>IF('Вставьте рез. яч. IL2 '!I45="",'Этап 4-Пром. прим. Hg'!K12,'Вставьте рез. яч. IL2 '!I45)</f>
        <v>Присутствует?</v>
      </c>
      <c r="L38" s="278" t="str">
        <f>'Этап 4-Пром. прим. Hg'!L12</f>
        <v>5.5.3</v>
      </c>
      <c r="M38" s="535"/>
    </row>
    <row r="39" spans="1:13" ht="25">
      <c r="A39" s="263" t="str">
        <f>'Этап 4-Пром. прим. Hg'!A13</f>
        <v xml:space="preserve">Ртутные батареи </v>
      </c>
      <c r="B39" s="267" t="str">
        <f>IF(OR('Этап 4-Пром. прим. Hg'!B13=yes,'Этап 4-Пром. прим. Hg'!B13=no,'Этап 4-Пром. прим. Hg'!B13=que),'Этап 4-Пром. прим. Hg'!B13,  pres)</f>
        <v>Присутствует?</v>
      </c>
      <c r="C39" s="373">
        <f>'Этап 4-Пром. прим. Hg'!C13</f>
        <v>0</v>
      </c>
      <c r="D39" s="271" t="str">
        <f>'Этап 4-Пром. прим. Hg'!D13</f>
        <v>Ртуть, использованная для производства, кг/год</v>
      </c>
      <c r="E39" s="435" t="str">
        <f>IF('Вставьте рез. яч. IL2 '!C46="",'Этап 4-Пром. прим. Hg'!E13,'Вставьте рез. яч. IL2 '!C46)</f>
        <v>Присутствует?</v>
      </c>
      <c r="F39" s="425" t="str">
        <f>IF('Вставьте рез. яч. IL2 '!D46="",'Этап 4-Пром. прим. Hg'!F13,'Вставьте рез. яч. IL2 '!D46)</f>
        <v>Присутствует?</v>
      </c>
      <c r="G39" s="425" t="str">
        <f>IF('Вставьте рез. яч. IL2 '!E46="",'Этап 4-Пром. прим. Hg'!G13,'Вставьте рез. яч. IL2 '!E46)</f>
        <v>Присутствует?</v>
      </c>
      <c r="H39" s="425" t="str">
        <f>IF('Вставьте рез. яч. IL2 '!F46="",'Этап 4-Пром. прим. Hg'!H13,'Вставьте рез. яч. IL2 '!F46)</f>
        <v>Присутствует?</v>
      </c>
      <c r="I39" s="425" t="str">
        <f>IF('Вставьте рез. яч. IL2 '!G46="",'Этап 4-Пром. прим. Hg'!I13,'Вставьте рез. яч. IL2 '!G46)</f>
        <v>Присутствует?</v>
      </c>
      <c r="J39" s="425" t="str">
        <f>IF('Вставьте рез. яч. IL2 '!H46="",'Этап 4-Пром. прим. Hg'!J13,'Вставьте рез. яч. IL2 '!H46)</f>
        <v>Присутствует?</v>
      </c>
      <c r="K39" s="425" t="str">
        <f>IF('Вставьте рез. яч. IL2 '!I46="",'Этап 4-Пром. прим. Hg'!K13,'Вставьте рез. яч. IL2 '!I46)</f>
        <v>Присутствует?</v>
      </c>
      <c r="L39" s="278" t="str">
        <f>'Этап 4-Пром. прим. Hg'!L13</f>
        <v>5.5.4</v>
      </c>
      <c r="M39" s="466"/>
    </row>
    <row r="40" spans="1:13" ht="25">
      <c r="A40" s="263" t="str">
        <f>'Этап 4-Пром. прим. Hg'!A14</f>
        <v xml:space="preserve">Ртутные манометры и датчики </v>
      </c>
      <c r="B40" s="267" t="str">
        <f>IF(OR('Этап 4-Пром. прим. Hg'!B14=yes,'Этап 4-Пром. прим. Hg'!B14=no,'Этап 4-Пром. прим. Hg'!B14=que),'Этап 4-Пром. прим. Hg'!B14,  pres)</f>
        <v>Присутствует?</v>
      </c>
      <c r="C40" s="373">
        <f>'Этап 4-Пром. прим. Hg'!C14</f>
        <v>0</v>
      </c>
      <c r="D40" s="271" t="str">
        <f>'Этап 4-Пром. прим. Hg'!D14</f>
        <v>Ртуть, использованная для производства, кг/год</v>
      </c>
      <c r="E40" s="435" t="str">
        <f>IF('Вставьте рез. яч. IL2 '!C47="",'Этап 4-Пром. прим. Hg'!E14,'Вставьте рез. яч. IL2 '!C47)</f>
        <v>Присутствует?</v>
      </c>
      <c r="F40" s="425" t="str">
        <f>IF('Вставьте рез. яч. IL2 '!D47="",'Этап 4-Пром. прим. Hg'!F14,'Вставьте рез. яч. IL2 '!D47)</f>
        <v>Присутствует?</v>
      </c>
      <c r="G40" s="425" t="str">
        <f>IF('Вставьте рез. яч. IL2 '!E47="",'Этап 4-Пром. прим. Hg'!G14,'Вставьте рез. яч. IL2 '!E47)</f>
        <v>Присутствует?</v>
      </c>
      <c r="H40" s="425" t="str">
        <f>IF('Вставьте рез. яч. IL2 '!F47="",'Этап 4-Пром. прим. Hg'!H14,'Вставьте рез. яч. IL2 '!F47)</f>
        <v>Присутствует?</v>
      </c>
      <c r="I40" s="425" t="str">
        <f>IF('Вставьте рез. яч. IL2 '!G47="",'Этап 4-Пром. прим. Hg'!I14,'Вставьте рез. яч. IL2 '!G47)</f>
        <v>Присутствует?</v>
      </c>
      <c r="J40" s="425" t="str">
        <f>IF('Вставьте рез. яч. IL2 '!H47="",'Этап 4-Пром. прим. Hg'!J14,'Вставьте рез. яч. IL2 '!H47)</f>
        <v>Присутствует?</v>
      </c>
      <c r="K40" s="425" t="str">
        <f>IF('Вставьте рез. яч. IL2 '!I47="",'Этап 4-Пром. прим. Hg'!K14,'Вставьте рез. яч. IL2 '!I47)</f>
        <v>Присутствует?</v>
      </c>
      <c r="L40" s="270" t="str">
        <f>'Этап 4-Пром. прим. Hg'!L14</f>
        <v>5.6.2</v>
      </c>
    </row>
    <row r="41" spans="1:13" ht="25">
      <c r="A41" s="263" t="str">
        <f>'Этап 4-Пром. прим. Hg'!A15</f>
        <v xml:space="preserve">Ртутьсодержащие биоциды и пестициды </v>
      </c>
      <c r="B41" s="267" t="str">
        <f>IF(OR('Этап 4-Пром. прим. Hg'!B15=yes,'Этап 4-Пром. прим. Hg'!B15=no,'Этап 4-Пром. прим. Hg'!B15=que),'Этап 4-Пром. прим. Hg'!B15,  pres)</f>
        <v>Присутствует?</v>
      </c>
      <c r="C41" s="373">
        <f>'Этап 4-Пром. прим. Hg'!C15</f>
        <v>0</v>
      </c>
      <c r="D41" s="271" t="str">
        <f>'Этап 4-Пром. прим. Hg'!D15</f>
        <v>Ртуть, использованная для производства, кг/год</v>
      </c>
      <c r="E41" s="435" t="str">
        <f>IF('Вставьте рез. яч. IL2 '!C48="",'Этап 4-Пром. прим. Hg'!E15,'Вставьте рез. яч. IL2 '!C48)</f>
        <v>Присутствует?</v>
      </c>
      <c r="F41" s="425" t="str">
        <f>IF('Вставьте рез. яч. IL2 '!D48="",'Этап 4-Пром. прим. Hg'!F15,'Вставьте рез. яч. IL2 '!D48)</f>
        <v>Присутствует?</v>
      </c>
      <c r="G41" s="425" t="str">
        <f>IF('Вставьте рез. яч. IL2 '!E48="",'Этап 4-Пром. прим. Hg'!G15,'Вставьте рез. яч. IL2 '!E48)</f>
        <v>Присутствует?</v>
      </c>
      <c r="H41" s="425" t="str">
        <f>IF('Вставьте рез. яч. IL2 '!F48="",'Этап 4-Пром. прим. Hg'!H15,'Вставьте рез. яч. IL2 '!F48)</f>
        <v>Присутствует?</v>
      </c>
      <c r="I41" s="425" t="str">
        <f>IF('Вставьте рез. яч. IL2 '!G48="",'Этап 4-Пром. прим. Hg'!I15,'Вставьте рез. яч. IL2 '!G48)</f>
        <v>Присутствует?</v>
      </c>
      <c r="J41" s="425" t="str">
        <f>IF('Вставьте рез. яч. IL2 '!H48="",'Этап 4-Пром. прим. Hg'!J15,'Вставьте рез. яч. IL2 '!H48)</f>
        <v>Присутствует?</v>
      </c>
      <c r="K41" s="425" t="str">
        <f>IF('Вставьте рез. яч. IL2 '!I48="",'Этап 4-Пром. прим. Hg'!K15,'Вставьте рез. яч. IL2 '!I48)</f>
        <v>Присутствует?</v>
      </c>
      <c r="L41" s="270" t="str">
        <f>'Этап 4-Пром. прим. Hg'!L15</f>
        <v>5.5.5</v>
      </c>
    </row>
    <row r="42" spans="1:13" ht="25">
      <c r="A42" s="263" t="str">
        <f>'Этап 4-Пром. прим. Hg'!A16</f>
        <v xml:space="preserve">Ртутьсодержащие краски </v>
      </c>
      <c r="B42" s="267" t="str">
        <f>IF(OR('Этап 4-Пром. прим. Hg'!B16=yes,'Этап 4-Пром. прим. Hg'!B16=no,'Этап 4-Пром. прим. Hg'!B16=que),'Этап 4-Пром. прим. Hg'!B16,  pres)</f>
        <v>Присутствует?</v>
      </c>
      <c r="C42" s="373">
        <f>'Этап 4-Пром. прим. Hg'!C16</f>
        <v>0</v>
      </c>
      <c r="D42" s="271" t="str">
        <f>'Этап 4-Пром. прим. Hg'!D16</f>
        <v>Ртуть, использованная для производства, кг/год</v>
      </c>
      <c r="E42" s="435" t="str">
        <f>IF('Вставьте рез. яч. IL2 '!C49="",'Этап 4-Пром. прим. Hg'!E16,'Вставьте рез. яч. IL2 '!C49)</f>
        <v>Присутствует?</v>
      </c>
      <c r="F42" s="425" t="str">
        <f>IF('Вставьте рез. яч. IL2 '!D49="",'Этап 4-Пром. прим. Hg'!F16,'Вставьте рез. яч. IL2 '!D49)</f>
        <v>Присутствует?</v>
      </c>
      <c r="G42" s="425" t="str">
        <f>IF('Вставьте рез. яч. IL2 '!E49="",'Этап 4-Пром. прим. Hg'!G16,'Вставьте рез. яч. IL2 '!E49)</f>
        <v>Присутствует?</v>
      </c>
      <c r="H42" s="425" t="str">
        <f>IF('Вставьте рез. яч. IL2 '!F49="",'Этап 4-Пром. прим. Hg'!H16,'Вставьте рез. яч. IL2 '!F49)</f>
        <v>Присутствует?</v>
      </c>
      <c r="I42" s="425" t="str">
        <f>IF('Вставьте рез. яч. IL2 '!G49="",'Этап 4-Пром. прим. Hg'!I16,'Вставьте рез. яч. IL2 '!G49)</f>
        <v>Присутствует?</v>
      </c>
      <c r="J42" s="425" t="str">
        <f>IF('Вставьте рез. яч. IL2 '!H49="",'Этап 4-Пром. прим. Hg'!J16,'Вставьте рез. яч. IL2 '!H49)</f>
        <v>Присутствует?</v>
      </c>
      <c r="K42" s="425" t="str">
        <f>IF('Вставьте рез. яч. IL2 '!I49="",'Этап 4-Пром. прим. Hg'!K16,'Вставьте рез. яч. IL2 '!I49)</f>
        <v>Присутствует?</v>
      </c>
      <c r="L42" s="270" t="str">
        <f>'Этап 4-Пром. прим. Hg'!L16</f>
        <v>5.5.6</v>
      </c>
    </row>
    <row r="43" spans="1:13" ht="25">
      <c r="A43" s="263" t="str">
        <f>'Этап 4-Пром. прим. Hg'!A17</f>
        <v xml:space="preserve">Кремы для отбеливания кожи и мыло с содержанием элементов ртути </v>
      </c>
      <c r="B43" s="267" t="str">
        <f>IF(OR('Этап 4-Пром. прим. Hg'!B17=yes,'Этап 4-Пром. прим. Hg'!B17=no,'Этап 4-Пром. прим. Hg'!B17=que),'Этап 4-Пром. прим. Hg'!B17,  pres)</f>
        <v>Присутствует?</v>
      </c>
      <c r="C43" s="373">
        <f>'Этап 4-Пром. прим. Hg'!C17</f>
        <v>0</v>
      </c>
      <c r="D43" s="271" t="str">
        <f>'Этап 4-Пром. прим. Hg'!D17</f>
        <v>Ртуть, использованная для производства, кг/год</v>
      </c>
      <c r="E43" s="435" t="str">
        <f>IF('Вставьте рез. яч. IL2 '!C50="",'Этап 4-Пром. прим. Hg'!E17,'Вставьте рез. яч. IL2 '!C50)</f>
        <v>Присутствует?</v>
      </c>
      <c r="F43" s="425" t="str">
        <f>IF('Вставьте рез. яч. IL2 '!D50="",'Этап 4-Пром. прим. Hg'!F17,'Вставьте рез. яч. IL2 '!D50)</f>
        <v>Присутствует?</v>
      </c>
      <c r="G43" s="425" t="str">
        <f>IF('Вставьте рез. яч. IL2 '!E50="",'Этап 4-Пром. прим. Hg'!G17,'Вставьте рез. яч. IL2 '!E50)</f>
        <v>Присутствует?</v>
      </c>
      <c r="H43" s="425" t="str">
        <f>IF('Вставьте рез. яч. IL2 '!F50="",'Этап 4-Пром. прим. Hg'!H17,'Вставьте рез. яч. IL2 '!F50)</f>
        <v>Присутствует?</v>
      </c>
      <c r="I43" s="425" t="str">
        <f>IF('Вставьте рез. яч. IL2 '!G50="",'Этап 4-Пром. прим. Hg'!I17,'Вставьте рез. яч. IL2 '!G50)</f>
        <v>Присутствует?</v>
      </c>
      <c r="J43" s="425" t="str">
        <f>IF('Вставьте рез. яч. IL2 '!H50="",'Этап 4-Пром. прим. Hg'!J17,'Вставьте рез. яч. IL2 '!H50)</f>
        <v>Присутствует?</v>
      </c>
      <c r="K43" s="425" t="str">
        <f>IF('Вставьте рез. яч. IL2 '!I50="",'Этап 4-Пром. прим. Hg'!K17,'Вставьте рез. яч. IL2 '!I50)</f>
        <v>Присутствует?</v>
      </c>
      <c r="L43" s="270" t="str">
        <f>'Этап 4-Пром. прим. Hg'!L17</f>
        <v>5.5.7</v>
      </c>
    </row>
    <row r="44" spans="1:13" ht="26">
      <c r="A44" s="390" t="str">
        <f>'Этап 6-Hg-продукция - вещ-ва'!A6</f>
        <v>Использование и утилизация ртутьсодержащей продукции</v>
      </c>
      <c r="B44" s="302"/>
      <c r="C44" s="274"/>
      <c r="D44" s="303"/>
      <c r="E44" s="303"/>
      <c r="F44" s="433"/>
      <c r="G44" s="433"/>
      <c r="H44" s="433"/>
      <c r="I44" s="433"/>
      <c r="J44" s="433"/>
      <c r="K44" s="433"/>
      <c r="L44" s="304"/>
    </row>
    <row r="45" spans="1:13" ht="25">
      <c r="A45" s="263" t="str">
        <f>'Этап 6-Hg-продукция - вещ-ва'!A7</f>
        <v>Амальгама для зубных пломб («серебряные» пломбы)</v>
      </c>
      <c r="B45" s="267" t="str">
        <f>IF(OR('Этап 6-Hg-продукция - вещ-ва'!B7=yes,'Этап 6-Hg-продукция - вещ-ва'!B7=no,'Этап 6-Hg-продукция - вещ-ва'!B7=que),'Этап 6-Hg-продукция - вещ-ва'!B7,  pres)</f>
        <v>Присутствует?</v>
      </c>
      <c r="C45" s="373">
        <f>'Этап 6-Hg-продукция - вещ-ва'!C8</f>
        <v>0</v>
      </c>
      <c r="D45" s="373" t="str">
        <f>'Этап 6-Hg-продукция - вещ-ва'!D8</f>
        <v>Количество жителей</v>
      </c>
      <c r="E45" s="435" t="str">
        <f>IF('Вставьте рез. яч. IL2 '!C52="",'Этап 6-Hg-продукция - вещ-ва'!F7,'Вставьте рез. яч. IL2 '!C52)</f>
        <v>Присутствует?</v>
      </c>
      <c r="F45" s="425" t="str">
        <f>IF('Вставьте рез. яч. IL2 '!D52="",'Этап 6-Hg-продукция - вещ-ва'!G7,'Вставьте рез. яч. IL2 '!D52)</f>
        <v>Присутствует?</v>
      </c>
      <c r="G45" s="425" t="str">
        <f>IF('Вставьте рез. яч. IL2 '!E52="",'Этап 6-Hg-продукция - вещ-ва'!H7,'Вставьте рез. яч. IL2 '!E52)</f>
        <v>Присутствует?</v>
      </c>
      <c r="H45" s="425" t="str">
        <f>IF('Вставьте рез. яч. IL2 '!F52="",'Этап 6-Hg-продукция - вещ-ва'!I7,'Вставьте рез. яч. IL2 '!F52)</f>
        <v>Присутствует?</v>
      </c>
      <c r="I45" s="425" t="str">
        <f>IF('Вставьте рез. яч. IL2 '!G52="",'Этап 6-Hg-продукция - вещ-ва'!J7,'Вставьте рез. яч. IL2 '!G52)</f>
        <v>Присутствует?</v>
      </c>
      <c r="J45" s="425" t="str">
        <f>IF('Вставьте рез. яч. IL2 '!H52="",'Этап 6-Hg-продукция - вещ-ва'!K7,'Вставьте рез. яч. IL2 '!H52)</f>
        <v>Присутствует?</v>
      </c>
      <c r="K45" s="425" t="str">
        <f>IF('Вставьте рез. яч. IL2 '!I52="",'Этап 6-Hg-продукция - вещ-ва'!L7,'Вставьте рез. яч. IL2 '!I52)</f>
        <v>Присутствует?</v>
      </c>
      <c r="L45" s="270" t="str">
        <f>'Этап 6-Hg-продукция - вещ-ва'!M7</f>
        <v>5.6.1</v>
      </c>
    </row>
    <row r="46" spans="1:13" ht="25">
      <c r="A46" s="263" t="str">
        <f>'Этап 6-Hg-продукция - вещ-ва'!A15</f>
        <v>Термометры</v>
      </c>
      <c r="B46" s="267" t="str">
        <f>IF(OR('Этап 6-Hg-продукция - вещ-ва'!B15=yes,'Этап 6-Hg-продукция - вещ-ва'!B15=no,'Этап 6-Hg-продукция - вещ-ва'!B15=que),'Этап 6-Hg-продукция - вещ-ва'!B15,  pres)</f>
        <v>Присутствует?</v>
      </c>
      <c r="C46" s="373">
        <f>'Этап 6-Hg-продукция - вещ-ва'!C15</f>
        <v>0</v>
      </c>
      <c r="D46" s="373" t="str">
        <f>'Этап 6-Hg-продукция - вещ-ва'!D16</f>
        <v>Кол-во проданных позиций/год</v>
      </c>
      <c r="E46" s="435" t="str">
        <f>IF('Вставьте рез. яч. IL2 '!C53="",'Этап 6-Hg-продукция - вещ-ва'!F15,'Вставьте рез. яч. IL2 '!C53)</f>
        <v>Присутствует?</v>
      </c>
      <c r="F46" s="425" t="str">
        <f>IF('Вставьте рез. яч. IL2 '!D53="",'Этап 6-Hg-продукция - вещ-ва'!G15,'Вставьте рез. яч. IL2 '!D53)</f>
        <v>Присутствует?</v>
      </c>
      <c r="G46" s="425" t="str">
        <f>IF('Вставьте рез. яч. IL2 '!E53="",'Этап 6-Hg-продукция - вещ-ва'!H15,'Вставьте рез. яч. IL2 '!E53)</f>
        <v>Присутствует?</v>
      </c>
      <c r="H46" s="425" t="str">
        <f>IF('Вставьте рез. яч. IL2 '!F53="",'Этап 6-Hg-продукция - вещ-ва'!I15,'Вставьте рез. яч. IL2 '!F53)</f>
        <v>Присутствует?</v>
      </c>
      <c r="I46" s="425" t="str">
        <f>IF('Вставьте рез. яч. IL2 '!G53="",'Этап 6-Hg-продукция - вещ-ва'!J15,'Вставьте рез. яч. IL2 '!G53)</f>
        <v>Присутствует?</v>
      </c>
      <c r="J46" s="425" t="str">
        <f>IF('Вставьте рез. яч. IL2 '!H53="",'Этап 6-Hg-продукция - вещ-ва'!K15,'Вставьте рез. яч. IL2 '!H53)</f>
        <v>Присутствует?</v>
      </c>
      <c r="K46" s="425" t="str">
        <f>IF('Вставьте рез. яч. IL2 '!I53="",'Этап 6-Hg-продукция - вещ-ва'!L15,'Вставьте рез. яч. IL2 '!I53)</f>
        <v>Присутствует?</v>
      </c>
      <c r="L46" s="270" t="str">
        <f>'Этап 6-Hg-продукция - вещ-ва'!M15</f>
        <v>5.5.1</v>
      </c>
      <c r="M46" s="535"/>
    </row>
    <row r="47" spans="1:13" ht="25">
      <c r="A47" s="263" t="str">
        <f>'Этап 6-Hg-продукция - вещ-ва'!A20</f>
        <v>Электрические переключатели и реле с ртутью</v>
      </c>
      <c r="B47" s="267" t="str">
        <f>IF(OR('Этап 6-Hg-продукция - вещ-ва'!B20=yes,'Этап 6-Hg-продукция - вещ-ва'!B20=no,'Этап 6-Hg-продукция - вещ-ва'!B20=que),'Этап 6-Hg-продукция - вещ-ва'!B20,  pres)</f>
        <v>Присутствует?</v>
      </c>
      <c r="C47" s="373">
        <f>'Этап 6-Hg-продукция - вещ-ва'!C20</f>
        <v>0</v>
      </c>
      <c r="D47" s="271" t="str">
        <f>'Этап 6-Hg-продукция - вещ-ва'!D20</f>
        <v>Количество жителей</v>
      </c>
      <c r="E47" s="435" t="str">
        <f>IF('Вставьте рез. яч. IL2 '!C54="",'Этап 6-Hg-продукция - вещ-ва'!F20,'Вставьте рез. яч. IL2 '!C54)</f>
        <v>Присутствует?</v>
      </c>
      <c r="F47" s="425" t="str">
        <f>IF('Вставьте рез. яч. IL2 '!D54="",'Этап 6-Hg-продукция - вещ-ва'!G20,'Вставьте рез. яч. IL2 '!D54)</f>
        <v>Присутствует?</v>
      </c>
      <c r="G47" s="425" t="str">
        <f>IF('Вставьте рез. яч. IL2 '!E54="",'Этап 6-Hg-продукция - вещ-ва'!H20,'Вставьте рез. яч. IL2 '!E54)</f>
        <v>Присутствует?</v>
      </c>
      <c r="H47" s="425" t="str">
        <f>IF('Вставьте рез. яч. IL2 '!F54="",'Этап 6-Hg-продукция - вещ-ва'!I20,'Вставьте рез. яч. IL2 '!F54)</f>
        <v>Присутствует?</v>
      </c>
      <c r="I47" s="425" t="str">
        <f>IF('Вставьте рез. яч. IL2 '!G54="",'Этап 6-Hg-продукция - вещ-ва'!J20,'Вставьте рез. яч. IL2 '!G54)</f>
        <v>Присутствует?</v>
      </c>
      <c r="J47" s="425" t="str">
        <f>IF('Вставьте рез. яч. IL2 '!H54="",'Этап 6-Hg-продукция - вещ-ва'!K20,'Вставьте рез. яч. IL2 '!H54)</f>
        <v>Присутствует?</v>
      </c>
      <c r="K47" s="425" t="str">
        <f>IF('Вставьте рез. яч. IL2 '!I54="",'Этап 6-Hg-продукция - вещ-ва'!L20,'Вставьте рез. яч. IL2 '!I54)</f>
        <v>Присутствует?</v>
      </c>
      <c r="L47" s="270" t="str">
        <f>'Этап 6-Hg-продукция - вещ-ва'!M20</f>
        <v>5.5.2</v>
      </c>
    </row>
    <row r="48" spans="1:13" ht="25">
      <c r="A48" s="263" t="str">
        <f>'Этап 6-Hg-продукция - вещ-ва'!A23</f>
        <v>Ртутьсодержащие источники света</v>
      </c>
      <c r="B48" s="267" t="str">
        <f>IF(OR('Этап 6-Hg-продукция - вещ-ва'!B23=yes,'Этап 6-Hg-продукция - вещ-ва'!B23=no,'Этап 6-Hg-продукция - вещ-ва'!B23=que),'Этап 6-Hg-продукция - вещ-ва'!B23,  pres)</f>
        <v>Да</v>
      </c>
      <c r="C48" s="373">
        <f>'Этап 6-Hg-продукция - вещ-ва'!C23</f>
        <v>0</v>
      </c>
      <c r="D48" s="271" t="str">
        <f>'Этап 6-Hg-продукция - вещ-ва'!D23</f>
        <v>Кол-во проданных позиций/год</v>
      </c>
      <c r="E48" s="435" t="str">
        <f>IF('Вставьте рез. яч. IL2 '!C55="",'Этап 6-Hg-продукция - вещ-ва'!F23,'Вставьте рез. яч. IL2 '!C55)</f>
        <v>Присутствует?</v>
      </c>
      <c r="F48" s="425" t="str">
        <f>IF('Вставьте рез. яч. IL2 '!D55="",'Этап 6-Hg-продукция - вещ-ва'!G23,'Вставьте рез. яч. IL2 '!D55)</f>
        <v>Присутствует?</v>
      </c>
      <c r="G48" s="425" t="str">
        <f>IF('Вставьте рез. яч. IL2 '!E55="",'Этап 6-Hg-продукция - вещ-ва'!H23,'Вставьте рез. яч. IL2 '!E55)</f>
        <v>Присутствует?</v>
      </c>
      <c r="H48" s="425" t="str">
        <f>IF('Вставьте рез. яч. IL2 '!F55="",'Этап 6-Hg-продукция - вещ-ва'!I23,'Вставьте рез. яч. IL2 '!F55)</f>
        <v>Присутствует?</v>
      </c>
      <c r="I48" s="425" t="str">
        <f>IF('Вставьте рез. яч. IL2 '!G55="",'Этап 6-Hg-продукция - вещ-ва'!J23,'Вставьте рез. яч. IL2 '!G55)</f>
        <v>Присутствует?</v>
      </c>
      <c r="J48" s="425" t="str">
        <f>IF('Вставьте рез. яч. IL2 '!H55="",'Этап 6-Hg-продукция - вещ-ва'!K23,'Вставьте рез. яч. IL2 '!H55)</f>
        <v>Присутствует?</v>
      </c>
      <c r="K48" s="425" t="str">
        <f>IF('Вставьте рез. яч. IL2 '!I55="",'Этап 6-Hg-продукция - вещ-ва'!L23,'Вставьте рез. яч. IL2 '!I55)</f>
        <v>Присутствует?</v>
      </c>
      <c r="L48" s="270" t="str">
        <f>'Этап 6-Hg-продукция - вещ-ва'!M23</f>
        <v>5.5.3</v>
      </c>
    </row>
    <row r="49" spans="1:12" ht="25">
      <c r="A49" s="365" t="str">
        <f>'Этап 6-Hg-продукция - вещ-ва'!A28</f>
        <v>Ртутные батареи</v>
      </c>
      <c r="B49" s="267" t="str">
        <f>IF(OR('Этап 6-Hg-продукция - вещ-ва'!B28=yes,'Этап 6-Hg-продукция - вещ-ва'!B28=no,'Этап 6-Hg-продукция - вещ-ва'!B28=que),'Этап 6-Hg-продукция - вещ-ва'!B28,  pres)</f>
        <v>Присутствует?</v>
      </c>
      <c r="C49" s="373">
        <f>'Этап 6-Hg-продукция - вещ-ва'!C28</f>
        <v>0</v>
      </c>
      <c r="D49" s="271" t="str">
        <f>'Этап 6-Hg-продукция - вещ-ва'!D28</f>
        <v>Кол-во проданных батарей, т/год</v>
      </c>
      <c r="E49" s="435" t="str">
        <f>IF('Вставьте рез. яч. IL2 '!C56="",'Этап 6-Hg-продукция - вещ-ва'!F28,'Вставьте рез. яч. IL2 '!C56)</f>
        <v>Присутствует?</v>
      </c>
      <c r="F49" s="425" t="str">
        <f>IF('Вставьте рез. яч. IL2 '!D56="",'Этап 6-Hg-продукция - вещ-ва'!G28,'Вставьте рез. яч. IL2 '!D56)</f>
        <v>Присутствует?</v>
      </c>
      <c r="G49" s="425" t="str">
        <f>IF('Вставьте рез. яч. IL2 '!E56="",'Этап 6-Hg-продукция - вещ-ва'!H28,'Вставьте рез. яч. IL2 '!E56)</f>
        <v>Присутствует?</v>
      </c>
      <c r="H49" s="425" t="str">
        <f>IF('Вставьте рез. яч. IL2 '!F56="",'Этап 6-Hg-продукция - вещ-ва'!I28,'Вставьте рез. яч. IL2 '!F56)</f>
        <v>Присутствует?</v>
      </c>
      <c r="I49" s="425" t="str">
        <f>IF('Вставьте рез. яч. IL2 '!G56="",'Этап 6-Hg-продукция - вещ-ва'!J28,'Вставьте рез. яч. IL2 '!G56)</f>
        <v>Присутствует?</v>
      </c>
      <c r="J49" s="425" t="str">
        <f>IF('Вставьте рез. яч. IL2 '!H56="",'Этап 6-Hg-продукция - вещ-ва'!K28,'Вставьте рез. яч. IL2 '!H56)</f>
        <v>Присутствует?</v>
      </c>
      <c r="K49" s="425" t="str">
        <f>IF('Вставьте рез. яч. IL2 '!I56="",'Этап 6-Hg-продукция - вещ-ва'!L28,'Вставьте рез. яч. IL2 '!I56)</f>
        <v>Присутствует?</v>
      </c>
      <c r="L49" s="270" t="str">
        <f>'Этап 6-Hg-продукция - вещ-ва'!M28</f>
        <v>5.5.4</v>
      </c>
    </row>
    <row r="50" spans="1:12" ht="25">
      <c r="A50" s="263" t="str">
        <f>'Этап 6-Hg-продукция - вещ-ва'!A33</f>
        <v>Полиуретан (PU, PUR), полученный с помощью ртутного катализатора</v>
      </c>
      <c r="B50" s="267" t="str">
        <f>IF(OR('Этап 6-Hg-продукция - вещ-ва'!B33=yes,'Этап 6-Hg-продукция - вещ-ва'!B33=no,'Этап 6-Hg-продукция - вещ-ва'!B33=que),'Этап 6-Hg-продукция - вещ-ва'!B33,  pres)</f>
        <v>Нет</v>
      </c>
      <c r="C50" s="373">
        <f>'Этап 6-Hg-продукция - вещ-ва'!C33</f>
        <v>0</v>
      </c>
      <c r="D50" s="271" t="str">
        <f>'Этап 6-Hg-продукция - вещ-ва'!D33</f>
        <v>Количество жителей</v>
      </c>
      <c r="E50" s="435" t="str">
        <f>IF('Вставьте рез. яч. IL2 '!C57="",'Этап 6-Hg-продукция - вещ-ва'!F33,'Вставьте рез. яч. IL2 '!C57)</f>
        <v>-</v>
      </c>
      <c r="F50" s="425" t="str">
        <f>IF('Вставьте рез. яч. IL2 '!D57="",'Этап 6-Hg-продукция - вещ-ва'!G33,'Вставьте рез. яч. IL2 '!D57)</f>
        <v>-</v>
      </c>
      <c r="G50" s="425" t="str">
        <f>IF('Вставьте рез. яч. IL2 '!E57="",'Этап 6-Hg-продукция - вещ-ва'!H33,'Вставьте рез. яч. IL2 '!E57)</f>
        <v>-</v>
      </c>
      <c r="H50" s="425" t="str">
        <f>IF('Вставьте рез. яч. IL2 '!F57="",'Этап 6-Hg-продукция - вещ-ва'!I33,'Вставьте рез. яч. IL2 '!F57)</f>
        <v>-</v>
      </c>
      <c r="I50" s="425" t="str">
        <f>IF('Вставьте рез. яч. IL2 '!G57="",'Этап 6-Hg-продукция - вещ-ва'!J33,'Вставьте рез. яч. IL2 '!G57)</f>
        <v>-</v>
      </c>
      <c r="J50" s="425" t="str">
        <f>IF('Вставьте рез. яч. IL2 '!H57="",'Этап 6-Hg-продукция - вещ-ва'!K33,'Вставьте рез. яч. IL2 '!H57)</f>
        <v>-</v>
      </c>
      <c r="K50" s="425" t="str">
        <f>IF('Вставьте рез. яч. IL2 '!I57="",'Этап 6-Hg-продукция - вещ-ва'!L33,'Вставьте рез. яч. IL2 '!I57)</f>
        <v>-</v>
      </c>
      <c r="L50" s="270" t="str">
        <f>'Этап 6-Hg-продукция - вещ-ва'!M33</f>
        <v>5.5.5.</v>
      </c>
    </row>
    <row r="51" spans="1:12" ht="25">
      <c r="A51" s="263" t="str">
        <f>'Этап 6-Hg-продукция - вещ-ва'!A36</f>
        <v>Краски с ртутьсодержащими стабилизаторами</v>
      </c>
      <c r="B51" s="267" t="str">
        <f>IF(OR('Этап 6-Hg-продукция - вещ-ва'!B36=yes,'Этап 6-Hg-продукция - вещ-ва'!B36=no,'Этап 6-Hg-продукция - вещ-ва'!B36=que),'Этап 6-Hg-продукция - вещ-ва'!B36,  pres)</f>
        <v>Присутствует?</v>
      </c>
      <c r="C51" s="373">
        <f>'Этап 6-Hg-продукция - вещ-ва'!C36</f>
        <v>0</v>
      </c>
      <c r="D51" s="271" t="str">
        <f>'Этап 6-Hg-продукция - вещ-ва'!D36</f>
        <v>Проданная краска, т/год</v>
      </c>
      <c r="E51" s="435" t="str">
        <f>IF('Вставьте рез. яч. IL2 '!C58="",'Этап 6-Hg-продукция - вещ-ва'!F36,'Вставьте рез. яч. IL2 '!C58)</f>
        <v>Присутствует?</v>
      </c>
      <c r="F51" s="425" t="str">
        <f>IF('Вставьте рез. яч. IL2 '!D58="",'Этап 6-Hg-продукция - вещ-ва'!G36,'Вставьте рез. яч. IL2 '!D58)</f>
        <v>Присутствует?</v>
      </c>
      <c r="G51" s="425" t="str">
        <f>IF('Вставьте рез. яч. IL2 '!E58="",'Этап 6-Hg-продукция - вещ-ва'!H36,'Вставьте рез. яч. IL2 '!E58)</f>
        <v>Присутствует?</v>
      </c>
      <c r="H51" s="425" t="str">
        <f>IF('Вставьте рез. яч. IL2 '!F58="",'Этап 6-Hg-продукция - вещ-ва'!I36,'Вставьте рез. яч. IL2 '!F58)</f>
        <v>Присутствует?</v>
      </c>
      <c r="I51" s="425" t="str">
        <f>IF('Вставьте рез. яч. IL2 '!G58="",'Этап 6-Hg-продукция - вещ-ва'!J36,'Вставьте рез. яч. IL2 '!G58)</f>
        <v>Присутствует?</v>
      </c>
      <c r="J51" s="425" t="str">
        <f>IF('Вставьте рез. яч. IL2 '!H58="",'Этап 6-Hg-продукция - вещ-ва'!K36,'Вставьте рез. яч. IL2 '!H58)</f>
        <v>Присутствует?</v>
      </c>
      <c r="K51" s="425" t="str">
        <f>IF('Вставьте рез. яч. IL2 '!I58="",'Этап 6-Hg-продукция - вещ-ва'!L36,'Вставьте рез. яч. IL2 '!I58)</f>
        <v>Присутствует?</v>
      </c>
      <c r="L51" s="270" t="str">
        <f>'Этап 6-Hg-продукция - вещ-ва'!M36</f>
        <v>5.5.7</v>
      </c>
    </row>
    <row r="52" spans="1:12" ht="25">
      <c r="A52" s="263" t="str">
        <f>'Этап 6-Hg-продукция - вещ-ва'!A38</f>
        <v>Кремы для отбеливания кожи и мыло с содержанием элементов ртути</v>
      </c>
      <c r="B52" s="267" t="str">
        <f>IF(OR('Этап 6-Hg-продукция - вещ-ва'!B38=yes,'Этап 6-Hg-продукция - вещ-ва'!B38=no,'Этап 6-Hg-продукция - вещ-ва'!B38=que),'Этап 6-Hg-продукция - вещ-ва'!B38,  pres)</f>
        <v>Присутствует?</v>
      </c>
      <c r="C52" s="373">
        <f>'Этап 6-Hg-продукция - вещ-ва'!C38</f>
        <v>0</v>
      </c>
      <c r="D52" s="271" t="str">
        <f>'Этап 6-Hg-продукция - вещ-ва'!D38</f>
        <v>Проданные крем или мыло, т/год</v>
      </c>
      <c r="E52" s="435" t="str">
        <f>IF('Вставьте рез. яч. IL2 '!C59="",'Этап 6-Hg-продукция - вещ-ва'!F38,'Вставьте рез. яч. IL2 '!C59)</f>
        <v>Присутствует?</v>
      </c>
      <c r="F52" s="425" t="str">
        <f>IF('Вставьте рез. яч. IL2 '!D59="",'Этап 6-Hg-продукция - вещ-ва'!G38,'Вставьте рез. яч. IL2 '!D59)</f>
        <v>Присутствует?</v>
      </c>
      <c r="G52" s="425" t="str">
        <f>IF('Вставьте рез. яч. IL2 '!E59="",'Этап 6-Hg-продукция - вещ-ва'!H38,'Вставьте рез. яч. IL2 '!E59)</f>
        <v>Присутствует?</v>
      </c>
      <c r="H52" s="425" t="str">
        <f>IF('Вставьте рез. яч. IL2 '!F59="",'Этап 6-Hg-продукция - вещ-ва'!I38,'Вставьте рез. яч. IL2 '!F59)</f>
        <v>Присутствует?</v>
      </c>
      <c r="I52" s="425" t="str">
        <f>IF('Вставьте рез. яч. IL2 '!G59="",'Этап 6-Hg-продукция - вещ-ва'!J38,'Вставьте рез. яч. IL2 '!G59)</f>
        <v>Присутствует?</v>
      </c>
      <c r="J52" s="425" t="str">
        <f>IF('Вставьте рез. яч. IL2 '!H59="",'Этап 6-Hg-продукция - вещ-ва'!K38,'Вставьте рез. яч. IL2 '!H59)</f>
        <v>Присутствует?</v>
      </c>
      <c r="K52" s="425" t="str">
        <f>IF('Вставьте рез. яч. IL2 '!I59="",'Этап 6-Hg-продукция - вещ-ва'!L38,'Вставьте рез. яч. IL2 '!I59)</f>
        <v>Присутствует?</v>
      </c>
      <c r="L52" s="270" t="str">
        <f>'Этап 6-Hg-продукция - вещ-ва'!M38</f>
        <v>5.5.8</v>
      </c>
    </row>
    <row r="53" spans="1:12" ht="25">
      <c r="A53" s="263" t="str">
        <f>'Этап 6-Hg-продукция - вещ-ва'!A40</f>
        <v>Медицинские тонометры (ртутные сфигмоманометры)</v>
      </c>
      <c r="B53" s="267" t="str">
        <f>IF(OR('Этап 6-Hg-продукция - вещ-ва'!B40=yes,'Этап 6-Hg-продукция - вещ-ва'!B40=no,'Этап 6-Hg-продукция - вещ-ва'!B40=que),'Этап 6-Hg-продукция - вещ-ва'!B40,  pres)</f>
        <v>Присутствует?</v>
      </c>
      <c r="C53" s="373">
        <f>'Этап 6-Hg-продукция - вещ-ва'!C40</f>
        <v>0</v>
      </c>
      <c r="D53" s="271" t="str">
        <f>'Этап 6-Hg-продукция - вещ-ва'!D40</f>
        <v>Кол-во проданных позиций/год</v>
      </c>
      <c r="E53" s="435" t="str">
        <f>IF('Вставьте рез. яч. IL2 '!C60="",'Этап 6-Hg-продукция - вещ-ва'!F40,'Вставьте рез. яч. IL2 '!C60)</f>
        <v>Присутствует?</v>
      </c>
      <c r="F53" s="425" t="str">
        <f>IF('Вставьте рез. яч. IL2 '!D60="",'Этап 6-Hg-продукция - вещ-ва'!G40,'Вставьте рез. яч. IL2 '!D60)</f>
        <v>Присутствует?</v>
      </c>
      <c r="G53" s="425" t="str">
        <f>IF('Вставьте рез. яч. IL2 '!E60="",'Этап 6-Hg-продукция - вещ-ва'!H40,'Вставьте рез. яч. IL2 '!E60)</f>
        <v>Присутствует?</v>
      </c>
      <c r="H53" s="425" t="str">
        <f>IF('Вставьте рез. яч. IL2 '!F60="",'Этап 6-Hg-продукция - вещ-ва'!I40,'Вставьте рез. яч. IL2 '!F60)</f>
        <v>Присутствует?</v>
      </c>
      <c r="I53" s="425" t="str">
        <f>IF('Вставьте рез. яч. IL2 '!G60="",'Этап 6-Hg-продукция - вещ-ва'!J40,'Вставьте рез. яч. IL2 '!G60)</f>
        <v>Присутствует?</v>
      </c>
      <c r="J53" s="425" t="str">
        <f>IF('Вставьте рез. яч. IL2 '!H60="",'Этап 6-Hg-продукция - вещ-ва'!K40,'Вставьте рез. яч. IL2 '!H60)</f>
        <v>Присутствует?</v>
      </c>
      <c r="K53" s="425" t="str">
        <f>IF('Вставьте рез. яч. IL2 '!I60="",'Этап 6-Hg-продукция - вещ-ва'!L40,'Вставьте рез. яч. IL2 '!I60)</f>
        <v>Присутствует?</v>
      </c>
      <c r="L53" s="270" t="str">
        <f>'Этап 6-Hg-продукция - вещ-ва'!M40</f>
        <v>5.6.2</v>
      </c>
    </row>
    <row r="54" spans="1:12" ht="25">
      <c r="A54" s="263" t="str">
        <f>'Этап 6-Hg-продукция - вещ-ва'!A42</f>
        <v>Прочие ртутные манометры и датчики</v>
      </c>
      <c r="B54" s="267" t="str">
        <f>IF(OR('Этап 6-Hg-продукция - вещ-ва'!B42=yes,'Этап 6-Hg-продукция - вещ-ва'!B42=no,'Этап 6-Hg-продукция - вещ-ва'!B42=que),'Этап 6-Hg-продукция - вещ-ва'!B42,  pres)</f>
        <v>Присутствует?</v>
      </c>
      <c r="C54" s="373">
        <f>'Этап 6-Hg-продукция - вещ-ва'!C42</f>
        <v>0</v>
      </c>
      <c r="D54" s="271" t="str">
        <f>'Этап 6-Hg-продукция - вещ-ва'!D42</f>
        <v>Количество жителей</v>
      </c>
      <c r="E54" s="435" t="str">
        <f>IF('Вставьте рез. яч. IL2 '!C61="",'Этап 6-Hg-продукция - вещ-ва'!F42,'Вставьте рез. яч. IL2 '!C61)</f>
        <v>Присутствует?</v>
      </c>
      <c r="F54" s="425" t="str">
        <f>IF('Вставьте рез. яч. IL2 '!D61="",'Этап 6-Hg-продукция - вещ-ва'!G42,'Вставьте рез. яч. IL2 '!D61)</f>
        <v>Присутствует?</v>
      </c>
      <c r="G54" s="425" t="str">
        <f>IF('Вставьте рез. яч. IL2 '!E61="",'Этап 6-Hg-продукция - вещ-ва'!H42,'Вставьте рез. яч. IL2 '!E61)</f>
        <v>Присутствует?</v>
      </c>
      <c r="H54" s="425" t="str">
        <f>IF('Вставьте рез. яч. IL2 '!F61="",'Этап 6-Hg-продукция - вещ-ва'!I42,'Вставьте рез. яч. IL2 '!F61)</f>
        <v>Присутствует?</v>
      </c>
      <c r="I54" s="425" t="str">
        <f>IF('Вставьте рез. яч. IL2 '!G61="",'Этап 6-Hg-продукция - вещ-ва'!J42,'Вставьте рез. яч. IL2 '!G61)</f>
        <v>Присутствует?</v>
      </c>
      <c r="J54" s="425" t="str">
        <f>IF('Вставьте рез. яч. IL2 '!H61="",'Этап 6-Hg-продукция - вещ-ва'!K42,'Вставьте рез. яч. IL2 '!H61)</f>
        <v>Присутствует?</v>
      </c>
      <c r="K54" s="425" t="str">
        <f>IF('Вставьте рез. яч. IL2 '!I61="",'Этап 6-Hg-продукция - вещ-ва'!L42,'Вставьте рез. яч. IL2 '!I61)</f>
        <v>Присутствует?</v>
      </c>
      <c r="L54" s="270" t="str">
        <f>'Этап 6-Hg-продукция - вещ-ва'!M42</f>
        <v>5.6.2</v>
      </c>
    </row>
    <row r="55" spans="1:12" ht="25">
      <c r="A55" s="263" t="str">
        <f>'Этап 6-Hg-продукция - вещ-ва'!A45</f>
        <v>Химические вещества для лабораторий</v>
      </c>
      <c r="B55" s="267" t="str">
        <f>IF(OR('Этап 6-Hg-продукция - вещ-ва'!B45=yes,'Этап 6-Hg-продукция - вещ-ва'!B45=no,'Этап 6-Hg-продукция - вещ-ва'!B45=que),'Этап 6-Hg-продукция - вещ-ва'!B45,  pres)</f>
        <v>Присутствует?</v>
      </c>
      <c r="C55" s="373">
        <f>'Этап 6-Hg-продукция - вещ-ва'!C45</f>
        <v>0</v>
      </c>
      <c r="D55" s="271" t="str">
        <f>'Этап 6-Hg-продукция - вещ-ва'!D45</f>
        <v>Количество жителей</v>
      </c>
      <c r="E55" s="435" t="str">
        <f>IF('Вставьте рез. яч. IL2 '!C62="",'Этап 6-Hg-продукция - вещ-ва'!F45,'Вставьте рез. яч. IL2 '!C62)</f>
        <v>Присутствует?</v>
      </c>
      <c r="F55" s="425" t="str">
        <f>IF('Вставьте рез. яч. IL2 '!D62="",'Этап 6-Hg-продукция - вещ-ва'!G45,'Вставьте рез. яч. IL2 '!D62)</f>
        <v>Присутствует?</v>
      </c>
      <c r="G55" s="425" t="str">
        <f>IF('Вставьте рез. яч. IL2 '!E62="",'Этап 6-Hg-продукция - вещ-ва'!H45,'Вставьте рез. яч. IL2 '!E62)</f>
        <v>Присутствует?</v>
      </c>
      <c r="H55" s="425" t="str">
        <f>IF('Вставьте рез. яч. IL2 '!F62="",'Этап 6-Hg-продукция - вещ-ва'!I45,'Вставьте рез. яч. IL2 '!F62)</f>
        <v>Присутствует?</v>
      </c>
      <c r="I55" s="425" t="str">
        <f>IF('Вставьте рез. яч. IL2 '!G62="",'Этап 6-Hg-продукция - вещ-ва'!J45,'Вставьте рез. яч. IL2 '!G62)</f>
        <v>Присутствует?</v>
      </c>
      <c r="J55" s="425" t="str">
        <f>IF('Вставьте рез. яч. IL2 '!H62="",'Этап 6-Hg-продукция - вещ-ва'!K45,'Вставьте рез. яч. IL2 '!H62)</f>
        <v>Присутствует?</v>
      </c>
      <c r="K55" s="425" t="str">
        <f>IF('Вставьте рез. яч. IL2 '!I62="",'Этап 6-Hg-продукция - вещ-ва'!L45,'Вставьте рез. яч. IL2 '!I62)</f>
        <v>Присутствует?</v>
      </c>
      <c r="L55" s="270" t="str">
        <f>'Этап 6-Hg-продукция - вещ-ва'!M45</f>
        <v>5.6.3</v>
      </c>
    </row>
    <row r="56" spans="1:12" ht="25">
      <c r="A56" s="263" t="str">
        <f>'Этап 6-Hg-продукция - вещ-ва'!A48</f>
        <v xml:space="preserve">Прочее ртутьсодержащее лабораторное и медицинское оборудование </v>
      </c>
      <c r="B56" s="267" t="str">
        <f>IF(OR('Этап 6-Hg-продукция - вещ-ва'!B48=yes,'Этап 6-Hg-продукция - вещ-ва'!B48=no,'Этап 6-Hg-продукция - вещ-ва'!B48=que),'Этап 6-Hg-продукция - вещ-ва'!B48,  pres)</f>
        <v>Присутствует?</v>
      </c>
      <c r="C56" s="373">
        <f>'Этап 6-Hg-продукция - вещ-ва'!C48</f>
        <v>0</v>
      </c>
      <c r="D56" s="271" t="str">
        <f>'Этап 6-Hg-продукция - вещ-ва'!D48</f>
        <v>Количество жителей</v>
      </c>
      <c r="E56" s="435" t="str">
        <f>IF('Вставьте рез. яч. IL2 '!C63="",'Этап 6-Hg-продукция - вещ-ва'!F48,'Вставьте рез. яч. IL2 '!C63)</f>
        <v>Присутствует?</v>
      </c>
      <c r="F56" s="425" t="str">
        <f>IF('Вставьте рез. яч. IL2 '!D63="",'Этап 6-Hg-продукция - вещ-ва'!G48,'Вставьте рез. яч. IL2 '!D63)</f>
        <v>Присутствует?</v>
      </c>
      <c r="G56" s="425" t="str">
        <f>IF('Вставьте рез. яч. IL2 '!E63="",'Этап 6-Hg-продукция - вещ-ва'!H48,'Вставьте рез. яч. IL2 '!E63)</f>
        <v>Присутствует?</v>
      </c>
      <c r="H56" s="425" t="str">
        <f>IF('Вставьте рез. яч. IL2 '!F63="",'Этап 6-Hg-продукция - вещ-ва'!I48,'Вставьте рез. яч. IL2 '!F63)</f>
        <v>Присутствует?</v>
      </c>
      <c r="I56" s="425" t="str">
        <f>IF('Вставьте рез. яч. IL2 '!G63="",'Этап 6-Hg-продукция - вещ-ва'!J48,'Вставьте рез. яч. IL2 '!G63)</f>
        <v>Присутствует?</v>
      </c>
      <c r="J56" s="425" t="str">
        <f>IF('Вставьте рез. яч. IL2 '!H63="",'Этап 6-Hg-продукция - вещ-ва'!K48,'Вставьте рез. яч. IL2 '!H63)</f>
        <v>Присутствует?</v>
      </c>
      <c r="K56" s="425" t="str">
        <f>IF('Вставьте рез. яч. IL2 '!I63="",'Этап 6-Hg-продукция - вещ-ва'!L48,'Вставьте рез. яч. IL2 '!I63)</f>
        <v>Присутствует?</v>
      </c>
      <c r="L56" s="270" t="str">
        <f>'Этап 6-Hg-продукция - вещ-ва'!M48</f>
        <v>5.6.3, 5.6.5</v>
      </c>
    </row>
    <row r="57" spans="1:12" ht="13">
      <c r="A57" s="390" t="str">
        <f>'Этап5-Обраб. отходов+перераб.'!A8</f>
        <v>Производство восстановленных металлов</v>
      </c>
      <c r="B57" s="302"/>
      <c r="C57" s="274"/>
      <c r="D57" s="303"/>
      <c r="E57" s="303"/>
      <c r="F57" s="433"/>
      <c r="G57" s="433"/>
      <c r="H57" s="433"/>
      <c r="I57" s="433"/>
      <c r="J57" s="433"/>
      <c r="K57" s="433"/>
      <c r="L57" s="304"/>
    </row>
    <row r="58" spans="1:12" ht="25">
      <c r="A58" s="263" t="str">
        <f>'Этап5-Обраб. отходов+перераб.'!A9</f>
        <v>Производство повторно используемой ртути («вторичное производство»)</v>
      </c>
      <c r="B58" s="267" t="str">
        <f>IF(OR('Этап5-Обраб. отходов+перераб.'!B9=yes,'Этап5-Обраб. отходов+перераб.'!B9=no,'Этап5-Обраб. отходов+перераб.'!B9=que),'Этап5-Обраб. отходов+перераб.'!B9,  pres)</f>
        <v>Присутствует?</v>
      </c>
      <c r="C58" s="373">
        <f>'Этап5-Обраб. отходов+перераб.'!C9</f>
        <v>0</v>
      </c>
      <c r="D58" s="271" t="str">
        <f>'Этап5-Обраб. отходов+перераб.'!D9</f>
        <v xml:space="preserve">Произведенная ртуть, кг/год </v>
      </c>
      <c r="E58" s="435" t="str">
        <f>IF('Вставьте рез. яч. IL2 '!C65="",'Этап5-Обраб. отходов+перераб.'!F9,'Вставьте рез. яч. IL2 '!C65)</f>
        <v>Присутствует?</v>
      </c>
      <c r="F58" s="425" t="str">
        <f>IF('Вставьте рез. яч. IL2 '!D65="",'Этап5-Обраб. отходов+перераб.'!G9,'Вставьте рез. яч. IL2 '!D65)</f>
        <v>Присутствует?</v>
      </c>
      <c r="G58" s="425" t="str">
        <f>IF('Вставьте рез. яч. IL2 '!E65="",'Этап5-Обраб. отходов+перераб.'!H9,'Вставьте рез. яч. IL2 '!E65)</f>
        <v>Присутствует?</v>
      </c>
      <c r="H58" s="425" t="str">
        <f>IF('Вставьте рез. яч. IL2 '!F65="",'Этап5-Обраб. отходов+перераб.'!I9,'Вставьте рез. яч. IL2 '!F65)</f>
        <v>Присутствует?</v>
      </c>
      <c r="I58" s="425" t="str">
        <f>IF('Вставьте рез. яч. IL2 '!G65="",'Этап5-Обраб. отходов+перераб.'!J9,'Вставьте рез. яч. IL2 '!G65)</f>
        <v>Присутствует?</v>
      </c>
      <c r="J58" s="425" t="str">
        <f>IF('Вставьте рез. яч. IL2 '!H65="",'Этап5-Обраб. отходов+перераб.'!K9,'Вставьте рез. яч. IL2 '!H65)</f>
        <v>Присутствует?</v>
      </c>
      <c r="K58" s="425" t="str">
        <f>IF('Вставьте рез. яч. IL2 '!I65="",'Этап5-Обраб. отходов+перераб.'!L9,'Вставьте рез. яч. IL2 '!I65)</f>
        <v>Присутствует?</v>
      </c>
      <c r="L58" s="270" t="str">
        <f>'Этап5-Обраб. отходов+перераб.'!M9</f>
        <v>5.7.1</v>
      </c>
    </row>
    <row r="59" spans="1:12" ht="25">
      <c r="A59" s="263" t="str">
        <f>'Этап5-Обраб. отходов+перераб.'!A10</f>
        <v>Производство повторно используемых черных металлов (чугун и сталь)</v>
      </c>
      <c r="B59" s="267" t="str">
        <f>IF(OR('Этап5-Обраб. отходов+перераб.'!B10=yes,'Этап5-Обраб. отходов+перераб.'!B10=no,'Этап5-Обраб. отходов+перераб.'!B10=que),'Этап5-Обраб. отходов+перераб.'!B10,  pres)</f>
        <v>Присутствует?</v>
      </c>
      <c r="C59" s="373">
        <f>'Этап5-Обраб. отходов+перераб.'!C10</f>
        <v>0</v>
      </c>
      <c r="D59" s="271" t="str">
        <f>'Этап5-Обраб. отходов+перераб.'!D10</f>
        <v>Количество повторно используемого транспорта/год</v>
      </c>
      <c r="E59" s="435" t="str">
        <f>IF('Вставьте рез. яч. IL2 '!C66="",'Этап5-Обраб. отходов+перераб.'!F10,'Вставьте рез. яч. IL2 '!C66)</f>
        <v>Присутствует?</v>
      </c>
      <c r="F59" s="425" t="str">
        <f>IF('Вставьте рез. яч. IL2 '!D66="",'Этап5-Обраб. отходов+перераб.'!G10,'Вставьте рез. яч. IL2 '!D66)</f>
        <v>Присутствует?</v>
      </c>
      <c r="G59" s="425" t="str">
        <f>IF('Вставьте рез. яч. IL2 '!E66="",'Этап5-Обраб. отходов+перераб.'!H10,'Вставьте рез. яч. IL2 '!E66)</f>
        <v>Присутствует?</v>
      </c>
      <c r="H59" s="425" t="str">
        <f>IF('Вставьте рез. яч. IL2 '!F66="",'Этап5-Обраб. отходов+перераб.'!I10,'Вставьте рез. яч. IL2 '!F66)</f>
        <v>Присутствует?</v>
      </c>
      <c r="I59" s="425" t="str">
        <f>IF('Вставьте рез. яч. IL2 '!G66="",'Этап5-Обраб. отходов+перераб.'!J10,'Вставьте рез. яч. IL2 '!G66)</f>
        <v>Присутствует?</v>
      </c>
      <c r="J59" s="425" t="str">
        <f>IF('Вставьте рез. яч. IL2 '!H66="",'Этап5-Обраб. отходов+перераб.'!K10,'Вставьте рез. яч. IL2 '!H66)</f>
        <v>Присутствует?</v>
      </c>
      <c r="K59" s="425" t="str">
        <f>IF('Вставьте рез. яч. IL2 '!I66="",'Этап5-Обраб. отходов+перераб.'!L10,'Вставьте рез. яч. IL2 '!I66)</f>
        <v>Присутствует?</v>
      </c>
      <c r="L59" s="270" t="str">
        <f>'Этап5-Обраб. отходов+перераб.'!M10</f>
        <v>5.7.2</v>
      </c>
    </row>
    <row r="60" spans="1:12" ht="13">
      <c r="A60" s="390" t="str">
        <f>'Этап5-Обраб. отходов+перераб.'!A12</f>
        <v>Сжигание отходов</v>
      </c>
      <c r="B60" s="302"/>
      <c r="C60" s="274"/>
      <c r="D60" s="303"/>
      <c r="E60" s="435"/>
      <c r="F60" s="433"/>
      <c r="G60" s="433"/>
      <c r="H60" s="433"/>
      <c r="I60" s="433"/>
      <c r="J60" s="433"/>
      <c r="K60" s="433"/>
      <c r="L60" s="304"/>
    </row>
    <row r="61" spans="1:12" ht="25">
      <c r="A61" s="736" t="s">
        <v>1251</v>
      </c>
      <c r="B61" s="267" t="str">
        <f>IF(OR('Этап5-Обраб. отходов+перераб.'!B13=yes,'Этап5-Обраб. отходов+перераб.'!B13=no,'Этап5-Обраб. отходов+перераб.'!B13=que),'Этап5-Обраб. отходов+перераб.'!B13,  pres)</f>
        <v>Присутствует?</v>
      </c>
      <c r="C61" s="373">
        <f>'Этап5-Обраб. отходов+перераб.'!C13</f>
        <v>0</v>
      </c>
      <c r="D61" s="271" t="str">
        <f>'Этап5-Обраб. отходов+перераб.'!D13</f>
        <v xml:space="preserve">Сгоревшие отходы, т/год </v>
      </c>
      <c r="E61" s="435" t="str">
        <f>IF('Вставьте рез. яч. IL2 '!C68="",'Этап5-Обраб. отходов+перераб.'!F13,'Вставьте рез. яч. IL2 '!C68)</f>
        <v>Присутствует?</v>
      </c>
      <c r="F61" s="425" t="str">
        <f>IF('Вставьте рез. яч. IL2 '!D68="",'Этап5-Обраб. отходов+перераб.'!G13,'Вставьте рез. яч. IL2 '!D68)</f>
        <v>Присутствует?</v>
      </c>
      <c r="G61" s="425" t="str">
        <f>IF('Вставьте рез. яч. IL2 '!E68="",'Этап5-Обраб. отходов+перераб.'!H13,'Вставьте рез. яч. IL2 '!E68)</f>
        <v>Присутствует?</v>
      </c>
      <c r="H61" s="425" t="str">
        <f>IF('Вставьте рез. яч. IL2 '!F68="",'Этап5-Обраб. отходов+перераб.'!I13,'Вставьте рез. яч. IL2 '!F68)</f>
        <v>Присутствует?</v>
      </c>
      <c r="I61" s="425" t="str">
        <f>IF('Вставьте рез. яч. IL2 '!G68="",'Этап5-Обраб. отходов+перераб.'!J13,'Вставьте рез. яч. IL2 '!G68)</f>
        <v>Присутствует?</v>
      </c>
      <c r="J61" s="425" t="str">
        <f>IF('Вставьте рез. яч. IL2 '!H68="",'Этап5-Обраб. отходов+перераб.'!K13,'Вставьте рез. яч. IL2 '!H68)</f>
        <v>Присутствует?</v>
      </c>
      <c r="K61" s="425" t="str">
        <f>IF('Вставьте рез. яч. IL2 '!I68="",'Этап5-Обраб. отходов+перераб.'!L13,'Вставьте рез. яч. IL2 '!I68)</f>
        <v>Присутствует?</v>
      </c>
      <c r="L61" s="270" t="str">
        <f>'Этап5-Обраб. отходов+перераб.'!M13</f>
        <v>5.8.1</v>
      </c>
    </row>
    <row r="62" spans="1:12" ht="25">
      <c r="A62" s="736" t="s">
        <v>1252</v>
      </c>
      <c r="B62" s="267" t="str">
        <f>IF(OR('Этап5-Обраб. отходов+перераб.'!B16=yes,'Этап5-Обраб. отходов+перераб.'!B16=no,'Этап5-Обраб. отходов+перераб.'!B16=que),'Этап5-Обраб. отходов+перераб.'!B16,  pres)</f>
        <v>Присутствует?</v>
      </c>
      <c r="C62" s="373">
        <f>'Этап5-Обраб. отходов+перераб.'!C16</f>
        <v>0</v>
      </c>
      <c r="D62" s="271" t="str">
        <f>'Этап5-Обраб. отходов+перераб.'!D16</f>
        <v>Сгоревшие отходы, т/год</v>
      </c>
      <c r="E62" s="435" t="str">
        <f>IF('Вставьте рез. яч. IL2 '!C69="",'Этап5-Обраб. отходов+перераб.'!F16,'Вставьте рез. яч. IL2 '!C69)</f>
        <v>Присутствует?</v>
      </c>
      <c r="F62" s="425" t="str">
        <f>IF('Вставьте рез. яч. IL2 '!D69="",'Этап5-Обраб. отходов+перераб.'!G16,'Вставьте рез. яч. IL2 '!D69)</f>
        <v>Присутствует?</v>
      </c>
      <c r="G62" s="425" t="str">
        <f>IF('Вставьте рез. яч. IL2 '!E69="",'Этап5-Обраб. отходов+перераб.'!H16,'Вставьте рез. яч. IL2 '!E69)</f>
        <v>Присутствует?</v>
      </c>
      <c r="H62" s="425" t="str">
        <f>IF('Вставьте рез. яч. IL2 '!F69="",'Этап5-Обраб. отходов+перераб.'!I16,'Вставьте рез. яч. IL2 '!F69)</f>
        <v>Присутствует?</v>
      </c>
      <c r="I62" s="425" t="str">
        <f>IF('Вставьте рез. яч. IL2 '!G69="",'Этап5-Обраб. отходов+перераб.'!J16,'Вставьте рез. яч. IL2 '!G69)</f>
        <v>Присутствует?</v>
      </c>
      <c r="J62" s="425" t="str">
        <f>IF('Вставьте рез. яч. IL2 '!H69="",'Этап5-Обраб. отходов+перераб.'!K16,'Вставьте рез. яч. IL2 '!H69)</f>
        <v>Присутствует?</v>
      </c>
      <c r="K62" s="425" t="str">
        <f>IF('Вставьте рез. яч. IL2 '!I69="",'Этап5-Обраб. отходов+перераб.'!L16,'Вставьте рез. яч. IL2 '!I69)</f>
        <v>Присутствует?</v>
      </c>
      <c r="L62" s="270" t="str">
        <f>'Этап5-Обраб. отходов+перераб.'!M16</f>
        <v>5.8.2</v>
      </c>
    </row>
    <row r="63" spans="1:12" ht="25">
      <c r="A63" s="736" t="s">
        <v>1253</v>
      </c>
      <c r="B63" s="267" t="str">
        <f>IF(OR('Этап5-Обраб. отходов+перераб.'!B19=yes,'Этап5-Обраб. отходов+перераб.'!B19=no,'Этап5-Обраб. отходов+перераб.'!B19=que),'Этап5-Обраб. отходов+перераб.'!B19,  pres)</f>
        <v>Присутствует?</v>
      </c>
      <c r="C63" s="373">
        <f>'Этап5-Обраб. отходов+перераб.'!C19</f>
        <v>0</v>
      </c>
      <c r="D63" s="271" t="str">
        <f>'Этап5-Обраб. отходов+перераб.'!D19</f>
        <v>Сгоревшие отходы, т/год</v>
      </c>
      <c r="E63" s="435" t="str">
        <f>IF('Вставьте рез. яч. IL2 '!C70="",'Этап5-Обраб. отходов+перераб.'!F19,'Вставьте рез. яч. IL2 '!C70)</f>
        <v>Присутствует?</v>
      </c>
      <c r="F63" s="425" t="str">
        <f>IF('Вставьте рез. яч. IL2 '!D70="",'Этап5-Обраб. отходов+перераб.'!G19,'Вставьте рез. яч. IL2 '!D70)</f>
        <v>Присутствует?</v>
      </c>
      <c r="G63" s="425" t="str">
        <f>IF('Вставьте рез. яч. IL2 '!E70="",'Этап5-Обраб. отходов+перераб.'!H19,'Вставьте рез. яч. IL2 '!E70)</f>
        <v>Присутствует?</v>
      </c>
      <c r="H63" s="425" t="str">
        <f>IF('Вставьте рез. яч. IL2 '!F70="",'Этап5-Обраб. отходов+перераб.'!I19,'Вставьте рез. яч. IL2 '!F70)</f>
        <v>Присутствует?</v>
      </c>
      <c r="I63" s="425" t="str">
        <f>IF('Вставьте рез. яч. IL2 '!G70="",'Этап5-Обраб. отходов+перераб.'!J19,'Вставьте рез. яч. IL2 '!G70)</f>
        <v>Присутствует?</v>
      </c>
      <c r="J63" s="425" t="str">
        <f>IF('Вставьте рез. яч. IL2 '!H70="",'Этап5-Обраб. отходов+перераб.'!K19,'Вставьте рез. яч. IL2 '!H70)</f>
        <v>Присутствует?</v>
      </c>
      <c r="K63" s="425" t="str">
        <f>IF('Вставьте рез. яч. IL2 '!I70="",'Этап5-Обраб. отходов+перераб.'!L19,'Вставьте рез. яч. IL2 '!I70)</f>
        <v>Присутствует?</v>
      </c>
      <c r="L63" s="270" t="str">
        <f>'Этап5-Обраб. отходов+перераб.'!M19</f>
        <v>5.8.3</v>
      </c>
    </row>
    <row r="64" spans="1:12" ht="25">
      <c r="A64" s="736" t="s">
        <v>1254</v>
      </c>
      <c r="B64" s="267" t="str">
        <f>IF(OR('Этап5-Обраб. отходов+перераб.'!B22=yes,'Этап5-Обраб. отходов+перераб.'!B22=no,'Этап5-Обраб. отходов+перераб.'!B22=que),'Этап5-Обраб. отходов+перераб.'!B22,  pres)</f>
        <v>Присутствует?</v>
      </c>
      <c r="C64" s="373">
        <f>'Этап5-Обраб. отходов+перераб.'!C22</f>
        <v>0</v>
      </c>
      <c r="D64" s="271" t="str">
        <f>'Этап5-Обраб. отходов+перераб.'!D22</f>
        <v>Сгоревшие отходы, т/год</v>
      </c>
      <c r="E64" s="435" t="str">
        <f>IF('Вставьте рез. яч. IL2 '!C71="",'Этап5-Обраб. отходов+перераб.'!F22,'Вставьте рез. яч. IL2 '!C71)</f>
        <v>Присутствует?</v>
      </c>
      <c r="F64" s="425" t="str">
        <f>IF('Вставьте рез. яч. IL2 '!D71="",'Этап5-Обраб. отходов+перераб.'!G22,'Вставьте рез. яч. IL2 '!D71)</f>
        <v>Присутствует?</v>
      </c>
      <c r="G64" s="425" t="str">
        <f>IF('Вставьте рез. яч. IL2 '!E71="",'Этап5-Обраб. отходов+перераб.'!H22,'Вставьте рез. яч. IL2 '!E71)</f>
        <v>Присутствует?</v>
      </c>
      <c r="H64" s="425" t="str">
        <f>IF('Вставьте рез. яч. IL2 '!F71="",'Этап5-Обраб. отходов+перераб.'!I22,'Вставьте рез. яч. IL2 '!F71)</f>
        <v>Присутствует?</v>
      </c>
      <c r="I64" s="425" t="str">
        <f>IF('Вставьте рез. яч. IL2 '!G71="",'Этап5-Обраб. отходов+перераб.'!J22,'Вставьте рез. яч. IL2 '!G71)</f>
        <v>Присутствует?</v>
      </c>
      <c r="J64" s="425" t="str">
        <f>IF('Вставьте рез. яч. IL2 '!H71="",'Этап5-Обраб. отходов+перераб.'!K22,'Вставьте рез. яч. IL2 '!H71)</f>
        <v>Присутствует?</v>
      </c>
      <c r="K64" s="425" t="str">
        <f>IF('Вставьте рез. яч. IL2 '!I71="",'Этап5-Обраб. отходов+перераб.'!L22,'Вставьте рез. яч. IL2 '!I71)</f>
        <v>Присутствует?</v>
      </c>
      <c r="L64" s="270" t="str">
        <f>'Этап5-Обраб. отходов+перераб.'!M22</f>
        <v>5.8.4</v>
      </c>
    </row>
    <row r="65" spans="1:12" ht="25">
      <c r="A65" s="736" t="s">
        <v>1255</v>
      </c>
      <c r="B65" s="267" t="str">
        <f>IF(OR('Этап5-Обраб. отходов+перераб.'!B23=yes,'Этап5-Обраб. отходов+перераб.'!B23=no,'Этап5-Обраб. отходов+перераб.'!B23=que),'Этап5-Обраб. отходов+перераб.'!B23,  pres)</f>
        <v>Присутствует?</v>
      </c>
      <c r="C65" s="373">
        <f>'Этап5-Обраб. отходов+перераб.'!C23</f>
        <v>0</v>
      </c>
      <c r="D65" s="271" t="str">
        <f>'Этап5-Обраб. отходов+перераб.'!D23</f>
        <v xml:space="preserve">Сожженные отходы, т/год </v>
      </c>
      <c r="E65" s="435" t="str">
        <f>IF('Вставьте рез. яч. IL2 '!C72="",'Этап5-Обраб. отходов+перераб.'!F23,'Вставьте рез. яч. IL2 '!C72)</f>
        <v>Присутствует?</v>
      </c>
      <c r="F65" s="425" t="str">
        <f>IF('Вставьте рез. яч. IL2 '!D72="",'Этап5-Обраб. отходов+перераб.'!G23,'Вставьте рез. яч. IL2 '!D72)</f>
        <v>Присутствует?</v>
      </c>
      <c r="G65" s="425" t="str">
        <f>IF('Вставьте рез. яч. IL2 '!E72="",'Этап5-Обраб. отходов+перераб.'!H23,'Вставьте рез. яч. IL2 '!E72)</f>
        <v>Присутствует?</v>
      </c>
      <c r="H65" s="425" t="str">
        <f>IF('Вставьте рез. яч. IL2 '!F72="",'Этап5-Обраб. отходов+перераб.'!I23,'Вставьте рез. яч. IL2 '!F72)</f>
        <v>Присутствует?</v>
      </c>
      <c r="I65" s="425" t="str">
        <f>IF('Вставьте рез. яч. IL2 '!G72="",'Этап5-Обраб. отходов+перераб.'!J23,'Вставьте рез. яч. IL2 '!G72)</f>
        <v>Присутствует?</v>
      </c>
      <c r="J65" s="425" t="str">
        <f>IF('Вставьте рез. яч. IL2 '!H72="",'Этап5-Обраб. отходов+перераб.'!K23,'Вставьте рез. яч. IL2 '!H72)</f>
        <v>Присутствует?</v>
      </c>
      <c r="K65" s="425" t="str">
        <f>IF('Вставьте рез. яч. IL2 '!I72="",'Этап5-Обраб. отходов+перераб.'!L23,'Вставьте рез. яч. IL2 '!I72)</f>
        <v>Присутствует?</v>
      </c>
      <c r="L65" s="270" t="str">
        <f>'Этап5-Обраб. отходов+перераб.'!M23</f>
        <v>5.8.5</v>
      </c>
    </row>
    <row r="66" spans="1:12" ht="26">
      <c r="A66" s="390" t="str">
        <f>'Этап5-Обраб. отходов+перераб.'!A25</f>
        <v>Размещение отходов/ссыпание отходов в отвал и обработка сточных вод</v>
      </c>
      <c r="B66" s="302"/>
      <c r="C66" s="274"/>
      <c r="D66" s="303"/>
      <c r="E66" s="303"/>
      <c r="F66" s="433"/>
      <c r="G66" s="433"/>
      <c r="H66" s="433"/>
      <c r="I66" s="433"/>
      <c r="J66" s="433"/>
      <c r="K66" s="433"/>
      <c r="L66" s="304"/>
    </row>
    <row r="67" spans="1:12" ht="25">
      <c r="A67" s="736" t="s">
        <v>1256</v>
      </c>
      <c r="B67" s="267" t="str">
        <f>IF(OR('Этап5-Обраб. отходов+перераб.'!B26=yes,'Этап5-Обраб. отходов+перераб.'!B26=no,'Этап5-Обраб. отходов+перераб.'!B26=que),'Этап5-Обраб. отходов+перераб.'!B26,  pres)</f>
        <v>Присутствует?</v>
      </c>
      <c r="C67" s="373">
        <f>'Этап5-Обраб. отходов+перераб.'!C26</f>
        <v>0</v>
      </c>
      <c r="D67" s="271" t="str">
        <f>'Этап5-Обраб. отходов+перераб.'!D26</f>
        <v>Сброшенные отходы в отвалы, т/год</v>
      </c>
      <c r="E67" s="435" t="str">
        <f>IF('Вставьте рез. яч. IL2 '!C74="",'Этап5-Обраб. отходов+перераб.'!F26,'Вставьте рез. яч. IL2 '!C74)</f>
        <v>Присутствует?</v>
      </c>
      <c r="F67" s="425" t="str">
        <f>IF('Вставьте рез. яч. IL2 '!D74="",'Этап5-Обраб. отходов+перераб.'!G26,'Вставьте рез. яч. IL2 '!D74)</f>
        <v>Присутствует?</v>
      </c>
      <c r="G67" s="425" t="str">
        <f>IF('Вставьте рез. яч. IL2 '!E74="",'Этап5-Обраб. отходов+перераб.'!H26,'Вставьте рез. яч. IL2 '!E74)</f>
        <v>Присутствует?</v>
      </c>
      <c r="H67" s="425" t="str">
        <f>IF('Вставьте рез. яч. IL2 '!F74="",'Этап5-Обраб. отходов+перераб.'!I26,'Вставьте рез. яч. IL2 '!F74)</f>
        <v>Присутствует?</v>
      </c>
      <c r="I67" s="425" t="str">
        <f>IF('Вставьте рез. яч. IL2 '!G74="",'Этап5-Обраб. отходов+перераб.'!J26,'Вставьте рез. яч. IL2 '!G74)</f>
        <v>Присутствует?</v>
      </c>
      <c r="J67" s="425" t="str">
        <f>IF('Вставьте рез. яч. IL2 '!H74="",'Этап5-Обраб. отходов+перераб.'!K26,'Вставьте рез. яч. IL2 '!H74)</f>
        <v>Присутствует?</v>
      </c>
      <c r="K67" s="425" t="str">
        <f>IF('Вставьте рез. яч. IL2 '!I74="",'Этап5-Обраб. отходов+перераб.'!L26,'Вставьте рез. яч. IL2 '!I74)</f>
        <v>Присутствует?</v>
      </c>
      <c r="L67" s="270" t="str">
        <f>'Этап5-Обраб. отходов+перераб.'!M26</f>
        <v>5.9.1</v>
      </c>
    </row>
    <row r="68" spans="1:12" ht="25">
      <c r="A68" s="736" t="s">
        <v>1128</v>
      </c>
      <c r="B68" s="267" t="str">
        <f>IF(OR('Этап5-Обраб. отходов+перераб.'!B27=yes,'Этап5-Обраб. отходов+перераб.'!B27=no,'Этап5-Обраб. отходов+перераб.'!B27=que),'Этап5-Обраб. отходов+перераб.'!B27,  pres)</f>
        <v>Присутствует?</v>
      </c>
      <c r="C68" s="373">
        <f>'Этап5-Обраб. отходов+перераб.'!C27</f>
        <v>0</v>
      </c>
      <c r="D68" s="271" t="str">
        <f>'Этап5-Обраб. отходов+перераб.'!D27</f>
        <v>Сброшенные отходы, т/год</v>
      </c>
      <c r="E68" s="435" t="str">
        <f>IF('Вставьте рез. яч. IL2 '!C75="",'Этап5-Обраб. отходов+перераб.'!F27,'Вставьте рез. яч. IL2 '!C75)</f>
        <v>Присутствует?</v>
      </c>
      <c r="F68" s="425" t="str">
        <f>IF('Вставьте рез. яч. IL2 '!D75="",'Этап5-Обраб. отходов+перераб.'!G27,'Вставьте рез. яч. IL2 '!D75)</f>
        <v>Присутствует?</v>
      </c>
      <c r="G68" s="425" t="str">
        <f>IF('Вставьте рез. яч. IL2 '!E75="",'Этап5-Обраб. отходов+перераб.'!H27,'Вставьте рез. яч. IL2 '!E75)</f>
        <v>Присутствует?</v>
      </c>
      <c r="H68" s="425" t="str">
        <f>IF('Вставьте рез. яч. IL2 '!F75="",'Этап5-Обраб. отходов+перераб.'!I27,'Вставьте рез. яч. IL2 '!F75)</f>
        <v>Присутствует?</v>
      </c>
      <c r="I68" s="425" t="str">
        <f>IF('Вставьте рез. яч. IL2 '!G75="",'Этап5-Обраб. отходов+перераб.'!J27,'Вставьте рез. яч. IL2 '!G75)</f>
        <v>Присутствует?</v>
      </c>
      <c r="J68" s="425" t="str">
        <f>IF('Вставьте рез. яч. IL2 '!H75="",'Этап5-Обраб. отходов+перераб.'!K27,'Вставьте рез. яч. IL2 '!H75)</f>
        <v>Присутствует?</v>
      </c>
      <c r="K68" s="425" t="str">
        <f>IF('Вставьте рез. яч. IL2 '!I75="",'Этап5-Обраб. отходов+перераб.'!L27,'Вставьте рез. яч. IL2 '!I75)</f>
        <v>Присутствует?</v>
      </c>
      <c r="L68" s="270" t="str">
        <f>'Этап5-Обраб. отходов+перераб.'!M27</f>
        <v>5.9.4</v>
      </c>
    </row>
    <row r="69" spans="1:12" ht="25">
      <c r="A69" s="736" t="s">
        <v>1129</v>
      </c>
      <c r="B69" s="267" t="str">
        <f>IF(OR('Этап5-Обраб. отходов+перераб.'!B29=yes,'Этап5-Обраб. отходов+перераб.'!B29=no,'Этап5-Обраб. отходов+перераб.'!B29=que),'Этап5-Обраб. отходов+перераб.'!B29,  pres)</f>
        <v>Присутствует?</v>
      </c>
      <c r="C69" s="373">
        <f>'Этап5-Обраб. отходов+перераб.'!C29</f>
        <v>0</v>
      </c>
      <c r="D69" s="271" t="str">
        <f>'Этап5-Обраб. отходов+перераб.'!D29</f>
        <v xml:space="preserve">Сточная вода, м3/год </v>
      </c>
      <c r="E69" s="435" t="str">
        <f>IF('Вставьте рез. яч. IL2 '!C76="",'Этап5-Обраб. отходов+перераб.'!F29,'Вставьте рез. яч. IL2 '!C76)</f>
        <v>Присутствует?</v>
      </c>
      <c r="F69" s="425" t="str">
        <f>IF('Вставьте рез. яч. IL2 '!D76="",'Этап5-Обраб. отходов+перераб.'!G29,'Вставьте рез. яч. IL2 '!D76)</f>
        <v>Присутствует?</v>
      </c>
      <c r="G69" s="425" t="str">
        <f>IF('Вставьте рез. яч. IL2 '!E76="",'Этап5-Обраб. отходов+перераб.'!H29,'Вставьте рез. яч. IL2 '!E76)</f>
        <v>Присутствует?</v>
      </c>
      <c r="H69" s="425" t="str">
        <f>IF('Вставьте рез. яч. IL2 '!F76="",'Этап5-Обраб. отходов+перераб.'!I29,'Вставьте рез. яч. IL2 '!F76)</f>
        <v>Присутствует?</v>
      </c>
      <c r="I69" s="425" t="str">
        <f>IF('Вставьте рез. яч. IL2 '!G76="",'Этап5-Обраб. отходов+перераб.'!J29,'Вставьте рез. яч. IL2 '!G76)</f>
        <v>Присутствует?</v>
      </c>
      <c r="J69" s="425" t="str">
        <f>IF('Вставьте рез. яч. IL2 '!H76="",'Этап5-Обраб. отходов+перераб.'!K29,'Вставьте рез. яч. IL2 '!H76)</f>
        <v>Присутствует?</v>
      </c>
      <c r="K69" s="425" t="str">
        <f>IF('Вставьте рез. яч. IL2 '!I76="",'Этап5-Обраб. отходов+перераб.'!L29,'Вставьте рез. яч. IL2 '!I76)</f>
        <v>Присутствует?</v>
      </c>
      <c r="L69" s="270" t="str">
        <f>'Этап5-Обраб. отходов+перераб.'!M29</f>
        <v>5.9.5</v>
      </c>
    </row>
    <row r="70" spans="1:12" ht="13">
      <c r="A70" s="390" t="str">
        <f>'Этап 7 - Крематории-кладбища'!A4</f>
        <v>Крематории и кладбища</v>
      </c>
      <c r="B70" s="302"/>
      <c r="C70" s="274"/>
      <c r="D70" s="303"/>
      <c r="E70" s="303"/>
      <c r="F70" s="433"/>
      <c r="G70" s="433"/>
      <c r="H70" s="433"/>
      <c r="I70" s="433"/>
      <c r="J70" s="433"/>
      <c r="K70" s="433"/>
      <c r="L70" s="304"/>
    </row>
    <row r="71" spans="1:12" ht="25">
      <c r="A71" s="753" t="s">
        <v>1019</v>
      </c>
      <c r="B71" s="267" t="str">
        <f>IF(OR('Этап 7 - Крематории-кладбища'!B5=yes,'Этап 7 - Крематории-кладбища'!B5=no,'Этап 7 - Крематории-кладбища'!B5=que),'Этап 7 - Крематории-кладбища'!B5,  pres)</f>
        <v>Присутствует?</v>
      </c>
      <c r="C71" s="373">
        <f>'Этап 7 - Крематории-кладбища'!C5</f>
        <v>0</v>
      </c>
      <c r="D71" s="271" t="str">
        <f>'Этап 7 - Крематории-кладбища'!D5</f>
        <v>Количество кремированных трупов/год</v>
      </c>
      <c r="E71" s="435" t="str">
        <f>IF('Вставьте рез. яч. IL2 '!C78="",'Этап 7 - Крематории-кладбища'!E5,'Вставьте рез. яч. IL2 '!C78)</f>
        <v>Присутствует?</v>
      </c>
      <c r="F71" s="425" t="str">
        <f>IF('Вставьте рез. яч. IL2 '!D78="",'Этап 7 - Крематории-кладбища'!F5,'Вставьте рез. яч. IL2 '!D78)</f>
        <v>Присутствует?</v>
      </c>
      <c r="G71" s="425" t="str">
        <f>IF('Вставьте рез. яч. IL2 '!E78="",'Этап 7 - Крематории-кладбища'!G5,'Вставьте рез. яч. IL2 '!E78)</f>
        <v>Присутствует?</v>
      </c>
      <c r="H71" s="425" t="str">
        <f>IF('Вставьте рез. яч. IL2 '!F78="",'Этап 7 - Крематории-кладбища'!H5,'Вставьте рез. яч. IL2 '!F78)</f>
        <v>Присутствует?</v>
      </c>
      <c r="I71" s="425" t="str">
        <f>IF('Вставьте рез. яч. IL2 '!G78="",'Этап 7 - Крематории-кладбища'!I5,'Вставьте рез. яч. IL2 '!G78)</f>
        <v>Присутствует?</v>
      </c>
      <c r="J71" s="425" t="str">
        <f>IF('Вставьте рез. яч. IL2 '!H78="",'Этап 7 - Крематории-кладбища'!J5,'Вставьте рез. яч. IL2 '!H78)</f>
        <v>Присутствует?</v>
      </c>
      <c r="K71" s="425" t="str">
        <f>IF('Вставьте рез. яч. IL2 '!I78="",'Этап 7 - Крематории-кладбища'!K5,'Вставьте рез. яч. IL2 '!I78)</f>
        <v>Присутствует?</v>
      </c>
      <c r="L71" s="270" t="str">
        <f>'Этап 7 - Крематории-кладбища'!L5</f>
        <v>5.10.1</v>
      </c>
    </row>
    <row r="72" spans="1:12" ht="25">
      <c r="A72" s="753" t="s">
        <v>1020</v>
      </c>
      <c r="B72" s="267" t="str">
        <f>IF(OR('Этап 7 - Крематории-кладбища'!B6=yes,'Этап 7 - Крематории-кладбища'!B6=no,'Этап 7 - Крематории-кладбища'!B6=que),'Этап 7 - Крематории-кладбища'!B6,  pres)</f>
        <v>Присутствует?</v>
      </c>
      <c r="C72" s="373">
        <f>'Этап 7 - Крематории-кладбища'!C6</f>
        <v>0</v>
      </c>
      <c r="D72" s="271" t="str">
        <f>'Этап 7 - Крематории-кладбища'!D6</f>
        <v>Количество захороненных трупов/год</v>
      </c>
      <c r="E72" s="435" t="str">
        <f>IF('Вставьте рез. яч. IL2 '!C79="",'Этап 7 - Крематории-кладбища'!E6,'Вставьте рез. яч. IL2 '!C79)</f>
        <v>Присутствует?</v>
      </c>
      <c r="F72" s="425" t="str">
        <f>IF('Вставьте рез. яч. IL2 '!D79="",'Этап 7 - Крематории-кладбища'!F6,'Вставьте рез. яч. IL2 '!D79)</f>
        <v>Присутствует?</v>
      </c>
      <c r="G72" s="425" t="str">
        <f>IF('Вставьте рез. яч. IL2 '!E79="",'Этап 7 - Крематории-кладбища'!G6,'Вставьте рез. яч. IL2 '!E79)</f>
        <v>Присутствует?</v>
      </c>
      <c r="H72" s="425" t="str">
        <f>IF('Вставьте рез. яч. IL2 '!F79="",'Этап 7 - Крематории-кладбища'!H6,'Вставьте рез. яч. IL2 '!F79)</f>
        <v>Присутствует?</v>
      </c>
      <c r="I72" s="425" t="str">
        <f>IF('Вставьте рез. яч. IL2 '!G79="",'Этап 7 - Крематории-кладбища'!I6,'Вставьте рез. яч. IL2 '!G79)</f>
        <v>Присутствует?</v>
      </c>
      <c r="J72" s="425" t="str">
        <f>IF('Вставьте рез. яч. IL2 '!H79="",'Этап 7 - Крематории-кладбища'!J6,'Вставьте рез. яч. IL2 '!H79)</f>
        <v>Присутствует?</v>
      </c>
      <c r="K72" s="425" t="str">
        <f>IF('Вставьте рез. яч. IL2 '!I79="",'Этап 7 - Крематории-кладбища'!K6,'Вставьте рез. яч. IL2 '!I79)</f>
        <v>Присутствует?</v>
      </c>
      <c r="L72" s="270" t="str">
        <f>'Этап 7 - Крематории-кладбища'!L6</f>
        <v>5.10.2</v>
      </c>
    </row>
    <row r="73" spans="1:12" s="353" customFormat="1" ht="13">
      <c r="A73" s="265" t="s">
        <v>1164</v>
      </c>
      <c r="B73" s="426"/>
      <c r="C73" s="373"/>
      <c r="D73" s="372"/>
      <c r="E73" s="428">
        <f>ROUND((SUM(E5:E72)-0.9*(SUM(E61:E61)+SUM(E62:E62)+SUM(E63:E63)+SUM(E64:E64)+SUM(E65:E65)+SUM(E67:E67)+SUM(E68:E68))-IF(OR(E69=0,E69=que),0,SUM(E69:E69))+(-IF(OR(E36=0,E36=que),0,SUM(E36:E36))+SUM(F36:K36))+(-IF(OR(E37=0,E37=que),0,SUM(E37:E37))+SUM(F37:K37))+(-IF(OR(E38=0,E38=que),0,SUM(E38:E38))+SUM(F38:K38))+(-IF(OR(E39=0,E39=que),0,SUM(E39:E39))+SUM(F39:K39))+(-IF(OR(E40=0,E40=que),0,SUM(E40:E40))+SUM(F40:K40))+(-IF(OR(E41=0,E41=que),0,SUM(E41:E41))+SUM(F41:K41))+(-IF(OR(E42=0,E42=que),0,SUM(E42:E42))+SUM(F42:K42))+(-IF(OR(E43=0,E43=que),0,SUM(E43:E43))+SUM(F43:K43))+(-IF(OR(E15=0,E15=que),0,SUM(E15:E15))+SUM(F15:K15))+(-IF(OR(E16=0,E16=que),0,SUM(E16:E16))+SUM(F16:K16))+(-IF(OR(E17=0,E17=que),0,SUM(E17:E17))+SUM(F17:K17))-(IF(OR(E29=0,E29=que),0,SUM('5-3 Other min + mat'!AG6:AG6)))),-1)</f>
        <v>0</v>
      </c>
      <c r="F73" s="434">
        <f>ROUND(SUM(F5:F72)-(IF(OR(E29=0,E29=que,E29=pres, E29="-"),0,'5-3 Other min + mat'!AH6)),-1)</f>
        <v>0</v>
      </c>
      <c r="G73" s="434" t="e">
        <f>ROUND(SUM(G5:G72)-IF(OR(G69="-",G69=que),0,G69)-(IF(OR(E29=0,E29=que,E29=pres, E29="-"),0,'5-3 Other min + mat'!AI6)),-1)</f>
        <v>#VALUE!</v>
      </c>
      <c r="H73" s="434" t="e">
        <f>ROUND(SUM(H5:H72)-IF(OR(H68="-",H68=que),0,H68)-(IF(OR(E29=0,E29=que,E29=pres, E29="-"),0,'5-3 Other min + mat'!AJ6)),-1)</f>
        <v>#VALUE!</v>
      </c>
      <c r="I73" s="434">
        <f>ROUND(SUM(I5:I72)-(IF(OR(E29=0,E29=que,E29=pres, E29="-"),0,'5-3 Other min + mat'!AK6)),-1)</f>
        <v>0</v>
      </c>
      <c r="J73" s="434">
        <f>ROUND(SUM(J5:J72)-(IF(OR(E29=0,E29=que,E29=pres, E29="-"),0,'5-3 Other min + mat'!AL6)),-1)</f>
        <v>0</v>
      </c>
      <c r="K73" s="434">
        <f>ROUND(SUM(K5:K72)-(IF(OR(E29=0,E29=que,E29=pres, E29="-"),0,'5-3 Other min + mat'!AM6)),-1)</f>
        <v>0</v>
      </c>
      <c r="L73" s="372"/>
    </row>
    <row r="74" spans="1:12">
      <c r="A74" s="743" t="s">
        <v>884</v>
      </c>
      <c r="B74" s="356"/>
      <c r="E74" s="3"/>
      <c r="F74" s="466"/>
    </row>
    <row r="75" spans="1:12">
      <c r="A75" s="743" t="s">
        <v>1165</v>
      </c>
    </row>
    <row r="76" spans="1:12">
      <c r="A76" s="743" t="s">
        <v>1166</v>
      </c>
    </row>
    <row r="77" spans="1:12">
      <c r="A77" s="743" t="s">
        <v>1167</v>
      </c>
    </row>
    <row r="78" spans="1:12">
      <c r="A78" s="743" t="s">
        <v>1168</v>
      </c>
    </row>
    <row r="79" spans="1:12">
      <c r="A79" s="743" t="s">
        <v>1169</v>
      </c>
    </row>
    <row r="80" spans="1:12">
      <c r="A80" s="743" t="s">
        <v>1170</v>
      </c>
    </row>
    <row r="81" spans="1:1">
      <c r="A81" s="743" t="s">
        <v>1171</v>
      </c>
    </row>
    <row r="82" spans="1:1" ht="13">
      <c r="A82" s="743" t="s">
        <v>1172</v>
      </c>
    </row>
    <row r="83" spans="1:1">
      <c r="A83" s="595" t="s">
        <v>824</v>
      </c>
    </row>
    <row r="85" spans="1:1">
      <c r="A85" s="594" t="s">
        <v>1247</v>
      </c>
    </row>
    <row r="86" spans="1:1">
      <c r="A86" s="594" t="s">
        <v>1248</v>
      </c>
    </row>
  </sheetData>
  <sheetProtection algorithmName="SHA-512" hashValue="XT+kYdGtajuebfG6Ohj0tF4FHkoV/qhC3ZYpKaAVkkc5juqHEHI33xlFL7BEvHnVumPXRSZVTNx/cpIBcY5ASg==" saltValue="TZUYZWT90K9WiJobnk22rg==" spinCount="100000" sheet="1" objects="1" scenarios="1"/>
  <mergeCells count="1">
    <mergeCell ref="F2:K2"/>
  </mergeCells>
  <pageMargins left="0.39370078740157483" right="0.39370078740157483" top="0.74803149606299213" bottom="0.74803149606299213" header="0.31496062992125984" footer="0.31496062992125984"/>
  <pageSetup paperSize="9" scale="86" fitToHeight="2"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6" stopIfTrue="1" id="{38038F7B-76CB-41A7-8003-A795F54220A9}">
            <xm:f>'Вставьте рез. яч. IL2 '!C12&lt;&gt;""</xm:f>
            <x14:dxf>
              <font>
                <color rgb="FF00B050"/>
              </font>
            </x14:dxf>
          </x14:cfRule>
          <xm:sqref>E58:E65 E15:K17 E19:K27 E29:K30 E32:K34 E36:K43 E45:K56 F58:K59 F61:K65 E67:K69 E71:K72 E5:K6</xm:sqref>
        </x14:conditionalFormatting>
        <x14:conditionalFormatting xmlns:xm="http://schemas.microsoft.com/office/excel/2006/main">
          <x14:cfRule type="expression" priority="42" stopIfTrue="1" id="{38038F7B-76CB-41A7-8003-A795F54220A9}">
            <xm:f>'Вставьте рез. яч. IL2 '!C13&lt;&gt;""</xm:f>
            <x14:dxf>
              <font>
                <color rgb="FF00B050"/>
              </font>
            </x14:dxf>
          </x14:cfRule>
          <xm:sqref>E7:K13</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2"/>
  <dimension ref="A1:BZ128"/>
  <sheetViews>
    <sheetView zoomScaleNormal="100" workbookViewId="0">
      <selection activeCell="K21" sqref="K21"/>
    </sheetView>
  </sheetViews>
  <sheetFormatPr defaultColWidth="8.81640625" defaultRowHeight="12.5"/>
  <cols>
    <col min="1" max="1" width="34.1796875" style="698" customWidth="1"/>
    <col min="2" max="2" width="56" style="262" customWidth="1"/>
    <col min="3" max="3" width="27.453125" style="9" customWidth="1"/>
    <col min="4" max="4" width="28" style="9" customWidth="1"/>
    <col min="5" max="6" width="27.453125" style="9" customWidth="1"/>
    <col min="7" max="7" width="27.81640625" style="9" customWidth="1"/>
    <col min="8" max="8" width="27.6328125" style="9" customWidth="1"/>
    <col min="9" max="9" width="9.1796875" style="9"/>
    <col min="10" max="78" width="9.1796875" style="3"/>
  </cols>
  <sheetData>
    <row r="1" spans="1:9" s="3" customFormat="1" ht="14.5">
      <c r="A1" s="823" t="s">
        <v>1259</v>
      </c>
      <c r="C1" s="332"/>
      <c r="D1" s="332"/>
      <c r="E1" s="332"/>
      <c r="F1" s="332"/>
      <c r="G1" s="332"/>
      <c r="H1" s="332"/>
      <c r="I1" s="332"/>
    </row>
    <row r="2" spans="1:9" s="3" customFormat="1">
      <c r="A2" s="332"/>
      <c r="C2" s="332"/>
      <c r="D2" s="332"/>
      <c r="E2" s="332"/>
      <c r="F2" s="332"/>
      <c r="G2" s="332"/>
      <c r="H2" s="332"/>
      <c r="I2" s="332" t="s">
        <v>883</v>
      </c>
    </row>
    <row r="3" spans="1:9" ht="25">
      <c r="A3" s="263" t="str">
        <f>'Этап 2 - Потребление энергии'!A5</f>
        <v>Сжигание угля на крупных электростанциях</v>
      </c>
      <c r="B3" s="822" t="s">
        <v>1236</v>
      </c>
      <c r="C3" s="699" t="str">
        <f>'Этап 2 - Потребление энергии'!G6</f>
        <v>0: Фильтры не использовались</v>
      </c>
      <c r="D3" s="699" t="str">
        <f>'Этап 2 - Потребление энергии'!H6</f>
        <v>1: Простые фракционные фильтры</v>
      </c>
      <c r="E3" s="699" t="str">
        <f>'Этап 2 - Потребление энергии'!I6</f>
        <v>2 : тканевый фильтр (FF)</v>
      </c>
      <c r="F3" s="699" t="str">
        <f>'Этап 2 - Потребление энергии'!J6</f>
        <v>3: Эффективный контроль загрязнения воздуха</v>
      </c>
      <c r="G3" s="699" t="str">
        <f>'Этап 2 - Потребление энергии'!K6</f>
        <v>4. Очень эффективный контроль загрязнения воздуха</v>
      </c>
      <c r="H3" s="699" t="str">
        <f>'Этап 2 - Потребление энергии'!L6</f>
        <v>5: Специальные фильтры для ртути</v>
      </c>
      <c r="I3" s="665" t="s">
        <v>45</v>
      </c>
    </row>
    <row r="4" spans="1:9" ht="13">
      <c r="A4" s="263"/>
      <c r="B4" s="822" t="s">
        <v>1191</v>
      </c>
      <c r="C4" s="700">
        <v>0</v>
      </c>
      <c r="D4" s="700">
        <v>100</v>
      </c>
      <c r="E4" s="700">
        <v>0</v>
      </c>
      <c r="F4" s="700">
        <v>0</v>
      </c>
      <c r="G4" s="700">
        <v>0</v>
      </c>
      <c r="H4" s="700">
        <v>0</v>
      </c>
      <c r="I4" s="263"/>
    </row>
    <row r="5" spans="1:9" s="3" customFormat="1">
      <c r="B5" s="824"/>
      <c r="C5" s="825"/>
      <c r="D5" s="825"/>
      <c r="E5" s="825"/>
      <c r="F5" s="825"/>
      <c r="G5" s="825"/>
      <c r="H5" s="825"/>
    </row>
    <row r="6" spans="1:9" ht="25">
      <c r="A6" s="263" t="str">
        <f>'Этап 2 - Потребление энергии'!A8</f>
        <v>Сжигание угля в угольных промышленных котлоагрегатах</v>
      </c>
      <c r="B6" s="270" t="s">
        <v>1236</v>
      </c>
      <c r="C6" s="699" t="str">
        <f>'Этап 2 - Потребление энергии'!G9</f>
        <v>0: Фильтры не использовались</v>
      </c>
      <c r="D6" s="699" t="str">
        <f>'Этап 2 - Потребление энергии'!H9</f>
        <v>1: Простые фракционные фильтры</v>
      </c>
      <c r="E6" s="699" t="str">
        <f>'Этап 2 - Потребление энергии'!I9</f>
        <v>2 : тканевый фильтр (FF)</v>
      </c>
      <c r="F6" s="699" t="str">
        <f>'Этап 2 - Потребление энергии'!J9</f>
        <v>3: Эффективный контроль загрязнения воздуха</v>
      </c>
      <c r="G6" s="699" t="str">
        <f>'Этап 2 - Потребление энергии'!K9</f>
        <v>4. Очень эффективный контроль загрязнения воздуха</v>
      </c>
      <c r="H6" s="699" t="str">
        <f>'Этап 2 - Потребление энергии'!L9</f>
        <v>5: Специальные фильтры для ртути</v>
      </c>
      <c r="I6" s="263" t="s">
        <v>732</v>
      </c>
    </row>
    <row r="7" spans="1:9" ht="13">
      <c r="A7" s="263"/>
      <c r="B7" s="270" t="s">
        <v>1191</v>
      </c>
      <c r="C7" s="700">
        <v>100</v>
      </c>
      <c r="D7" s="700">
        <v>0</v>
      </c>
      <c r="E7" s="700">
        <v>0</v>
      </c>
      <c r="F7" s="700">
        <v>0</v>
      </c>
      <c r="G7" s="700">
        <v>0</v>
      </c>
      <c r="H7" s="700">
        <v>0</v>
      </c>
      <c r="I7" s="263"/>
    </row>
    <row r="8" spans="1:9" s="3" customFormat="1">
      <c r="B8" s="824"/>
      <c r="C8" s="825"/>
      <c r="D8" s="825"/>
      <c r="E8" s="825"/>
      <c r="F8" s="825"/>
      <c r="G8" s="825"/>
      <c r="H8" s="825"/>
    </row>
    <row r="9" spans="1:9" ht="62.5">
      <c r="A9" s="263" t="str">
        <f>'Этап 2 - Потребление энергии'!A12</f>
        <v>Сжигание/использование нефтяного кокса и тяжелого топлива</v>
      </c>
      <c r="B9" s="822" t="s">
        <v>1236</v>
      </c>
      <c r="C9" s="699" t="str">
        <f>'Этап 2 - Потребление энергии'!G13</f>
        <v>Фильтры не использовались</v>
      </c>
      <c r="D9" s="699" t="str">
        <f>'Этап 2 - Потребление энергии'!H13</f>
        <v>Электростатический пылеуловитель (ESP) или скруббер</v>
      </c>
      <c r="E9" s="699" t="str">
        <f>'Этап 2 - Потребление энергии'!I13</f>
        <v>Низкотемпературные электростатические пылеуловитепи (cESP) и системы десульфуризации дымовых газов (FGD)</v>
      </c>
      <c r="F9" s="263"/>
      <c r="G9" s="263"/>
      <c r="H9" s="263"/>
      <c r="I9" s="263" t="s">
        <v>65</v>
      </c>
    </row>
    <row r="10" spans="1:9" ht="13">
      <c r="A10" s="263"/>
      <c r="B10" s="270" t="s">
        <v>1191</v>
      </c>
      <c r="C10" s="700">
        <v>100</v>
      </c>
      <c r="D10" s="700">
        <v>0</v>
      </c>
      <c r="E10" s="700">
        <v>0</v>
      </c>
      <c r="F10" s="263"/>
      <c r="G10" s="263"/>
      <c r="H10" s="263"/>
      <c r="I10" s="263"/>
    </row>
    <row r="11" spans="1:9" s="3" customFormat="1">
      <c r="B11" s="824"/>
      <c r="C11" s="825"/>
      <c r="D11" s="825"/>
      <c r="E11" s="825"/>
      <c r="F11" s="825"/>
      <c r="G11" s="825"/>
      <c r="H11" s="825"/>
    </row>
    <row r="12" spans="1:9" ht="62.5">
      <c r="A12" s="263" t="str">
        <f>'Этап 2 - Потребление энергии'!A15</f>
        <v>Сжигание/использование дизельного топлива, бензина, нефти, керосина</v>
      </c>
      <c r="B12" s="270" t="s">
        <v>1236</v>
      </c>
      <c r="C12" s="699" t="str">
        <f>'Этап 2 - Потребление энергии'!G16</f>
        <v>Фильтры не использовались</v>
      </c>
      <c r="D12" s="699" t="str">
        <f>'Этап 2 - Потребление энергии'!H16</f>
        <v>Электростатический пылеуловитель (ESP) или скруббер</v>
      </c>
      <c r="E12" s="699" t="str">
        <f>'Этап 2 - Потребление энергии'!I16</f>
        <v>Низкотемпературные электростатические пылеуловитепи (cESP) и системы десульфуризации дымовых газов (FGD)</v>
      </c>
      <c r="F12" s="263"/>
      <c r="G12" s="263"/>
      <c r="H12" s="263"/>
      <c r="I12" s="263" t="s">
        <v>65</v>
      </c>
    </row>
    <row r="13" spans="1:9" ht="13">
      <c r="A13" s="263"/>
      <c r="B13" s="270" t="s">
        <v>1191</v>
      </c>
      <c r="C13" s="700">
        <v>100</v>
      </c>
      <c r="D13" s="700">
        <v>0</v>
      </c>
      <c r="E13" s="700">
        <v>0</v>
      </c>
      <c r="F13" s="263"/>
      <c r="G13" s="263"/>
      <c r="H13" s="263"/>
      <c r="I13" s="263"/>
    </row>
    <row r="14" spans="1:9" s="3" customFormat="1">
      <c r="B14" s="824"/>
      <c r="C14" s="825"/>
      <c r="D14" s="825"/>
      <c r="E14" s="825"/>
      <c r="F14" s="825"/>
      <c r="G14" s="825"/>
      <c r="H14" s="825"/>
    </row>
    <row r="15" spans="1:9" ht="26.25" customHeight="1">
      <c r="A15" s="263" t="str">
        <f>'Этап 2 - Потребление энергии'!A26</f>
        <v>Добыча и обработка природного газа.</v>
      </c>
      <c r="B15" s="270" t="s">
        <v>1236</v>
      </c>
      <c r="C15" s="699" t="str">
        <f>'Этап 2 - Потребление энергии'!G27</f>
        <v>без удаления ртути</v>
      </c>
      <c r="D15" s="699" t="str">
        <f>'Этап 2 - Потребление энергии'!H27</f>
        <v>с удаления ртути</v>
      </c>
      <c r="E15" s="263"/>
      <c r="F15" s="263"/>
      <c r="G15" s="263"/>
      <c r="H15" s="263"/>
      <c r="I15" s="263" t="s">
        <v>71</v>
      </c>
    </row>
    <row r="16" spans="1:9" ht="13">
      <c r="A16" s="263"/>
      <c r="B16" s="270" t="s">
        <v>1191</v>
      </c>
      <c r="C16" s="700">
        <v>50</v>
      </c>
      <c r="D16" s="700">
        <v>50</v>
      </c>
      <c r="E16" s="263"/>
      <c r="F16" s="263"/>
      <c r="G16" s="263"/>
      <c r="H16" s="263"/>
      <c r="I16" s="263"/>
    </row>
    <row r="17" spans="1:9" s="3" customFormat="1">
      <c r="B17" s="824"/>
      <c r="C17" s="825"/>
      <c r="D17" s="825"/>
      <c r="E17" s="825"/>
      <c r="F17" s="825"/>
      <c r="G17" s="825"/>
      <c r="H17" s="825"/>
    </row>
    <row r="18" spans="1:9" ht="37.5">
      <c r="A18" s="263" t="str">
        <f>'Этап 3 - Металлы - Сырье'!A7</f>
        <v>Производство цинка из продуктов обогащения</v>
      </c>
      <c r="B18" s="270" t="s">
        <v>1236</v>
      </c>
      <c r="C18" s="699" t="str">
        <f>'Этап 3 - Металлы - Сырье'!G8</f>
        <v xml:space="preserve"> 1: Без фильтров или крупнодисперсных сухих твердых частиц </v>
      </c>
      <c r="D18" s="699" t="str">
        <f>'Этап 3 - Металлы - Сырье'!H8</f>
        <v xml:space="preserve">2: С мокрой газоочисткой </v>
      </c>
      <c r="E18" s="699" t="str">
        <f>'Этап 3 - Металлы - Сырье'!I8</f>
        <v>3: С мокрой газоочисткой и установка по производству кислоты</v>
      </c>
      <c r="F18" s="699" t="str">
        <f>'Этап 3 - Металлы - Сырье'!J8</f>
        <v>4: С мокрой газоочисткой, установками для производства кислоты и ртутным фильтром</v>
      </c>
      <c r="G18" s="263"/>
      <c r="H18" s="263"/>
      <c r="I18" s="263" t="s">
        <v>365</v>
      </c>
    </row>
    <row r="19" spans="1:9" ht="13">
      <c r="A19" s="263"/>
      <c r="B19" s="270" t="s">
        <v>1191</v>
      </c>
      <c r="C19" s="700">
        <v>0</v>
      </c>
      <c r="D19" s="700">
        <v>0</v>
      </c>
      <c r="E19" s="700">
        <v>100</v>
      </c>
      <c r="F19" s="700">
        <v>0</v>
      </c>
      <c r="G19" s="263"/>
      <c r="H19" s="263"/>
      <c r="I19" s="263"/>
    </row>
    <row r="20" spans="1:9" s="3" customFormat="1">
      <c r="B20" s="824"/>
      <c r="C20" s="825"/>
      <c r="D20" s="825"/>
      <c r="E20" s="825"/>
      <c r="F20" s="825"/>
      <c r="G20" s="825"/>
      <c r="H20" s="825"/>
    </row>
    <row r="21" spans="1:9" ht="37.5">
      <c r="A21" s="263" t="str">
        <f>'Этап 3 - Металлы - Сырье'!A10</f>
        <v>Производство меди из продуктов обогащения</v>
      </c>
      <c r="B21" s="270" t="s">
        <v>1236</v>
      </c>
      <c r="C21" s="699" t="str">
        <f>'Этап 3 - Металлы - Сырье'!G11</f>
        <v xml:space="preserve"> 1: Без фильтров или крупнодисперсных сухих твердых частиц </v>
      </c>
      <c r="D21" s="699" t="str">
        <f>'Этап 3 - Металлы - Сырье'!H11</f>
        <v xml:space="preserve">2: С мокрой газоочисткой </v>
      </c>
      <c r="E21" s="699" t="str">
        <f>'Этап 3 - Металлы - Сырье'!I11</f>
        <v>3: С мокрой газоочисткой и установка по производству кислоты</v>
      </c>
      <c r="F21" s="699" t="str">
        <f>'Этап 3 - Металлы - Сырье'!J11</f>
        <v>4: С мокрой газоочисткой, установками для производства кислоты и ртутным фильтром</v>
      </c>
      <c r="G21" s="263"/>
      <c r="H21" s="263"/>
      <c r="I21" s="263" t="s">
        <v>366</v>
      </c>
    </row>
    <row r="22" spans="1:9" ht="13">
      <c r="A22" s="263"/>
      <c r="B22" s="270" t="s">
        <v>1191</v>
      </c>
      <c r="C22" s="700">
        <v>0</v>
      </c>
      <c r="D22" s="700">
        <v>0</v>
      </c>
      <c r="E22" s="700">
        <v>100</v>
      </c>
      <c r="F22" s="700">
        <v>0</v>
      </c>
      <c r="G22" s="263"/>
      <c r="H22" s="263"/>
      <c r="I22" s="263"/>
    </row>
    <row r="23" spans="1:9" s="3" customFormat="1">
      <c r="B23" s="824"/>
      <c r="C23" s="825"/>
      <c r="D23" s="825"/>
      <c r="E23" s="825"/>
      <c r="F23" s="825"/>
      <c r="G23" s="825"/>
      <c r="H23" s="825"/>
    </row>
    <row r="24" spans="1:9" ht="37.5">
      <c r="A24" s="263" t="str">
        <f>'Этап 3 - Металлы - Сырье'!A13</f>
        <v>Производство свинца из продуктов обогащения</v>
      </c>
      <c r="B24" s="270" t="s">
        <v>1236</v>
      </c>
      <c r="C24" s="699" t="str">
        <f>'Этап 3 - Металлы - Сырье'!G14</f>
        <v xml:space="preserve"> 1: Без фильтров или крупнодисперсных сухих твердых частиц </v>
      </c>
      <c r="D24" s="699" t="str">
        <f>'Этап 3 - Металлы - Сырье'!H14</f>
        <v xml:space="preserve">2: С мокрой газоочисткой </v>
      </c>
      <c r="E24" s="699" t="str">
        <f>'Этап 3 - Металлы - Сырье'!I14</f>
        <v>3: С мокрой газоочисткой и установка по производству кислоты</v>
      </c>
      <c r="F24" s="699" t="str">
        <f>'Этап 3 - Металлы - Сырье'!J14</f>
        <v>4: С мокрой газоочисткой, установками для производства кислоты и ртутным фильтром</v>
      </c>
      <c r="G24" s="263"/>
      <c r="H24" s="263"/>
      <c r="I24" s="263" t="s">
        <v>367</v>
      </c>
    </row>
    <row r="25" spans="1:9" ht="13">
      <c r="A25" s="263"/>
      <c r="B25" s="270" t="s">
        <v>1191</v>
      </c>
      <c r="C25" s="700">
        <v>0</v>
      </c>
      <c r="D25" s="700">
        <v>0</v>
      </c>
      <c r="E25" s="700">
        <v>100</v>
      </c>
      <c r="F25" s="700">
        <v>0</v>
      </c>
      <c r="G25" s="263"/>
      <c r="H25" s="263"/>
      <c r="I25" s="263"/>
    </row>
    <row r="26" spans="1:9" s="3" customFormat="1">
      <c r="B26" s="824"/>
      <c r="C26" s="825"/>
      <c r="D26" s="825"/>
      <c r="E26" s="825"/>
      <c r="F26" s="825"/>
      <c r="G26" s="825"/>
      <c r="H26" s="825"/>
    </row>
    <row r="27" spans="1:9" ht="37.5">
      <c r="A27" s="665" t="str">
        <f>'Этап 3 - Металлы - Сырье'!A19</f>
        <v>Добыча золота с помощью процесса амальгамирования ртути - Из недробленой руды</v>
      </c>
      <c r="B27" s="270" t="s">
        <v>1236</v>
      </c>
      <c r="C27" s="699" t="str">
        <f>'Этап 3 - Металлы - Сырье'!G20</f>
        <v>без использования ретортных печей</v>
      </c>
      <c r="D27" s="699" t="str">
        <f>'Этап 3 - Металлы - Сырье'!H20</f>
        <v xml:space="preserve">Использование ретортных печей </v>
      </c>
      <c r="E27" s="263"/>
      <c r="F27" s="263"/>
      <c r="G27" s="263"/>
      <c r="H27" s="263"/>
      <c r="I27" s="263" t="s">
        <v>158</v>
      </c>
    </row>
    <row r="28" spans="1:9" ht="13">
      <c r="A28" s="263"/>
      <c r="B28" s="270" t="s">
        <v>1191</v>
      </c>
      <c r="C28" s="700">
        <v>100</v>
      </c>
      <c r="D28" s="700">
        <v>0</v>
      </c>
      <c r="E28" s="263"/>
      <c r="F28" s="263"/>
      <c r="G28" s="263"/>
      <c r="H28" s="263"/>
      <c r="I28" s="263"/>
    </row>
    <row r="29" spans="1:9" s="3" customFormat="1">
      <c r="B29" s="824"/>
      <c r="C29" s="825"/>
      <c r="D29" s="825"/>
      <c r="E29" s="825"/>
      <c r="F29" s="825"/>
      <c r="G29" s="825"/>
      <c r="H29" s="825"/>
    </row>
    <row r="30" spans="1:9" ht="37.5">
      <c r="A30" s="263" t="str">
        <f>'Этап 3 - Металлы - Сырье'!A22</f>
        <v>Добыча золота с помощью процесса амальгамирования ртути - Из обогащенной руды</v>
      </c>
      <c r="B30" s="270" t="s">
        <v>1236</v>
      </c>
      <c r="C30" s="699" t="str">
        <f>'Этап 3 - Металлы - Сырье'!G23</f>
        <v xml:space="preserve">No retorts used </v>
      </c>
      <c r="D30" s="699" t="str">
        <f>'Этап 3 - Металлы - Сырье'!H23</f>
        <v>Use of retorts</v>
      </c>
      <c r="E30" s="263"/>
      <c r="F30" s="263"/>
      <c r="G30" s="263"/>
      <c r="H30" s="263"/>
      <c r="I30" s="263" t="s">
        <v>158</v>
      </c>
    </row>
    <row r="31" spans="1:9" ht="13">
      <c r="A31" s="263"/>
      <c r="B31" s="270" t="s">
        <v>1191</v>
      </c>
      <c r="C31" s="700">
        <v>100</v>
      </c>
      <c r="D31" s="700">
        <v>0</v>
      </c>
      <c r="E31" s="263"/>
      <c r="F31" s="263"/>
      <c r="G31" s="263"/>
      <c r="H31" s="263"/>
      <c r="I31" s="263"/>
    </row>
    <row r="32" spans="1:9" s="3" customFormat="1">
      <c r="B32" s="824"/>
      <c r="C32" s="825"/>
      <c r="D32" s="825"/>
      <c r="E32" s="825"/>
      <c r="F32" s="825"/>
      <c r="G32" s="825"/>
      <c r="H32" s="825"/>
    </row>
    <row r="33" spans="1:9" ht="50">
      <c r="A33" s="263" t="str">
        <f>'Этап 3 - Металлы - Сырье'!A26</f>
        <v>Производство цемента</v>
      </c>
      <c r="B33" s="263" t="str">
        <f>'Этап 3 - Металлы - Сырье'!E27</f>
        <v>1) С ОТХОДОМ, ИСПОЛЬЗУЕМЫМ в качестве топлива (&gt; 3% энергии); соответствующие варианты уменьшения загрязнений</v>
      </c>
      <c r="C33" s="699" t="str">
        <f>'Этап 3 - Металлы - Сырье'!G27</f>
        <v xml:space="preserve"> Без фильтра</v>
      </c>
      <c r="D33" s="699" t="str">
        <f>'Этап 3 - Металлы - Сырье'!H27</f>
        <v>Простой контроль запыленности (ESP / PS /FF)</v>
      </c>
      <c r="E33" s="699" t="str">
        <f>'Этап 3 - Металлы - Сырье'!I27</f>
        <v>Оптимизированный контроль запыленности (FF+SNCR /FF+WS / ESP+FGD / оптимизированныйFF)</v>
      </c>
      <c r="F33" s="699" t="str">
        <f>'Этап 3 - Металлы - Сырье'!J27</f>
        <v>Эффективный контроль загрязнения воздуха (FF+DS / ESP+DS / ESP+WS / ESP+SNCR)</v>
      </c>
      <c r="G33" s="699" t="str">
        <f>'Этап 3 - Металлы - Сырье'!K27</f>
        <v>Очень эффективный контроль загрязнения ртутью (wetFGD+ACI/FF+скруббер+SNCR)</v>
      </c>
      <c r="H33" s="263"/>
      <c r="I33" s="263" t="s">
        <v>188</v>
      </c>
    </row>
    <row r="34" spans="1:9" ht="13">
      <c r="A34" s="263"/>
      <c r="B34" s="270" t="s">
        <v>1191</v>
      </c>
      <c r="C34" s="700">
        <v>25</v>
      </c>
      <c r="D34" s="700">
        <v>25</v>
      </c>
      <c r="E34" s="700">
        <v>0</v>
      </c>
      <c r="F34" s="700">
        <v>0</v>
      </c>
      <c r="G34" s="699">
        <v>0</v>
      </c>
      <c r="H34" s="263"/>
      <c r="I34" s="263"/>
    </row>
    <row r="35" spans="1:9" ht="50">
      <c r="A35" s="263"/>
      <c r="B35" s="263" t="str">
        <f>'Этап 3 - Металлы - Сырье'!E29</f>
        <v>2) БЕЗ/ НИЗКОЕ КОЛИЧЕСТВО ОТХОДОВ, ИСПОЛЬЗУЕМЫХ в качестве топлива; соответствующие варианты уменьшения загрязнений</v>
      </c>
      <c r="C35" s="699" t="str">
        <f>'Этап 3 - Металлы - Сырье'!G29</f>
        <v xml:space="preserve"> Без фильтра</v>
      </c>
      <c r="D35" s="699" t="str">
        <f>'Этап 3 - Металлы - Сырье'!H29</f>
        <v>Простой контроль запыленности (ESP / PS /FF)</v>
      </c>
      <c r="E35" s="699" t="str">
        <f>'Этап 3 - Металлы - Сырье'!I29</f>
        <v>Оптимизированный контроль запыленности (FF+SNCR /FF+WS / ESP+FGD / оптимизированный FF)</v>
      </c>
      <c r="F35" s="699" t="str">
        <f>'Этап 3 - Металлы - Сырье'!J29</f>
        <v>Эффективный контроль загрязнения воздуха (FF+DS / ESP+DS / ESP+WS / ESP+SNCR)</v>
      </c>
      <c r="G35" s="699" t="str">
        <f>'Этап 3 - Металлы - Сырье'!K29</f>
        <v>Очень эффективный контроль загрязнения ртутью (wetFGD+ACI/FF+скруббер+SNCR)</v>
      </c>
      <c r="H35" s="263"/>
      <c r="I35" s="263"/>
    </row>
    <row r="36" spans="1:9" ht="13">
      <c r="A36" s="263"/>
      <c r="B36" s="270" t="s">
        <v>1191</v>
      </c>
      <c r="C36" s="700">
        <v>25</v>
      </c>
      <c r="D36" s="700">
        <v>25</v>
      </c>
      <c r="E36" s="700">
        <v>0</v>
      </c>
      <c r="F36" s="700">
        <v>0</v>
      </c>
      <c r="G36" s="699">
        <v>0</v>
      </c>
      <c r="H36" s="263"/>
      <c r="I36" s="263"/>
    </row>
    <row r="37" spans="1:9" s="3" customFormat="1">
      <c r="B37" s="824"/>
      <c r="C37" s="825"/>
      <c r="D37" s="825"/>
      <c r="E37" s="825"/>
      <c r="F37" s="825"/>
      <c r="G37" s="825"/>
      <c r="H37" s="825"/>
    </row>
    <row r="38" spans="1:9" ht="62.5">
      <c r="A38" s="263" t="str">
        <f>'Этап 3 - Металлы - Сырье'!A31</f>
        <v>Производство целлюлозы и бумаги</v>
      </c>
      <c r="B38" s="270" t="s">
        <v>1236</v>
      </c>
      <c r="C38" s="699" t="str">
        <f>'Этап 3 - Металлы - Сырье'!G32</f>
        <v>без использования фильтров</v>
      </c>
      <c r="D38" s="699" t="str">
        <f>'Этап 3 - Металлы - Сырье'!H32</f>
        <v>Контроль твердых частиц с помощью общего электростатического пылеуловителя (ESP) или  сажевый скруббер (PS)</v>
      </c>
      <c r="E38" s="263"/>
      <c r="F38" s="263"/>
      <c r="G38" s="263"/>
      <c r="H38" s="263"/>
      <c r="I38" s="263" t="s">
        <v>189</v>
      </c>
    </row>
    <row r="39" spans="1:9" ht="13">
      <c r="A39" s="263"/>
      <c r="B39" s="270" t="s">
        <v>1204</v>
      </c>
      <c r="C39" s="700">
        <v>100</v>
      </c>
      <c r="D39" s="700">
        <v>0</v>
      </c>
      <c r="E39" s="263"/>
      <c r="F39" s="263"/>
      <c r="G39" s="263"/>
      <c r="H39" s="263"/>
      <c r="I39" s="263"/>
    </row>
    <row r="40" spans="1:9" s="3" customFormat="1">
      <c r="B40" s="824"/>
      <c r="C40" s="825"/>
      <c r="D40" s="825"/>
      <c r="E40" s="825"/>
      <c r="F40" s="825"/>
      <c r="G40" s="825"/>
      <c r="H40" s="825"/>
    </row>
    <row r="41" spans="1:9" ht="62.5">
      <c r="A41" s="263" t="str">
        <f>'Этап5-Обраб. отходов+перераб.'!A13</f>
        <v>Сжигание городских/обычных отходов</v>
      </c>
      <c r="B41" s="270" t="s">
        <v>1236</v>
      </c>
      <c r="C41" s="699" t="str">
        <f>'Этап5-Обраб. отходов+перераб.'!G14</f>
        <v>Нет устройств сокращения выбросов</v>
      </c>
      <c r="D41" s="699" t="str">
        <f>'Этап5-Обраб. отходов+перераб.'!H14</f>
        <v>Сокращение твердых частиц с простыми ЭСП или на аналогичных устройствах</v>
      </c>
      <c r="E41" s="699" t="str">
        <f>'Этап5-Обраб. отходов+перераб.'!I14</f>
        <v>Контроль содержания углекислого газа с помощью
 щелочи и нижнего высокоэффективногоFF или уменьшения ESP</v>
      </c>
      <c r="F41" s="699" t="str">
        <f>'Этап5-Обраб. отходов+перераб.'!J14</f>
        <v>Абсорбенты ртути и  тканевый фильтр (FF)</v>
      </c>
      <c r="G41" s="263"/>
      <c r="H41" s="263"/>
      <c r="I41" s="263" t="s">
        <v>196</v>
      </c>
    </row>
    <row r="42" spans="1:9" ht="13">
      <c r="A42" s="263"/>
      <c r="B42" s="270" t="s">
        <v>1191</v>
      </c>
      <c r="C42" s="700">
        <v>0</v>
      </c>
      <c r="D42" s="700">
        <v>100</v>
      </c>
      <c r="E42" s="700">
        <v>0</v>
      </c>
      <c r="F42" s="700">
        <v>0</v>
      </c>
      <c r="G42" s="263"/>
      <c r="H42" s="263"/>
      <c r="I42" s="263"/>
    </row>
    <row r="43" spans="1:9" s="3" customFormat="1">
      <c r="B43" s="824"/>
      <c r="C43" s="825"/>
      <c r="D43" s="825"/>
      <c r="E43" s="825"/>
      <c r="F43" s="825"/>
      <c r="G43" s="825"/>
      <c r="H43" s="825"/>
    </row>
    <row r="44" spans="1:9" ht="62.5">
      <c r="A44" s="263" t="str">
        <f>'Этап5-Обраб. отходов+перераб.'!A16</f>
        <v>Сжигание опасных отходов</v>
      </c>
      <c r="B44" s="270" t="s">
        <v>1236</v>
      </c>
      <c r="C44" s="699" t="str">
        <f>'Этап5-Обраб. отходов+перераб.'!G17</f>
        <v>Нет устройств сокращения выбросов</v>
      </c>
      <c r="D44" s="699" t="str">
        <f>'Этап5-Обраб. отходов+перераб.'!H17</f>
        <v>Сокращение твердых частиц с простыми ЭСП или на аналогичных устройствах</v>
      </c>
      <c r="E44" s="699" t="str">
        <f>'Этап5-Обраб. отходов+перераб.'!I17</f>
        <v>Контроль содержания углекислого газа с помощью
 щелочи и нижнего высокоэффективногоFF или уменьшения ESP</v>
      </c>
      <c r="F44" s="699" t="str">
        <f>'Этап5-Обраб. отходов+перераб.'!J17</f>
        <v>Абсорбенты ртути и  тканевый фильтр (FF)</v>
      </c>
      <c r="G44" s="263"/>
      <c r="H44" s="263"/>
      <c r="I44" s="263" t="s">
        <v>200</v>
      </c>
    </row>
    <row r="45" spans="1:9" ht="13">
      <c r="A45" s="263"/>
      <c r="B45" s="270" t="s">
        <v>1204</v>
      </c>
      <c r="C45" s="700">
        <v>0</v>
      </c>
      <c r="D45" s="700">
        <v>100</v>
      </c>
      <c r="E45" s="700">
        <v>0</v>
      </c>
      <c r="F45" s="700">
        <v>0</v>
      </c>
      <c r="G45" s="263"/>
      <c r="H45" s="263"/>
      <c r="I45" s="263"/>
    </row>
    <row r="46" spans="1:9" s="3" customFormat="1">
      <c r="B46" s="824"/>
      <c r="C46" s="825"/>
      <c r="D46" s="825"/>
      <c r="E46" s="825"/>
      <c r="F46" s="825"/>
      <c r="G46" s="825"/>
      <c r="H46" s="825"/>
    </row>
    <row r="47" spans="1:9" ht="62.5">
      <c r="A47" s="263" t="str">
        <f>'Этап5-Обраб. отходов+перераб.'!A19</f>
        <v>Инсинерация и открытое сжигание медицинских отходов</v>
      </c>
      <c r="B47" s="270" t="s">
        <v>1236</v>
      </c>
      <c r="C47" s="699" t="str">
        <f>'Этап5-Обраб. отходов+перераб.'!G20</f>
        <v>Нет устройств сокращения выбросов</v>
      </c>
      <c r="D47" s="699" t="str">
        <f>'Этап5-Обраб. отходов+перераб.'!H20</f>
        <v>Сокращение твердых частиц с простыми ЭСП или на аналогичных устройствах</v>
      </c>
      <c r="E47" s="699" t="str">
        <f>'Этап5-Обраб. отходов+перераб.'!I20</f>
        <v>Контроль содержания углекислого газа с помощью
 щелочи и нижнего высокоэффективногоFF или уменьшения ESP</v>
      </c>
      <c r="F47" s="699" t="str">
        <f>'Этап5-Обраб. отходов+перераб.'!J20</f>
        <v>Абсорбенты ртути и  тканевый фильтр (FF)</v>
      </c>
      <c r="G47" s="263"/>
      <c r="H47" s="263"/>
      <c r="I47" s="263" t="s">
        <v>205</v>
      </c>
    </row>
    <row r="48" spans="1:9" ht="13">
      <c r="A48" s="263"/>
      <c r="B48" s="270" t="s">
        <v>1204</v>
      </c>
      <c r="C48" s="700">
        <v>100</v>
      </c>
      <c r="D48" s="700">
        <v>0</v>
      </c>
      <c r="E48" s="700">
        <v>0</v>
      </c>
      <c r="F48" s="700">
        <v>0</v>
      </c>
      <c r="G48" s="263"/>
      <c r="H48" s="263"/>
      <c r="I48" s="263"/>
    </row>
    <row r="49" spans="1:9" s="3" customFormat="1">
      <c r="B49" s="824"/>
      <c r="C49" s="825"/>
      <c r="D49" s="825"/>
      <c r="E49" s="825"/>
      <c r="F49" s="825"/>
      <c r="G49" s="825"/>
      <c r="H49" s="825"/>
    </row>
    <row r="50" spans="1:9" ht="50">
      <c r="A50" s="263" t="str">
        <f>'Этап5-Обраб. отходов+перераб.'!A29</f>
        <v>Система сбора и отведения/обработка сточных вод</v>
      </c>
      <c r="B50" s="270" t="s">
        <v>1236</v>
      </c>
      <c r="C50" s="699" t="str">
        <f>'Этап5-Обраб. отходов+перераб.'!G30</f>
        <v>Без обработки</v>
      </c>
      <c r="D50" s="699" t="str">
        <f>'Этап5-Обраб. отходов+перераб.'!H30</f>
        <v>Только механическая обработка</v>
      </c>
      <c r="E50" s="699" t="str">
        <f>'Этап5-Обраб. отходов+перераб.'!I30</f>
        <v>Механическая и биологическая (активный осадок) обработка; не захоронение отходов в почве</v>
      </c>
      <c r="F50" s="699" t="str">
        <f>'Этап5-Обраб. отходов+перераб.'!J30</f>
        <v>Механическая и биологическая (активный осадок) обработка; 40% осадка, используемого для захоронения в землю</v>
      </c>
      <c r="G50" s="263"/>
      <c r="H50" s="263"/>
      <c r="I50" s="263" t="s">
        <v>295</v>
      </c>
    </row>
    <row r="51" spans="1:9" ht="13">
      <c r="A51" s="263"/>
      <c r="B51" s="270" t="s">
        <v>1191</v>
      </c>
      <c r="C51" s="700">
        <v>0</v>
      </c>
      <c r="D51" s="700">
        <v>100</v>
      </c>
      <c r="E51" s="700">
        <v>0</v>
      </c>
      <c r="F51" s="700">
        <v>0</v>
      </c>
      <c r="G51" s="263"/>
      <c r="H51" s="263"/>
      <c r="I51" s="263"/>
    </row>
    <row r="52" spans="1:9" s="3" customFormat="1">
      <c r="B52" s="824"/>
      <c r="C52" s="825"/>
      <c r="D52" s="825"/>
      <c r="E52" s="825"/>
      <c r="F52" s="825"/>
      <c r="G52" s="825"/>
      <c r="H52" s="825"/>
    </row>
    <row r="53" spans="1:9" ht="50">
      <c r="A53" s="263" t="str">
        <f>'Этап 6-Hg-продукция - вещ-ва'!A7</f>
        <v>Амальгама для зубных пломб («серебряные» пломбы)</v>
      </c>
      <c r="B53" s="707" t="s">
        <v>1236</v>
      </c>
      <c r="C53" s="699" t="str">
        <f>'Этап 6-Hg-продукция - вещ-ва'!G12</f>
        <v>Клиники, в которых используются только простые крепежные сито / фильтры</v>
      </c>
      <c r="D53" s="699" t="str">
        <f>'Этап 6-Hg-продукция - вещ-ва'!H12</f>
        <v>Клиники, в которых используются высокоэффективные сепараторы амальгамы</v>
      </c>
      <c r="E53" s="263"/>
      <c r="F53" s="263"/>
      <c r="G53" s="263"/>
      <c r="H53" s="263"/>
      <c r="I53" s="822" t="s">
        <v>212</v>
      </c>
    </row>
    <row r="54" spans="1:9" ht="13">
      <c r="A54" s="263"/>
      <c r="B54" s="708" t="s">
        <v>1191</v>
      </c>
      <c r="C54" s="700">
        <v>100</v>
      </c>
      <c r="D54" s="700">
        <v>0</v>
      </c>
      <c r="E54" s="263"/>
      <c r="F54" s="263"/>
      <c r="G54" s="263"/>
      <c r="H54" s="263"/>
      <c r="I54" s="263"/>
    </row>
    <row r="55" spans="1:9">
      <c r="A55" s="332"/>
      <c r="B55" s="3"/>
      <c r="C55" s="3"/>
      <c r="D55" s="3"/>
      <c r="E55" s="3"/>
      <c r="F55" s="3"/>
      <c r="G55" s="3"/>
      <c r="H55" s="3"/>
      <c r="I55" s="3"/>
    </row>
    <row r="56" spans="1:9">
      <c r="A56" s="332"/>
      <c r="B56" s="3"/>
      <c r="C56" s="3"/>
      <c r="D56" s="3"/>
      <c r="E56" s="3"/>
      <c r="F56" s="3"/>
      <c r="G56" s="3"/>
      <c r="H56" s="3"/>
      <c r="I56" s="3"/>
    </row>
    <row r="57" spans="1:9">
      <c r="A57" s="332"/>
      <c r="B57" s="3"/>
      <c r="C57" s="3"/>
      <c r="D57" s="3"/>
      <c r="E57" s="3"/>
      <c r="F57" s="3"/>
      <c r="G57" s="3"/>
      <c r="H57" s="3"/>
      <c r="I57" s="3"/>
    </row>
    <row r="58" spans="1:9">
      <c r="A58" s="332"/>
      <c r="B58" s="3"/>
      <c r="C58" s="3"/>
      <c r="D58" s="3"/>
      <c r="E58" s="3"/>
      <c r="F58" s="3"/>
      <c r="G58" s="3"/>
      <c r="H58" s="3"/>
      <c r="I58" s="3"/>
    </row>
    <row r="59" spans="1:9">
      <c r="A59" s="332"/>
      <c r="B59" s="3"/>
      <c r="C59" s="3"/>
      <c r="D59" s="3"/>
      <c r="E59" s="3"/>
      <c r="F59" s="3"/>
      <c r="G59" s="3"/>
      <c r="H59" s="3"/>
      <c r="I59" s="3"/>
    </row>
    <row r="60" spans="1:9">
      <c r="A60" s="332"/>
      <c r="B60" s="3"/>
      <c r="C60" s="3"/>
      <c r="D60" s="3"/>
      <c r="E60" s="3"/>
      <c r="F60" s="3"/>
      <c r="G60" s="3"/>
      <c r="H60" s="3"/>
      <c r="I60" s="3"/>
    </row>
    <row r="61" spans="1:9">
      <c r="A61" s="332"/>
      <c r="B61" s="3"/>
      <c r="C61" s="3"/>
      <c r="D61" s="3"/>
      <c r="E61" s="3"/>
      <c r="F61" s="3"/>
      <c r="G61" s="3"/>
      <c r="H61" s="3"/>
      <c r="I61" s="3"/>
    </row>
    <row r="62" spans="1:9">
      <c r="A62" s="332"/>
      <c r="B62" s="3"/>
      <c r="C62" s="3"/>
      <c r="D62" s="3"/>
      <c r="E62" s="3"/>
      <c r="F62" s="3"/>
      <c r="G62" s="3"/>
      <c r="H62" s="3"/>
      <c r="I62" s="3"/>
    </row>
    <row r="63" spans="1:9">
      <c r="A63" s="332"/>
      <c r="B63" s="3"/>
      <c r="C63" s="3"/>
      <c r="D63" s="3"/>
      <c r="E63" s="3"/>
      <c r="F63" s="3"/>
      <c r="G63" s="3"/>
      <c r="H63" s="3"/>
      <c r="I63" s="3"/>
    </row>
    <row r="64" spans="1:9">
      <c r="A64" s="332"/>
      <c r="B64" s="3"/>
      <c r="C64" s="3"/>
      <c r="D64" s="3"/>
      <c r="E64" s="3"/>
      <c r="F64" s="3"/>
      <c r="G64" s="3"/>
      <c r="H64" s="3"/>
      <c r="I64" s="3"/>
    </row>
    <row r="65" spans="1:1" s="3" customFormat="1">
      <c r="A65" s="332"/>
    </row>
    <row r="66" spans="1:1" s="3" customFormat="1">
      <c r="A66" s="332"/>
    </row>
    <row r="67" spans="1:1" s="3" customFormat="1">
      <c r="A67" s="332"/>
    </row>
    <row r="68" spans="1:1" s="3" customFormat="1">
      <c r="A68" s="332"/>
    </row>
    <row r="69" spans="1:1" s="3" customFormat="1">
      <c r="A69" s="332"/>
    </row>
    <row r="70" spans="1:1" s="3" customFormat="1">
      <c r="A70" s="332"/>
    </row>
    <row r="71" spans="1:1" s="3" customFormat="1">
      <c r="A71" s="332"/>
    </row>
    <row r="72" spans="1:1" s="3" customFormat="1">
      <c r="A72" s="332"/>
    </row>
    <row r="73" spans="1:1" s="3" customFormat="1">
      <c r="A73" s="332"/>
    </row>
    <row r="74" spans="1:1" s="3" customFormat="1">
      <c r="A74" s="332"/>
    </row>
    <row r="75" spans="1:1" s="3" customFormat="1">
      <c r="A75" s="332"/>
    </row>
    <row r="76" spans="1:1" s="3" customFormat="1">
      <c r="A76" s="332"/>
    </row>
    <row r="77" spans="1:1" s="3" customFormat="1">
      <c r="A77" s="332"/>
    </row>
    <row r="78" spans="1:1" s="3" customFormat="1">
      <c r="A78" s="332"/>
    </row>
    <row r="79" spans="1:1" s="3" customFormat="1">
      <c r="A79" s="332"/>
    </row>
    <row r="80" spans="1:1" s="3" customFormat="1">
      <c r="A80" s="332"/>
    </row>
    <row r="81" spans="1:9" s="3" customFormat="1">
      <c r="A81" s="332"/>
    </row>
    <row r="82" spans="1:9" s="3" customFormat="1">
      <c r="A82" s="332"/>
    </row>
    <row r="83" spans="1:9" s="3" customFormat="1">
      <c r="A83" s="332"/>
    </row>
    <row r="84" spans="1:9" s="3" customFormat="1">
      <c r="A84" s="332"/>
    </row>
    <row r="85" spans="1:9" s="3" customFormat="1">
      <c r="A85" s="332"/>
    </row>
    <row r="86" spans="1:9" s="3" customFormat="1">
      <c r="A86" s="332"/>
    </row>
    <row r="87" spans="1:9" s="3" customFormat="1">
      <c r="A87" s="332"/>
    </row>
    <row r="88" spans="1:9" s="3" customFormat="1">
      <c r="A88" s="332"/>
    </row>
    <row r="89" spans="1:9" s="3" customFormat="1">
      <c r="A89" s="332"/>
    </row>
    <row r="90" spans="1:9" s="3" customFormat="1">
      <c r="A90" s="332"/>
      <c r="C90" s="332"/>
      <c r="D90" s="332"/>
      <c r="E90" s="332"/>
      <c r="F90" s="332"/>
      <c r="G90" s="332"/>
      <c r="H90" s="332"/>
      <c r="I90" s="332"/>
    </row>
    <row r="91" spans="1:9" s="3" customFormat="1">
      <c r="A91" s="332"/>
      <c r="C91" s="332"/>
      <c r="D91" s="332"/>
      <c r="E91" s="332"/>
      <c r="F91" s="332"/>
      <c r="G91" s="332"/>
      <c r="H91" s="332"/>
      <c r="I91" s="332"/>
    </row>
    <row r="92" spans="1:9" s="3" customFormat="1">
      <c r="A92" s="332"/>
      <c r="C92" s="332"/>
      <c r="D92" s="332"/>
      <c r="E92" s="332"/>
      <c r="F92" s="332"/>
      <c r="G92" s="332"/>
      <c r="H92" s="332"/>
      <c r="I92" s="332"/>
    </row>
    <row r="93" spans="1:9" s="3" customFormat="1">
      <c r="A93" s="332"/>
      <c r="C93" s="332"/>
      <c r="D93" s="332"/>
      <c r="E93" s="332"/>
      <c r="F93" s="332"/>
      <c r="G93" s="332"/>
      <c r="H93" s="332"/>
      <c r="I93" s="332"/>
    </row>
    <row r="94" spans="1:9" s="3" customFormat="1">
      <c r="A94" s="332"/>
      <c r="C94" s="332"/>
      <c r="D94" s="332"/>
      <c r="E94" s="332"/>
      <c r="F94" s="332"/>
      <c r="G94" s="332"/>
      <c r="H94" s="332"/>
      <c r="I94" s="332"/>
    </row>
    <row r="95" spans="1:9" s="3" customFormat="1">
      <c r="A95" s="332"/>
      <c r="C95" s="332"/>
      <c r="D95" s="332"/>
      <c r="E95" s="332"/>
      <c r="F95" s="332"/>
      <c r="G95" s="332"/>
      <c r="H95" s="332"/>
      <c r="I95" s="332"/>
    </row>
    <row r="96" spans="1:9" s="3" customFormat="1">
      <c r="A96" s="332"/>
      <c r="C96" s="332"/>
      <c r="D96" s="332"/>
      <c r="E96" s="332"/>
      <c r="F96" s="332"/>
      <c r="G96" s="332"/>
      <c r="H96" s="332"/>
      <c r="I96" s="332"/>
    </row>
    <row r="97" spans="1:9" s="3" customFormat="1">
      <c r="A97" s="332"/>
      <c r="C97" s="332"/>
      <c r="D97" s="332"/>
      <c r="E97" s="332"/>
      <c r="F97" s="332"/>
      <c r="G97" s="332"/>
      <c r="H97" s="332"/>
      <c r="I97" s="332"/>
    </row>
    <row r="98" spans="1:9" s="3" customFormat="1">
      <c r="A98" s="332"/>
      <c r="C98" s="332"/>
      <c r="D98" s="332"/>
      <c r="E98" s="332"/>
      <c r="F98" s="332"/>
      <c r="G98" s="332"/>
      <c r="H98" s="332"/>
      <c r="I98" s="332"/>
    </row>
    <row r="99" spans="1:9" s="3" customFormat="1">
      <c r="A99" s="332"/>
      <c r="C99" s="332"/>
      <c r="D99" s="332"/>
      <c r="E99" s="332"/>
      <c r="F99" s="332"/>
      <c r="G99" s="332"/>
      <c r="H99" s="332"/>
      <c r="I99" s="332"/>
    </row>
    <row r="100" spans="1:9" s="3" customFormat="1">
      <c r="A100" s="332"/>
      <c r="C100" s="332"/>
      <c r="D100" s="332"/>
      <c r="E100" s="332"/>
      <c r="F100" s="332"/>
      <c r="G100" s="332"/>
      <c r="H100" s="332"/>
      <c r="I100" s="332"/>
    </row>
    <row r="101" spans="1:9" s="3" customFormat="1">
      <c r="A101" s="332"/>
      <c r="C101" s="332"/>
      <c r="D101" s="332"/>
      <c r="E101" s="332"/>
      <c r="F101" s="332"/>
      <c r="G101" s="332"/>
      <c r="H101" s="332"/>
      <c r="I101" s="332"/>
    </row>
    <row r="102" spans="1:9" s="3" customFormat="1">
      <c r="A102" s="332"/>
      <c r="C102" s="332"/>
      <c r="D102" s="332"/>
      <c r="E102" s="332"/>
      <c r="F102" s="332"/>
      <c r="G102" s="332"/>
      <c r="H102" s="332"/>
      <c r="I102" s="332"/>
    </row>
    <row r="103" spans="1:9" s="3" customFormat="1">
      <c r="A103" s="332"/>
      <c r="C103" s="332"/>
      <c r="D103" s="332"/>
      <c r="E103" s="332"/>
      <c r="F103" s="332"/>
      <c r="G103" s="332"/>
      <c r="H103" s="332"/>
      <c r="I103" s="332"/>
    </row>
    <row r="104" spans="1:9" s="3" customFormat="1">
      <c r="A104" s="332"/>
      <c r="C104" s="332"/>
      <c r="D104" s="332"/>
      <c r="E104" s="332"/>
      <c r="F104" s="332"/>
      <c r="G104" s="332"/>
      <c r="H104" s="332"/>
      <c r="I104" s="332"/>
    </row>
    <row r="105" spans="1:9" s="3" customFormat="1">
      <c r="A105" s="332"/>
      <c r="C105" s="332"/>
      <c r="D105" s="332"/>
      <c r="E105" s="332"/>
      <c r="F105" s="332"/>
      <c r="G105" s="332"/>
      <c r="H105" s="332"/>
      <c r="I105" s="332"/>
    </row>
    <row r="106" spans="1:9" s="3" customFormat="1">
      <c r="A106" s="332"/>
      <c r="C106" s="332"/>
      <c r="D106" s="332"/>
      <c r="E106" s="332"/>
      <c r="F106" s="332"/>
      <c r="G106" s="332"/>
      <c r="H106" s="332"/>
      <c r="I106" s="332"/>
    </row>
    <row r="107" spans="1:9" s="3" customFormat="1">
      <c r="A107" s="332"/>
      <c r="C107" s="332"/>
      <c r="D107" s="332"/>
      <c r="E107" s="332"/>
      <c r="F107" s="332"/>
      <c r="G107" s="332"/>
      <c r="H107" s="332"/>
      <c r="I107" s="332"/>
    </row>
    <row r="108" spans="1:9" s="3" customFormat="1">
      <c r="A108" s="332"/>
      <c r="C108" s="332"/>
      <c r="D108" s="332"/>
      <c r="E108" s="332"/>
      <c r="F108" s="332"/>
      <c r="G108" s="332"/>
      <c r="H108" s="332"/>
      <c r="I108" s="332"/>
    </row>
    <row r="109" spans="1:9" s="3" customFormat="1">
      <c r="A109" s="332"/>
      <c r="C109" s="332"/>
      <c r="D109" s="332"/>
      <c r="E109" s="332"/>
      <c r="F109" s="332"/>
      <c r="G109" s="332"/>
      <c r="H109" s="332"/>
      <c r="I109" s="332"/>
    </row>
    <row r="110" spans="1:9" s="3" customFormat="1">
      <c r="A110" s="332"/>
      <c r="C110" s="332"/>
      <c r="D110" s="332"/>
      <c r="E110" s="332"/>
      <c r="F110" s="332"/>
      <c r="G110" s="332"/>
      <c r="H110" s="332"/>
      <c r="I110" s="332"/>
    </row>
    <row r="111" spans="1:9" s="3" customFormat="1">
      <c r="A111" s="332"/>
      <c r="C111" s="332"/>
      <c r="D111" s="332"/>
      <c r="E111" s="332"/>
      <c r="F111" s="332"/>
      <c r="G111" s="332"/>
      <c r="H111" s="332"/>
      <c r="I111" s="332"/>
    </row>
    <row r="112" spans="1:9" s="3" customFormat="1">
      <c r="A112" s="332"/>
      <c r="C112" s="332"/>
      <c r="D112" s="332"/>
      <c r="E112" s="332"/>
      <c r="F112" s="332"/>
      <c r="G112" s="332"/>
      <c r="H112" s="332"/>
      <c r="I112" s="332"/>
    </row>
    <row r="113" spans="1:9" s="3" customFormat="1">
      <c r="A113" s="332"/>
      <c r="C113" s="332"/>
      <c r="D113" s="332"/>
      <c r="E113" s="332"/>
      <c r="F113" s="332"/>
      <c r="G113" s="332"/>
      <c r="H113" s="332"/>
      <c r="I113" s="332"/>
    </row>
    <row r="114" spans="1:9" s="3" customFormat="1">
      <c r="A114" s="332"/>
      <c r="C114" s="332"/>
      <c r="D114" s="332"/>
      <c r="E114" s="332"/>
      <c r="F114" s="332"/>
      <c r="G114" s="332"/>
      <c r="H114" s="332"/>
      <c r="I114" s="332"/>
    </row>
    <row r="115" spans="1:9" s="3" customFormat="1">
      <c r="A115" s="332"/>
      <c r="C115" s="332"/>
      <c r="D115" s="332"/>
      <c r="E115" s="332"/>
      <c r="F115" s="332"/>
      <c r="G115" s="332"/>
      <c r="H115" s="332"/>
      <c r="I115" s="332"/>
    </row>
    <row r="116" spans="1:9" s="3" customFormat="1">
      <c r="A116" s="332"/>
      <c r="C116" s="332"/>
      <c r="D116" s="332"/>
      <c r="E116" s="332"/>
      <c r="F116" s="332"/>
      <c r="G116" s="332"/>
      <c r="H116" s="332"/>
      <c r="I116" s="332"/>
    </row>
    <row r="117" spans="1:9" s="3" customFormat="1">
      <c r="A117" s="332"/>
      <c r="C117" s="332"/>
      <c r="D117" s="332"/>
      <c r="E117" s="332"/>
      <c r="F117" s="332"/>
      <c r="G117" s="332"/>
      <c r="H117" s="332"/>
      <c r="I117" s="332"/>
    </row>
    <row r="118" spans="1:9" s="3" customFormat="1">
      <c r="A118" s="332"/>
      <c r="C118" s="332"/>
      <c r="D118" s="332"/>
      <c r="E118" s="332"/>
      <c r="F118" s="332"/>
      <c r="G118" s="332"/>
      <c r="H118" s="332"/>
      <c r="I118" s="332"/>
    </row>
    <row r="119" spans="1:9" s="3" customFormat="1">
      <c r="A119" s="332"/>
      <c r="C119" s="332"/>
      <c r="D119" s="332"/>
      <c r="E119" s="332"/>
      <c r="F119" s="332"/>
      <c r="G119" s="332"/>
      <c r="H119" s="332"/>
      <c r="I119" s="332"/>
    </row>
    <row r="120" spans="1:9" s="3" customFormat="1">
      <c r="A120" s="332"/>
      <c r="C120" s="332"/>
      <c r="D120" s="332"/>
      <c r="E120" s="332"/>
      <c r="F120" s="332"/>
      <c r="G120" s="332"/>
      <c r="H120" s="332"/>
      <c r="I120" s="332"/>
    </row>
    <row r="121" spans="1:9" s="3" customFormat="1">
      <c r="A121" s="332"/>
      <c r="C121" s="332"/>
      <c r="D121" s="332"/>
      <c r="E121" s="332"/>
      <c r="F121" s="332"/>
      <c r="G121" s="332"/>
      <c r="H121" s="332"/>
      <c r="I121" s="332"/>
    </row>
    <row r="122" spans="1:9" s="3" customFormat="1">
      <c r="A122" s="332"/>
      <c r="C122" s="332"/>
      <c r="D122" s="332"/>
      <c r="E122" s="332"/>
      <c r="F122" s="332"/>
      <c r="G122" s="332"/>
      <c r="H122" s="332"/>
      <c r="I122" s="332"/>
    </row>
    <row r="123" spans="1:9" s="3" customFormat="1">
      <c r="A123" s="332"/>
      <c r="C123" s="332"/>
      <c r="D123" s="332"/>
      <c r="E123" s="332"/>
      <c r="F123" s="332"/>
      <c r="G123" s="332"/>
      <c r="H123" s="332"/>
      <c r="I123" s="332"/>
    </row>
    <row r="124" spans="1:9" s="3" customFormat="1">
      <c r="A124" s="332"/>
      <c r="C124" s="332"/>
      <c r="D124" s="332"/>
      <c r="E124" s="332"/>
      <c r="F124" s="332"/>
      <c r="G124" s="332"/>
      <c r="H124" s="332"/>
      <c r="I124" s="332"/>
    </row>
    <row r="125" spans="1:9" s="3" customFormat="1">
      <c r="A125" s="332"/>
      <c r="C125" s="332"/>
      <c r="D125" s="332"/>
      <c r="E125" s="332"/>
      <c r="F125" s="332"/>
      <c r="G125" s="332"/>
      <c r="H125" s="332"/>
      <c r="I125" s="332"/>
    </row>
    <row r="126" spans="1:9" s="3" customFormat="1">
      <c r="A126" s="332"/>
      <c r="C126" s="332"/>
      <c r="D126" s="332"/>
      <c r="E126" s="332"/>
      <c r="F126" s="332"/>
      <c r="G126" s="332"/>
      <c r="H126" s="332"/>
      <c r="I126" s="332"/>
    </row>
    <row r="127" spans="1:9" s="3" customFormat="1">
      <c r="A127" s="332"/>
      <c r="C127" s="332"/>
      <c r="D127" s="332"/>
      <c r="E127" s="332"/>
      <c r="F127" s="332"/>
      <c r="G127" s="332"/>
      <c r="H127" s="332"/>
      <c r="I127" s="332"/>
    </row>
    <row r="128" spans="1:9" s="3" customFormat="1">
      <c r="A128" s="332"/>
      <c r="C128" s="332"/>
      <c r="D128" s="332"/>
      <c r="E128" s="332"/>
      <c r="F128" s="332"/>
      <c r="G128" s="332"/>
      <c r="H128" s="332"/>
      <c r="I128" s="332"/>
    </row>
  </sheetData>
  <sheetProtection algorithmName="SHA-512" hashValue="whbuB7GiBcWweavMiDdlNmS/uDJVjKae4ry71TRYLYaejr+lHMsYnsNmH3cLSVYdoCAgxvIQ4aLQh1QjdZs6fA==" saltValue="irTSKXSaT5g2yszwZb7sxw==" spinCount="100000" sheet="1" objects="1" scenarios="1"/>
  <conditionalFormatting sqref="B53:B54">
    <cfRule type="expression" dxfId="3" priority="1">
      <formula>$E$5="y"</formula>
    </cfRule>
  </conditionalFormatting>
  <dataValidations count="1">
    <dataValidation allowBlank="1" showInputMessage="1" showErrorMessage="1" promptTitle="Controls" sqref="C54:D54" xr:uid="{00000000-0002-0000-1000-000000000000}"/>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A52"/>
  <sheetViews>
    <sheetView workbookViewId="0"/>
  </sheetViews>
  <sheetFormatPr defaultColWidth="9.1796875" defaultRowHeight="12.5"/>
  <cols>
    <col min="1" max="1" width="96.81640625" style="208" customWidth="1"/>
    <col min="2" max="16384" width="9.1796875" style="203"/>
  </cols>
  <sheetData>
    <row r="1" spans="1:1" ht="18">
      <c r="A1" s="210" t="s">
        <v>378</v>
      </c>
    </row>
    <row r="2" spans="1:1" ht="63">
      <c r="A2" s="204" t="s">
        <v>3</v>
      </c>
    </row>
    <row r="4" spans="1:1" ht="25.5">
      <c r="A4" s="204" t="s">
        <v>4</v>
      </c>
    </row>
    <row r="6" spans="1:1" ht="25.5">
      <c r="A6" s="204" t="s">
        <v>5</v>
      </c>
    </row>
    <row r="7" spans="1:1" ht="13">
      <c r="A7" s="204"/>
    </row>
    <row r="8" spans="1:1" ht="13">
      <c r="A8" s="213" t="s">
        <v>26</v>
      </c>
    </row>
    <row r="9" spans="1:1" ht="62.5">
      <c r="A9" s="214" t="s">
        <v>27</v>
      </c>
    </row>
    <row r="10" spans="1:1" ht="37.5">
      <c r="A10" s="214" t="s">
        <v>28</v>
      </c>
    </row>
    <row r="12" spans="1:1" ht="15.5">
      <c r="A12" s="211" t="s">
        <v>0</v>
      </c>
    </row>
    <row r="13" spans="1:1" ht="13">
      <c r="A13" s="204" t="s">
        <v>6</v>
      </c>
    </row>
    <row r="15" spans="1:1" ht="13">
      <c r="A15" s="204" t="s">
        <v>7</v>
      </c>
    </row>
    <row r="17" spans="1:1" ht="25.5">
      <c r="A17" s="205" t="s">
        <v>8</v>
      </c>
    </row>
    <row r="19" spans="1:1" ht="38">
      <c r="A19" s="205" t="s">
        <v>9</v>
      </c>
    </row>
    <row r="20" spans="1:1" ht="37.5">
      <c r="A20" s="206" t="s">
        <v>10</v>
      </c>
    </row>
    <row r="22" spans="1:1" s="207" customFormat="1" ht="25.5">
      <c r="A22" s="205" t="s">
        <v>11</v>
      </c>
    </row>
    <row r="24" spans="1:1" ht="63">
      <c r="A24" s="204" t="s">
        <v>12</v>
      </c>
    </row>
    <row r="26" spans="1:1" ht="50.5">
      <c r="A26" s="204" t="s">
        <v>13</v>
      </c>
    </row>
    <row r="28" spans="1:1" ht="100.5">
      <c r="A28" s="204" t="s">
        <v>14</v>
      </c>
    </row>
    <row r="30" spans="1:1" ht="50.5">
      <c r="A30" s="204" t="s">
        <v>15</v>
      </c>
    </row>
    <row r="32" spans="1:1" ht="50.5">
      <c r="A32" s="204" t="s">
        <v>16</v>
      </c>
    </row>
    <row r="33" spans="1:1" ht="100">
      <c r="A33" s="209" t="s">
        <v>2</v>
      </c>
    </row>
    <row r="34" spans="1:1">
      <c r="A34" s="209"/>
    </row>
    <row r="35" spans="1:1" ht="100.5">
      <c r="A35" s="204" t="s">
        <v>17</v>
      </c>
    </row>
    <row r="37" spans="1:1" ht="63">
      <c r="A37" s="204" t="s">
        <v>18</v>
      </c>
    </row>
    <row r="39" spans="1:1" ht="38">
      <c r="A39" s="204" t="s">
        <v>19</v>
      </c>
    </row>
    <row r="41" spans="1:1" ht="14">
      <c r="A41" s="212" t="s">
        <v>1</v>
      </c>
    </row>
    <row r="42" spans="1:1" ht="50.5">
      <c r="A42" s="204" t="s">
        <v>20</v>
      </c>
    </row>
    <row r="44" spans="1:1" ht="75.5">
      <c r="A44" s="204" t="s">
        <v>21</v>
      </c>
    </row>
    <row r="46" spans="1:1" ht="63">
      <c r="A46" s="204" t="s">
        <v>22</v>
      </c>
    </row>
    <row r="48" spans="1:1" ht="50.5">
      <c r="A48" s="204" t="s">
        <v>23</v>
      </c>
    </row>
    <row r="50" spans="1:1" ht="50.5">
      <c r="A50" s="204" t="s">
        <v>24</v>
      </c>
    </row>
    <row r="52" spans="1:1" ht="50.5">
      <c r="A52" s="204" t="s">
        <v>25</v>
      </c>
    </row>
  </sheetData>
  <sheetProtection password="83AF"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88"/>
  <sheetViews>
    <sheetView topLeftCell="A18" zoomScale="114" zoomScaleNormal="70" workbookViewId="0">
      <selection activeCell="G38" sqref="G38:G45"/>
    </sheetView>
  </sheetViews>
  <sheetFormatPr defaultColWidth="8.81640625" defaultRowHeight="12.5"/>
  <cols>
    <col min="1" max="1" width="3" customWidth="1"/>
    <col min="2" max="2" width="6.1796875" customWidth="1"/>
    <col min="3" max="3" width="26.453125" customWidth="1"/>
    <col min="4" max="4" width="7.36328125" customWidth="1"/>
    <col min="5" max="5" width="10.36328125" customWidth="1"/>
    <col min="6" max="6" width="10.453125" customWidth="1"/>
    <col min="7" max="7" width="10.36328125" customWidth="1"/>
    <col min="8" max="8" width="12.6328125" customWidth="1"/>
    <col min="9" max="9" width="15.1796875" style="240" customWidth="1"/>
    <col min="10" max="10" width="11.453125" customWidth="1"/>
    <col min="11" max="11" width="11.36328125" style="240" customWidth="1"/>
    <col min="12" max="12" width="11.453125" customWidth="1"/>
    <col min="13" max="13" width="24.453125" style="13" customWidth="1"/>
    <col min="14" max="14" width="9.1796875" style="240"/>
    <col min="16" max="16" width="5.6328125" customWidth="1"/>
    <col min="17" max="17" width="7.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740</v>
      </c>
      <c r="I1" s="231"/>
      <c r="K1" s="231"/>
      <c r="L1" s="48"/>
      <c r="M1" s="48"/>
      <c r="N1" s="231"/>
    </row>
    <row r="2" spans="1:28" ht="14">
      <c r="A2" s="54" t="s">
        <v>313</v>
      </c>
      <c r="I2" s="231"/>
      <c r="K2" s="231"/>
      <c r="L2" s="48"/>
      <c r="M2" s="48"/>
      <c r="N2" s="231"/>
      <c r="U2" s="48"/>
    </row>
    <row r="3" spans="1:28" ht="13">
      <c r="C3" s="102"/>
      <c r="D3" s="3"/>
      <c r="E3" s="3"/>
      <c r="F3" s="3"/>
      <c r="G3" s="3"/>
      <c r="H3" s="3"/>
      <c r="I3" s="232"/>
      <c r="J3" s="3"/>
      <c r="K3" s="232"/>
      <c r="L3" s="55"/>
      <c r="M3" s="55"/>
      <c r="N3" s="232"/>
      <c r="O3" s="3"/>
      <c r="P3" s="94" t="s">
        <v>55</v>
      </c>
      <c r="Q3" s="49"/>
      <c r="R3" s="49"/>
      <c r="S3" s="49"/>
      <c r="T3" s="49"/>
      <c r="U3" s="49"/>
      <c r="V3" s="10" t="s">
        <v>54</v>
      </c>
      <c r="W3" s="4"/>
      <c r="X3" s="4"/>
      <c r="Y3" s="4"/>
      <c r="Z3" s="4"/>
      <c r="AA3" s="4"/>
      <c r="AB3" s="2"/>
    </row>
    <row r="4" spans="1:28" s="123" customFormat="1" ht="39">
      <c r="A4" s="123" t="s">
        <v>52</v>
      </c>
      <c r="B4" s="123" t="s">
        <v>50</v>
      </c>
      <c r="C4" s="124" t="s">
        <v>59</v>
      </c>
      <c r="D4" s="112" t="s">
        <v>153</v>
      </c>
      <c r="E4" s="124" t="s">
        <v>49</v>
      </c>
      <c r="F4" s="125" t="s">
        <v>35</v>
      </c>
      <c r="G4" s="112" t="s">
        <v>37</v>
      </c>
      <c r="H4" s="125" t="s">
        <v>35</v>
      </c>
      <c r="I4" s="245" t="s">
        <v>51</v>
      </c>
      <c r="J4" s="123" t="s">
        <v>35</v>
      </c>
      <c r="K4" s="241" t="s">
        <v>61</v>
      </c>
      <c r="L4" s="153" t="s">
        <v>35</v>
      </c>
      <c r="M4" s="154" t="s">
        <v>210</v>
      </c>
      <c r="N4" s="245" t="s">
        <v>92</v>
      </c>
      <c r="O4" s="125" t="s">
        <v>35</v>
      </c>
      <c r="P4" s="111" t="s">
        <v>38</v>
      </c>
      <c r="Q4" s="111" t="s">
        <v>39</v>
      </c>
      <c r="R4" s="111" t="s">
        <v>40</v>
      </c>
      <c r="S4" s="111" t="s">
        <v>41</v>
      </c>
      <c r="T4" s="112" t="s">
        <v>42</v>
      </c>
      <c r="U4" s="112" t="s">
        <v>53</v>
      </c>
      <c r="V4" s="56" t="s">
        <v>38</v>
      </c>
      <c r="W4" s="56" t="s">
        <v>39</v>
      </c>
      <c r="X4" s="56" t="s">
        <v>40</v>
      </c>
      <c r="Y4" s="56" t="s">
        <v>41</v>
      </c>
      <c r="Z4" s="57" t="s">
        <v>42</v>
      </c>
      <c r="AA4" s="57" t="s">
        <v>228</v>
      </c>
      <c r="AB4" s="111" t="s">
        <v>87</v>
      </c>
    </row>
    <row r="5" spans="1:28" ht="39">
      <c r="A5" t="s">
        <v>46</v>
      </c>
      <c r="C5" s="12" t="s">
        <v>44</v>
      </c>
      <c r="D5" s="120"/>
      <c r="F5" s="3"/>
      <c r="G5" s="119"/>
      <c r="H5" s="3"/>
      <c r="I5" s="250"/>
      <c r="K5" s="233"/>
      <c r="L5" s="3"/>
      <c r="M5" s="14"/>
      <c r="N5" s="246"/>
      <c r="O5" s="3"/>
      <c r="P5" s="119"/>
      <c r="Q5" s="119"/>
      <c r="R5" s="119"/>
      <c r="S5" s="119"/>
      <c r="T5" s="119"/>
      <c r="U5" s="119"/>
      <c r="V5" s="122"/>
      <c r="W5" s="122"/>
      <c r="X5" s="122"/>
      <c r="Y5" s="122"/>
      <c r="Z5" s="122"/>
      <c r="AA5" s="122"/>
      <c r="AB5" s="119"/>
    </row>
    <row r="6" spans="1:28" ht="26">
      <c r="B6" t="s">
        <v>45</v>
      </c>
      <c r="C6" s="12" t="s">
        <v>47</v>
      </c>
      <c r="D6" s="111"/>
      <c r="G6" s="76"/>
      <c r="I6" s="247"/>
      <c r="K6" s="338">
        <f>SUM(K7:K8)</f>
        <v>0</v>
      </c>
      <c r="L6" s="3"/>
      <c r="M6" s="14"/>
      <c r="N6" s="247"/>
      <c r="O6" s="3"/>
      <c r="P6" s="76"/>
      <c r="Q6" s="76"/>
      <c r="R6" s="76"/>
      <c r="S6" s="76"/>
      <c r="T6" s="76"/>
      <c r="U6" s="76"/>
      <c r="V6" s="114">
        <f>SUM(V7:V14)</f>
        <v>0</v>
      </c>
      <c r="W6" s="114">
        <f>SUM(W7:W14)</f>
        <v>0</v>
      </c>
      <c r="X6" s="114">
        <f>SUM(X7:X14)</f>
        <v>0</v>
      </c>
      <c r="Y6" s="114">
        <f>SUM(Y7:Y14)-Y7</f>
        <v>0</v>
      </c>
      <c r="Z6" s="114">
        <f>SUM(Z7:Z14)</f>
        <v>0</v>
      </c>
      <c r="AA6" s="114">
        <f>SUM(AA7:AA14)</f>
        <v>0</v>
      </c>
      <c r="AB6" s="76"/>
    </row>
    <row r="7" spans="1:28" ht="13">
      <c r="C7" s="12" t="s">
        <v>60</v>
      </c>
      <c r="D7" s="111"/>
      <c r="E7" s="6" t="s">
        <v>48</v>
      </c>
      <c r="F7" s="3" t="s">
        <v>342</v>
      </c>
      <c r="G7" s="76">
        <v>0.15</v>
      </c>
      <c r="H7" s="3" t="s">
        <v>342</v>
      </c>
      <c r="I7" s="248"/>
      <c r="J7" t="s">
        <v>323</v>
      </c>
      <c r="K7" s="238">
        <f>G7*I7/1000</f>
        <v>0</v>
      </c>
      <c r="L7" s="3" t="s">
        <v>36</v>
      </c>
      <c r="M7" s="32"/>
      <c r="N7" s="248"/>
      <c r="O7" s="3" t="s">
        <v>36</v>
      </c>
      <c r="P7" s="76"/>
      <c r="Q7" s="76">
        <v>0.01</v>
      </c>
      <c r="R7" s="76"/>
      <c r="S7" s="76">
        <v>0.8</v>
      </c>
      <c r="T7" s="76">
        <v>0.19</v>
      </c>
      <c r="U7" s="76"/>
      <c r="V7" s="116">
        <f t="shared" ref="V7:AA12" si="0">$N7*P7</f>
        <v>0</v>
      </c>
      <c r="W7" s="116">
        <f t="shared" si="0"/>
        <v>0</v>
      </c>
      <c r="X7" s="116">
        <f t="shared" si="0"/>
        <v>0</v>
      </c>
      <c r="Y7" s="116">
        <f t="shared" si="0"/>
        <v>0</v>
      </c>
      <c r="Z7" s="116">
        <f t="shared" si="0"/>
        <v>0</v>
      </c>
      <c r="AA7" s="116">
        <f t="shared" si="0"/>
        <v>0</v>
      </c>
      <c r="AB7" s="76"/>
    </row>
    <row r="8" spans="1:28" ht="52">
      <c r="C8" s="12" t="s">
        <v>724</v>
      </c>
      <c r="D8" s="111"/>
      <c r="E8" s="6" t="s">
        <v>58</v>
      </c>
      <c r="F8" s="3" t="s">
        <v>342</v>
      </c>
      <c r="G8" s="76">
        <v>0.15</v>
      </c>
      <c r="H8" s="3" t="s">
        <v>342</v>
      </c>
      <c r="I8" s="248">
        <f>'Этап 2 - Потребление энергии'!C5</f>
        <v>0</v>
      </c>
      <c r="J8" t="s">
        <v>323</v>
      </c>
      <c r="K8" s="234">
        <f>G8*I8/1000</f>
        <v>0</v>
      </c>
      <c r="L8" s="3" t="s">
        <v>64</v>
      </c>
      <c r="M8" s="33"/>
      <c r="N8" s="248"/>
      <c r="O8" s="3"/>
      <c r="P8" s="76"/>
      <c r="Q8" s="76"/>
      <c r="R8" s="76"/>
      <c r="S8" s="76"/>
      <c r="T8" s="76"/>
      <c r="U8" s="76"/>
      <c r="V8" s="116">
        <f t="shared" si="0"/>
        <v>0</v>
      </c>
      <c r="W8" s="116">
        <f t="shared" si="0"/>
        <v>0</v>
      </c>
      <c r="X8" s="116">
        <f t="shared" si="0"/>
        <v>0</v>
      </c>
      <c r="Y8" s="116">
        <f t="shared" si="0"/>
        <v>0</v>
      </c>
      <c r="Z8" s="116">
        <f t="shared" si="0"/>
        <v>0</v>
      </c>
      <c r="AA8" s="116">
        <f t="shared" si="0"/>
        <v>0</v>
      </c>
      <c r="AB8" s="76"/>
    </row>
    <row r="9" spans="1:28">
      <c r="C9" s="9"/>
      <c r="D9" s="76"/>
      <c r="E9" s="6"/>
      <c r="F9" s="3"/>
      <c r="G9" s="76"/>
      <c r="H9" s="3"/>
      <c r="I9" s="248"/>
      <c r="K9" s="234"/>
      <c r="L9" s="3"/>
      <c r="M9" s="33" t="s">
        <v>725</v>
      </c>
      <c r="N9" s="248">
        <f>$K$8*'Этап 2 - Потребление энергии'!$G$7/100</f>
        <v>0</v>
      </c>
      <c r="O9" s="3" t="s">
        <v>36</v>
      </c>
      <c r="P9" s="76">
        <v>1</v>
      </c>
      <c r="Q9" s="76"/>
      <c r="R9" s="76"/>
      <c r="S9" s="76"/>
      <c r="T9" s="76"/>
      <c r="U9" s="76"/>
      <c r="V9" s="116">
        <f t="shared" si="0"/>
        <v>0</v>
      </c>
      <c r="W9" s="116">
        <f t="shared" si="0"/>
        <v>0</v>
      </c>
      <c r="X9" s="116">
        <f t="shared" si="0"/>
        <v>0</v>
      </c>
      <c r="Y9" s="116">
        <f t="shared" si="0"/>
        <v>0</v>
      </c>
      <c r="Z9" s="116">
        <f t="shared" si="0"/>
        <v>0</v>
      </c>
      <c r="AA9" s="116">
        <f t="shared" si="0"/>
        <v>0</v>
      </c>
      <c r="AB9" s="76"/>
    </row>
    <row r="10" spans="1:28" ht="25">
      <c r="C10" s="9"/>
      <c r="D10" s="76"/>
      <c r="E10" s="6"/>
      <c r="F10" s="3"/>
      <c r="G10" s="76"/>
      <c r="H10" s="3"/>
      <c r="I10" s="248"/>
      <c r="K10" s="234"/>
      <c r="L10" s="3"/>
      <c r="M10" s="33" t="s">
        <v>726</v>
      </c>
      <c r="N10" s="248">
        <f>$K$8*'Этап 2 - Потребление энергии'!$H$7/100</f>
        <v>0</v>
      </c>
      <c r="O10" s="3"/>
      <c r="P10" s="76">
        <f>ROUND((0.75+0.9+0.98)/3,2)</f>
        <v>0.88</v>
      </c>
      <c r="Q10" s="76"/>
      <c r="R10" s="76"/>
      <c r="S10" s="76"/>
      <c r="T10" s="76"/>
      <c r="U10" s="76">
        <f>1-P10</f>
        <v>0.12</v>
      </c>
      <c r="V10" s="116">
        <f t="shared" si="0"/>
        <v>0</v>
      </c>
      <c r="W10" s="116">
        <f t="shared" si="0"/>
        <v>0</v>
      </c>
      <c r="X10" s="116">
        <f t="shared" si="0"/>
        <v>0</v>
      </c>
      <c r="Y10" s="116">
        <f t="shared" si="0"/>
        <v>0</v>
      </c>
      <c r="Z10" s="116">
        <f t="shared" si="0"/>
        <v>0</v>
      </c>
      <c r="AA10" s="116">
        <f t="shared" si="0"/>
        <v>0</v>
      </c>
      <c r="AB10" s="76"/>
    </row>
    <row r="11" spans="1:28" ht="25">
      <c r="C11" s="9"/>
      <c r="D11" s="76"/>
      <c r="E11" s="6"/>
      <c r="F11" s="3"/>
      <c r="G11" s="76"/>
      <c r="H11" s="3"/>
      <c r="I11" s="248"/>
      <c r="K11" s="234"/>
      <c r="L11" s="3"/>
      <c r="M11" s="33" t="s">
        <v>727</v>
      </c>
      <c r="N11" s="248">
        <f>$K$8*'Этап 2 - Потребление энергии'!$I$7/100</f>
        <v>0</v>
      </c>
      <c r="O11" s="3"/>
      <c r="P11" s="76">
        <f>ROUND((0.5+0.5+0.95)/3,2)</f>
        <v>0.65</v>
      </c>
      <c r="Q11" s="76"/>
      <c r="R11" s="76"/>
      <c r="S11" s="76"/>
      <c r="T11" s="76"/>
      <c r="U11" s="76">
        <f>1-P11</f>
        <v>0.35</v>
      </c>
      <c r="V11" s="116">
        <f t="shared" si="0"/>
        <v>0</v>
      </c>
      <c r="W11" s="116">
        <f t="shared" si="0"/>
        <v>0</v>
      </c>
      <c r="X11" s="116">
        <f t="shared" si="0"/>
        <v>0</v>
      </c>
      <c r="Y11" s="116">
        <f t="shared" si="0"/>
        <v>0</v>
      </c>
      <c r="Z11" s="116">
        <f t="shared" si="0"/>
        <v>0</v>
      </c>
      <c r="AA11" s="116">
        <f t="shared" si="0"/>
        <v>0</v>
      </c>
      <c r="AB11" s="76"/>
    </row>
    <row r="12" spans="1:28" ht="25">
      <c r="C12" s="9"/>
      <c r="D12" s="76"/>
      <c r="E12" s="6"/>
      <c r="F12" s="3"/>
      <c r="G12" s="76"/>
      <c r="H12" s="3"/>
      <c r="I12" s="248"/>
      <c r="K12" s="234"/>
      <c r="L12" s="3"/>
      <c r="M12" s="33" t="s">
        <v>728</v>
      </c>
      <c r="N12" s="248">
        <f>$K$8*'Этап 2 - Потребление энергии'!$J$7/100</f>
        <v>0</v>
      </c>
      <c r="O12" s="3"/>
      <c r="P12" s="76">
        <f>ROUND((0.35+0.6+0.8)/3,2)</f>
        <v>0.57999999999999996</v>
      </c>
      <c r="Q12" s="76"/>
      <c r="R12" s="76"/>
      <c r="S12" s="76"/>
      <c r="T12" s="76"/>
      <c r="U12" s="76">
        <f>1-P12</f>
        <v>0.42000000000000004</v>
      </c>
      <c r="V12" s="116">
        <f t="shared" si="0"/>
        <v>0</v>
      </c>
      <c r="W12" s="116">
        <f t="shared" si="0"/>
        <v>0</v>
      </c>
      <c r="X12" s="116">
        <f t="shared" si="0"/>
        <v>0</v>
      </c>
      <c r="Y12" s="116">
        <f t="shared" si="0"/>
        <v>0</v>
      </c>
      <c r="Z12" s="116">
        <f t="shared" si="0"/>
        <v>0</v>
      </c>
      <c r="AA12" s="116">
        <f t="shared" si="0"/>
        <v>0</v>
      </c>
      <c r="AB12" s="76"/>
    </row>
    <row r="13" spans="1:28" ht="25">
      <c r="C13" s="9"/>
      <c r="D13" s="76"/>
      <c r="E13" s="6"/>
      <c r="F13" s="3"/>
      <c r="G13" s="76"/>
      <c r="H13" s="3"/>
      <c r="I13" s="248"/>
      <c r="K13" s="234"/>
      <c r="L13" s="3"/>
      <c r="M13" s="33" t="s">
        <v>729</v>
      </c>
      <c r="N13" s="248">
        <f>$K$8*'Этап 2 - Потребление энергии'!$K$7/100</f>
        <v>0</v>
      </c>
      <c r="O13" s="3"/>
      <c r="P13" s="76">
        <f>ROUND((0.1+0.75+0.8)/3,2)</f>
        <v>0.55000000000000004</v>
      </c>
      <c r="Q13" s="76"/>
      <c r="R13" s="76"/>
      <c r="S13" s="76"/>
      <c r="T13" s="76"/>
      <c r="U13" s="76">
        <f>1-P13</f>
        <v>0.44999999999999996</v>
      </c>
      <c r="V13" s="116">
        <f t="shared" ref="V13:AA14" si="1">$N13*P13</f>
        <v>0</v>
      </c>
      <c r="W13" s="116">
        <f t="shared" si="1"/>
        <v>0</v>
      </c>
      <c r="X13" s="116">
        <f t="shared" si="1"/>
        <v>0</v>
      </c>
      <c r="Y13" s="116">
        <f t="shared" si="1"/>
        <v>0</v>
      </c>
      <c r="Z13" s="116">
        <f t="shared" si="1"/>
        <v>0</v>
      </c>
      <c r="AA13" s="116">
        <f t="shared" si="1"/>
        <v>0</v>
      </c>
      <c r="AB13" s="76"/>
    </row>
    <row r="14" spans="1:28" ht="25">
      <c r="C14" s="9"/>
      <c r="D14" s="76"/>
      <c r="E14" s="6"/>
      <c r="F14" s="3"/>
      <c r="G14" s="76"/>
      <c r="H14" s="3"/>
      <c r="I14" s="248"/>
      <c r="K14" s="234"/>
      <c r="L14" s="3"/>
      <c r="M14" s="623" t="s">
        <v>730</v>
      </c>
      <c r="N14" s="248">
        <f>$K$8*'Этап 2 - Потребление энергии'!$L$7/100</f>
        <v>0</v>
      </c>
      <c r="O14" s="3"/>
      <c r="P14" s="76">
        <f>ROUND((0.03+0.25+0.25)/3,2)</f>
        <v>0.18</v>
      </c>
      <c r="Q14" s="76"/>
      <c r="R14" s="76"/>
      <c r="S14" s="76"/>
      <c r="T14" s="76"/>
      <c r="U14" s="76">
        <f>1-P14</f>
        <v>0.82000000000000006</v>
      </c>
      <c r="V14" s="116">
        <f t="shared" si="1"/>
        <v>0</v>
      </c>
      <c r="W14" s="116">
        <f t="shared" si="1"/>
        <v>0</v>
      </c>
      <c r="X14" s="116">
        <f t="shared" si="1"/>
        <v>0</v>
      </c>
      <c r="Y14" s="116">
        <f t="shared" si="1"/>
        <v>0</v>
      </c>
      <c r="Z14" s="116">
        <f t="shared" si="1"/>
        <v>0</v>
      </c>
      <c r="AA14" s="116">
        <f t="shared" si="1"/>
        <v>0</v>
      </c>
      <c r="AB14" s="76"/>
    </row>
    <row r="15" spans="1:28" ht="13">
      <c r="C15" s="9"/>
      <c r="D15" s="76"/>
      <c r="G15" s="76"/>
      <c r="I15" s="247"/>
      <c r="K15" s="234"/>
      <c r="M15" s="15"/>
      <c r="N15" s="248"/>
      <c r="O15" s="3"/>
      <c r="P15" s="76"/>
      <c r="Q15" s="76"/>
      <c r="R15" s="76"/>
      <c r="S15" s="76"/>
      <c r="T15" s="76"/>
      <c r="U15" s="76"/>
      <c r="V15" s="58"/>
      <c r="W15" s="58"/>
      <c r="X15" s="58"/>
      <c r="Y15" s="58"/>
      <c r="Z15" s="58"/>
      <c r="AA15" s="58"/>
      <c r="AB15" s="76"/>
    </row>
    <row r="16" spans="1:28" s="91" customFormat="1" ht="26">
      <c r="A16" s="88"/>
      <c r="B16" s="624" t="s">
        <v>732</v>
      </c>
      <c r="C16" s="625" t="s">
        <v>731</v>
      </c>
      <c r="D16" s="111"/>
      <c r="E16" s="88"/>
      <c r="F16" s="88"/>
      <c r="G16" s="76"/>
      <c r="H16" s="88"/>
      <c r="I16" s="247"/>
      <c r="J16" s="88"/>
      <c r="K16" s="338">
        <f>SUM(K17:K18)</f>
        <v>0</v>
      </c>
      <c r="L16" s="88"/>
      <c r="M16" s="90"/>
      <c r="N16" s="248"/>
      <c r="O16" s="88"/>
      <c r="P16" s="76"/>
      <c r="Q16" s="76"/>
      <c r="R16" s="76"/>
      <c r="S16" s="76"/>
      <c r="T16" s="76"/>
      <c r="U16" s="76"/>
      <c r="V16" s="114">
        <f>SUM(V17:V24)</f>
        <v>0</v>
      </c>
      <c r="W16" s="114">
        <f>SUM(W17:W24)</f>
        <v>0</v>
      </c>
      <c r="X16" s="114">
        <f>SUM(X17:X24)</f>
        <v>0</v>
      </c>
      <c r="Y16" s="114">
        <f>SUM(Y17:Y24)-Y17</f>
        <v>0</v>
      </c>
      <c r="Z16" s="114">
        <f>SUM(Z17:Z24)</f>
        <v>0</v>
      </c>
      <c r="AA16" s="114">
        <f>SUM(AA17:AA24)</f>
        <v>0</v>
      </c>
      <c r="AB16" s="76"/>
    </row>
    <row r="17" spans="1:28" ht="13">
      <c r="A17" s="7"/>
      <c r="B17" s="3"/>
      <c r="C17" s="12" t="s">
        <v>60</v>
      </c>
      <c r="D17" s="111"/>
      <c r="E17" s="6" t="s">
        <v>48</v>
      </c>
      <c r="F17" s="3" t="s">
        <v>342</v>
      </c>
      <c r="G17" s="76">
        <v>0.15</v>
      </c>
      <c r="H17" s="3" t="s">
        <v>342</v>
      </c>
      <c r="I17" s="248"/>
      <c r="J17" t="s">
        <v>323</v>
      </c>
      <c r="K17" s="238">
        <f>G17*I17/1000</f>
        <v>0</v>
      </c>
      <c r="L17" s="3" t="s">
        <v>36</v>
      </c>
      <c r="M17" s="32"/>
      <c r="N17" s="248"/>
      <c r="O17" s="3"/>
      <c r="P17" s="76"/>
      <c r="Q17" s="76">
        <v>0.01</v>
      </c>
      <c r="R17" s="76"/>
      <c r="S17" s="76">
        <v>0.8</v>
      </c>
      <c r="T17" s="76">
        <v>0.19</v>
      </c>
      <c r="U17" s="76"/>
      <c r="V17" s="116">
        <f t="shared" ref="V17:V24" si="2">$N17*P17</f>
        <v>0</v>
      </c>
      <c r="W17" s="116">
        <f t="shared" ref="W17:W24" si="3">$N17*Q17</f>
        <v>0</v>
      </c>
      <c r="X17" s="116">
        <f t="shared" ref="X17:X24" si="4">$N17*R17</f>
        <v>0</v>
      </c>
      <c r="Y17" s="116">
        <f t="shared" ref="Y17:Y24" si="5">$N17*S17</f>
        <v>0</v>
      </c>
      <c r="Z17" s="116">
        <f t="shared" ref="Z17:Z24" si="6">$N17*T17</f>
        <v>0</v>
      </c>
      <c r="AA17" s="116">
        <f t="shared" ref="AA17:AA24" si="7">$N17*U17</f>
        <v>0</v>
      </c>
      <c r="AB17" s="76"/>
    </row>
    <row r="18" spans="1:28" ht="65">
      <c r="A18" s="3"/>
      <c r="B18" s="3"/>
      <c r="C18" s="12" t="s">
        <v>734</v>
      </c>
      <c r="D18" s="111"/>
      <c r="E18" s="6" t="s">
        <v>58</v>
      </c>
      <c r="F18" s="3" t="s">
        <v>342</v>
      </c>
      <c r="G18" s="578">
        <f>(0.15+0.15+0.1)/3</f>
        <v>0.13333333333333333</v>
      </c>
      <c r="H18" s="3" t="s">
        <v>342</v>
      </c>
      <c r="I18" s="248">
        <f>'Этап 2 - Потребление энергии'!C8</f>
        <v>0</v>
      </c>
      <c r="J18" t="s">
        <v>323</v>
      </c>
      <c r="K18" s="238">
        <f>G18*I18/1000</f>
        <v>0</v>
      </c>
      <c r="L18" s="3" t="s">
        <v>64</v>
      </c>
      <c r="M18" s="33"/>
      <c r="N18" s="248"/>
      <c r="O18" s="3"/>
      <c r="P18" s="76"/>
      <c r="Q18" s="76"/>
      <c r="R18" s="76"/>
      <c r="S18" s="76"/>
      <c r="T18" s="76"/>
      <c r="U18" s="76"/>
      <c r="V18" s="116">
        <f t="shared" si="2"/>
        <v>0</v>
      </c>
      <c r="W18" s="116">
        <f t="shared" si="3"/>
        <v>0</v>
      </c>
      <c r="X18" s="116">
        <f t="shared" si="4"/>
        <v>0</v>
      </c>
      <c r="Y18" s="116">
        <f t="shared" si="5"/>
        <v>0</v>
      </c>
      <c r="Z18" s="116">
        <f t="shared" si="6"/>
        <v>0</v>
      </c>
      <c r="AA18" s="116">
        <f t="shared" si="7"/>
        <v>0</v>
      </c>
      <c r="AB18" s="76"/>
    </row>
    <row r="19" spans="1:28" ht="13">
      <c r="A19" s="3"/>
      <c r="B19" s="3"/>
      <c r="C19" s="9"/>
      <c r="D19" s="76"/>
      <c r="E19" s="6"/>
      <c r="F19" s="3"/>
      <c r="G19" s="76"/>
      <c r="H19" s="3"/>
      <c r="I19" s="248"/>
      <c r="K19" s="234"/>
      <c r="L19" s="3"/>
      <c r="M19" s="33" t="s">
        <v>725</v>
      </c>
      <c r="N19" s="248">
        <f>$K$18*'Этап 2 - Потребление энергии'!$G$10/100</f>
        <v>0</v>
      </c>
      <c r="O19" s="3" t="s">
        <v>36</v>
      </c>
      <c r="P19" s="76">
        <v>1</v>
      </c>
      <c r="Q19" s="117"/>
      <c r="R19" s="118"/>
      <c r="S19" s="118"/>
      <c r="T19" s="117"/>
      <c r="U19" s="76"/>
      <c r="V19" s="116">
        <f t="shared" si="2"/>
        <v>0</v>
      </c>
      <c r="W19" s="116">
        <f t="shared" si="3"/>
        <v>0</v>
      </c>
      <c r="X19" s="116">
        <f t="shared" si="4"/>
        <v>0</v>
      </c>
      <c r="Y19" s="116">
        <f t="shared" si="5"/>
        <v>0</v>
      </c>
      <c r="Z19" s="116">
        <f t="shared" si="6"/>
        <v>0</v>
      </c>
      <c r="AA19" s="116">
        <f t="shared" si="7"/>
        <v>0</v>
      </c>
      <c r="AB19" s="76"/>
    </row>
    <row r="20" spans="1:28" ht="25">
      <c r="A20" s="3"/>
      <c r="B20" s="3"/>
      <c r="C20" s="9"/>
      <c r="D20" s="76"/>
      <c r="E20" s="6"/>
      <c r="F20" s="3"/>
      <c r="G20" s="76"/>
      <c r="H20" s="3"/>
      <c r="I20" s="248"/>
      <c r="K20" s="234"/>
      <c r="L20" s="3"/>
      <c r="M20" s="33" t="s">
        <v>726</v>
      </c>
      <c r="N20" s="248">
        <f>$K$18*'Этап 2 - Потребление энергии'!$H$10/100</f>
        <v>0</v>
      </c>
      <c r="O20" s="3"/>
      <c r="P20" s="76">
        <f>ROUND((0.75+0.95+0.95)/3,2)</f>
        <v>0.88</v>
      </c>
      <c r="Q20" s="76"/>
      <c r="R20" s="76"/>
      <c r="S20" s="76"/>
      <c r="T20" s="76"/>
      <c r="U20" s="76">
        <f>1-P20</f>
        <v>0.12</v>
      </c>
      <c r="V20" s="116">
        <f t="shared" si="2"/>
        <v>0</v>
      </c>
      <c r="W20" s="116">
        <f t="shared" si="3"/>
        <v>0</v>
      </c>
      <c r="X20" s="116">
        <f t="shared" si="4"/>
        <v>0</v>
      </c>
      <c r="Y20" s="116">
        <f t="shared" si="5"/>
        <v>0</v>
      </c>
      <c r="Z20" s="116">
        <f t="shared" si="6"/>
        <v>0</v>
      </c>
      <c r="AA20" s="116">
        <f t="shared" si="7"/>
        <v>0</v>
      </c>
      <c r="AB20" s="76"/>
    </row>
    <row r="21" spans="1:28" ht="25">
      <c r="A21" s="3"/>
      <c r="B21" s="3"/>
      <c r="C21" s="9"/>
      <c r="D21" s="76"/>
      <c r="E21" s="6"/>
      <c r="F21" s="3"/>
      <c r="G21" s="76"/>
      <c r="H21" s="3"/>
      <c r="I21" s="248"/>
      <c r="K21" s="234"/>
      <c r="L21" s="3"/>
      <c r="M21" s="33" t="s">
        <v>727</v>
      </c>
      <c r="N21" s="248">
        <f>$K$18*'Этап 2 - Потребление энергии'!$I$10/100</f>
        <v>0</v>
      </c>
      <c r="O21" s="3"/>
      <c r="P21" s="76">
        <f>ROUND((0.5+0.5+0.5)/3,2)</f>
        <v>0.5</v>
      </c>
      <c r="Q21" s="76"/>
      <c r="R21" s="76"/>
      <c r="S21" s="76"/>
      <c r="T21" s="76"/>
      <c r="U21" s="76">
        <f>1-P21</f>
        <v>0.5</v>
      </c>
      <c r="V21" s="116">
        <f t="shared" si="2"/>
        <v>0</v>
      </c>
      <c r="W21" s="116">
        <f t="shared" si="3"/>
        <v>0</v>
      </c>
      <c r="X21" s="116">
        <f t="shared" si="4"/>
        <v>0</v>
      </c>
      <c r="Y21" s="116">
        <f t="shared" si="5"/>
        <v>0</v>
      </c>
      <c r="Z21" s="116">
        <f t="shared" si="6"/>
        <v>0</v>
      </c>
      <c r="AA21" s="116">
        <f t="shared" si="7"/>
        <v>0</v>
      </c>
      <c r="AB21" s="76"/>
    </row>
    <row r="22" spans="1:28" ht="25">
      <c r="A22" s="3"/>
      <c r="B22" s="3"/>
      <c r="C22" s="9"/>
      <c r="D22" s="76"/>
      <c r="E22" s="6"/>
      <c r="F22" s="3"/>
      <c r="G22" s="76"/>
      <c r="H22" s="3"/>
      <c r="I22" s="248"/>
      <c r="K22" s="234"/>
      <c r="L22" s="3"/>
      <c r="M22" s="33" t="s">
        <v>728</v>
      </c>
      <c r="N22" s="248">
        <f>$K$18*'Этап 2 - Потребление энергии'!$J$10/100</f>
        <v>0</v>
      </c>
      <c r="O22" s="3"/>
      <c r="P22" s="76">
        <f>ROUND((0.5+0.7+0.7)/3,2)</f>
        <v>0.63</v>
      </c>
      <c r="Q22" s="76"/>
      <c r="R22" s="76"/>
      <c r="S22" s="76"/>
      <c r="T22" s="76"/>
      <c r="U22" s="76">
        <f>1-P22</f>
        <v>0.37</v>
      </c>
      <c r="V22" s="116">
        <f t="shared" ref="V22:AA23" si="8">$N22*P22</f>
        <v>0</v>
      </c>
      <c r="W22" s="116">
        <f t="shared" si="8"/>
        <v>0</v>
      </c>
      <c r="X22" s="116">
        <f t="shared" si="8"/>
        <v>0</v>
      </c>
      <c r="Y22" s="116">
        <f t="shared" si="8"/>
        <v>0</v>
      </c>
      <c r="Z22" s="116">
        <f t="shared" si="8"/>
        <v>0</v>
      </c>
      <c r="AA22" s="116">
        <f t="shared" si="8"/>
        <v>0</v>
      </c>
      <c r="AB22" s="76"/>
    </row>
    <row r="23" spans="1:28" ht="25">
      <c r="A23" s="3"/>
      <c r="B23" s="3"/>
      <c r="C23" s="9"/>
      <c r="D23" s="76"/>
      <c r="E23" s="6"/>
      <c r="F23" s="3"/>
      <c r="G23" s="76"/>
      <c r="H23" s="3"/>
      <c r="I23" s="248"/>
      <c r="K23" s="234"/>
      <c r="L23" s="3"/>
      <c r="M23" s="33" t="s">
        <v>729</v>
      </c>
      <c r="N23" s="248">
        <f>$K$18*'Этап 2 - Потребление энергии'!$K$10/100</f>
        <v>0</v>
      </c>
      <c r="O23" s="3"/>
      <c r="P23" s="76">
        <f>ROUND((0.1+0.8+0.8)/3,2)</f>
        <v>0.56999999999999995</v>
      </c>
      <c r="Q23" s="76"/>
      <c r="R23" s="76"/>
      <c r="S23" s="76"/>
      <c r="T23" s="76"/>
      <c r="U23" s="76">
        <f>1-P23</f>
        <v>0.43000000000000005</v>
      </c>
      <c r="V23" s="116">
        <f t="shared" si="8"/>
        <v>0</v>
      </c>
      <c r="W23" s="116">
        <f t="shared" si="8"/>
        <v>0</v>
      </c>
      <c r="X23" s="116">
        <f t="shared" si="8"/>
        <v>0</v>
      </c>
      <c r="Y23" s="116">
        <f t="shared" si="8"/>
        <v>0</v>
      </c>
      <c r="Z23" s="116">
        <f t="shared" si="8"/>
        <v>0</v>
      </c>
      <c r="AA23" s="116">
        <f t="shared" si="8"/>
        <v>0</v>
      </c>
      <c r="AB23" s="76"/>
    </row>
    <row r="24" spans="1:28" ht="25">
      <c r="A24" s="3"/>
      <c r="B24" s="3"/>
      <c r="C24" s="9"/>
      <c r="D24" s="76"/>
      <c r="E24" s="6"/>
      <c r="F24" s="3"/>
      <c r="G24" s="76"/>
      <c r="H24" s="3"/>
      <c r="I24" s="248"/>
      <c r="K24" s="234"/>
      <c r="L24" s="3"/>
      <c r="M24" s="623" t="s">
        <v>730</v>
      </c>
      <c r="N24" s="248">
        <f>$K$18*'Этап 2 - Потребление энергии'!$L$10/100</f>
        <v>0</v>
      </c>
      <c r="O24" s="3"/>
      <c r="P24" s="76">
        <f>ROUND((0.03+0.25+0.25)/3,2)</f>
        <v>0.18</v>
      </c>
      <c r="Q24" s="76"/>
      <c r="R24" s="76"/>
      <c r="S24" s="76"/>
      <c r="T24" s="76"/>
      <c r="U24" s="76">
        <f>1-P24</f>
        <v>0.82000000000000006</v>
      </c>
      <c r="V24" s="116">
        <f t="shared" si="2"/>
        <v>0</v>
      </c>
      <c r="W24" s="116">
        <f t="shared" si="3"/>
        <v>0</v>
      </c>
      <c r="X24" s="116">
        <f t="shared" si="4"/>
        <v>0</v>
      </c>
      <c r="Y24" s="116">
        <f t="shared" si="5"/>
        <v>0</v>
      </c>
      <c r="Z24" s="116">
        <f t="shared" si="6"/>
        <v>0</v>
      </c>
      <c r="AA24" s="116">
        <f t="shared" si="7"/>
        <v>0</v>
      </c>
      <c r="AB24" s="76"/>
    </row>
    <row r="25" spans="1:28" ht="13">
      <c r="A25" s="3"/>
      <c r="B25" s="3"/>
      <c r="C25" s="9"/>
      <c r="D25" s="76"/>
      <c r="E25" s="6"/>
      <c r="F25" s="3"/>
      <c r="G25" s="76"/>
      <c r="H25" s="3"/>
      <c r="I25" s="248"/>
      <c r="K25" s="234"/>
      <c r="L25" s="3"/>
      <c r="M25" s="32"/>
      <c r="N25" s="248"/>
      <c r="O25" s="3"/>
      <c r="P25" s="117"/>
      <c r="Q25" s="117"/>
      <c r="R25" s="118"/>
      <c r="S25" s="118"/>
      <c r="T25" s="117"/>
      <c r="U25" s="76"/>
      <c r="V25" s="116"/>
      <c r="W25" s="116"/>
      <c r="X25" s="116"/>
      <c r="Y25" s="116"/>
      <c r="Z25" s="116"/>
      <c r="AA25" s="116"/>
      <c r="AB25" s="76"/>
    </row>
    <row r="26" spans="1:28" s="91" customFormat="1" ht="13">
      <c r="A26" s="88"/>
      <c r="B26" s="624" t="s">
        <v>733</v>
      </c>
      <c r="C26" s="89" t="s">
        <v>62</v>
      </c>
      <c r="D26" s="111"/>
      <c r="E26" s="88"/>
      <c r="F26" s="88"/>
      <c r="G26" s="76"/>
      <c r="H26" s="88"/>
      <c r="I26" s="247"/>
      <c r="J26" s="88"/>
      <c r="K26" s="338">
        <f>SUM(K27:K28)</f>
        <v>0</v>
      </c>
      <c r="L26" s="88"/>
      <c r="M26" s="90"/>
      <c r="N26" s="248"/>
      <c r="O26" s="88"/>
      <c r="P26" s="76"/>
      <c r="Q26" s="76"/>
      <c r="R26" s="76"/>
      <c r="S26" s="76"/>
      <c r="T26" s="76"/>
      <c r="U26" s="76"/>
      <c r="V26" s="114">
        <f t="shared" ref="V26:AA26" si="9">SUM(V27:V32)</f>
        <v>0</v>
      </c>
      <c r="W26" s="114">
        <f t="shared" si="9"/>
        <v>0</v>
      </c>
      <c r="X26" s="114">
        <f t="shared" si="9"/>
        <v>0</v>
      </c>
      <c r="Y26" s="114">
        <f t="shared" si="9"/>
        <v>0</v>
      </c>
      <c r="Z26" s="114">
        <f t="shared" si="9"/>
        <v>0</v>
      </c>
      <c r="AA26" s="114">
        <f t="shared" si="9"/>
        <v>0</v>
      </c>
      <c r="AB26" s="76"/>
    </row>
    <row r="27" spans="1:28" s="48" customFormat="1" ht="13">
      <c r="A27" s="92"/>
      <c r="B27" s="28"/>
      <c r="C27" s="93" t="s">
        <v>63</v>
      </c>
      <c r="D27" s="111"/>
      <c r="E27" s="95" t="s">
        <v>48</v>
      </c>
      <c r="F27" s="28" t="s">
        <v>342</v>
      </c>
      <c r="G27" s="76">
        <v>0.15</v>
      </c>
      <c r="H27" s="28" t="s">
        <v>342</v>
      </c>
      <c r="I27" s="248"/>
      <c r="J27" s="48" t="s">
        <v>323</v>
      </c>
      <c r="K27" s="234">
        <f>G27*I27/1000</f>
        <v>0</v>
      </c>
      <c r="L27" s="101" t="s">
        <v>36</v>
      </c>
      <c r="M27" s="96"/>
      <c r="N27" s="248"/>
      <c r="O27" s="28"/>
      <c r="P27" s="76">
        <v>1</v>
      </c>
      <c r="Q27" s="76"/>
      <c r="R27" s="76"/>
      <c r="S27" s="76"/>
      <c r="T27" s="76"/>
      <c r="U27" s="76"/>
      <c r="V27" s="116">
        <f t="shared" ref="V27:V32" si="10">$N27*P27</f>
        <v>0</v>
      </c>
      <c r="W27" s="116">
        <f t="shared" ref="W27:W32" si="11">$N27*Q27</f>
        <v>0</v>
      </c>
      <c r="X27" s="116">
        <f t="shared" ref="X27:X32" si="12">$N27*R27</f>
        <v>0</v>
      </c>
      <c r="Y27" s="116">
        <f t="shared" ref="Y27:Y32" si="13">$N27*S27</f>
        <v>0</v>
      </c>
      <c r="Z27" s="116">
        <f t="shared" ref="Z27:Z32" si="14">$N27*T27</f>
        <v>0</v>
      </c>
      <c r="AA27" s="116">
        <f t="shared" ref="AA27:AA32" si="15">$N27*U27</f>
        <v>0</v>
      </c>
      <c r="AB27" s="76"/>
    </row>
    <row r="28" spans="1:28" ht="52">
      <c r="A28" s="3"/>
      <c r="B28" s="3"/>
      <c r="C28" s="12" t="s">
        <v>769</v>
      </c>
      <c r="D28" s="111"/>
      <c r="E28" s="6" t="s">
        <v>58</v>
      </c>
      <c r="F28" s="3" t="s">
        <v>342</v>
      </c>
      <c r="G28" s="578">
        <f>(0.15+0.15+0.1)/3</f>
        <v>0.13333333333333333</v>
      </c>
      <c r="H28" s="3" t="s">
        <v>342</v>
      </c>
      <c r="I28" s="248">
        <f>'Этап 2 - Потребление энергии'!C11</f>
        <v>0</v>
      </c>
      <c r="J28" t="s">
        <v>323</v>
      </c>
      <c r="K28" s="238">
        <f>G28*I28/1000</f>
        <v>0</v>
      </c>
      <c r="L28" s="3" t="s">
        <v>64</v>
      </c>
      <c r="M28" s="33"/>
      <c r="N28" s="248"/>
      <c r="O28" s="3"/>
      <c r="P28" s="76"/>
      <c r="Q28" s="76"/>
      <c r="R28" s="76"/>
      <c r="S28" s="76"/>
      <c r="T28" s="76"/>
      <c r="U28" s="76"/>
      <c r="V28" s="116">
        <f t="shared" si="10"/>
        <v>0</v>
      </c>
      <c r="W28" s="116">
        <f t="shared" si="11"/>
        <v>0</v>
      </c>
      <c r="X28" s="116">
        <f t="shared" si="12"/>
        <v>0</v>
      </c>
      <c r="Y28" s="116">
        <f t="shared" si="13"/>
        <v>0</v>
      </c>
      <c r="Z28" s="116">
        <f t="shared" si="14"/>
        <v>0</v>
      </c>
      <c r="AA28" s="116">
        <f t="shared" si="15"/>
        <v>0</v>
      </c>
      <c r="AB28" s="76"/>
    </row>
    <row r="29" spans="1:28" ht="13">
      <c r="A29" s="3"/>
      <c r="B29" s="3"/>
      <c r="C29" s="9"/>
      <c r="D29" s="76"/>
      <c r="E29" s="6"/>
      <c r="F29" s="3"/>
      <c r="G29" s="76"/>
      <c r="H29" s="3"/>
      <c r="I29" s="248"/>
      <c r="K29" s="234"/>
      <c r="L29" s="3"/>
      <c r="M29" s="622" t="s">
        <v>434</v>
      </c>
      <c r="N29" s="248">
        <f>K28</f>
        <v>0</v>
      </c>
      <c r="O29" s="3" t="s">
        <v>36</v>
      </c>
      <c r="P29" s="76">
        <v>1</v>
      </c>
      <c r="Q29" s="117"/>
      <c r="R29" s="118"/>
      <c r="S29" s="118"/>
      <c r="T29" s="117"/>
      <c r="U29" s="76"/>
      <c r="V29" s="116">
        <f t="shared" si="10"/>
        <v>0</v>
      </c>
      <c r="W29" s="116">
        <f t="shared" si="11"/>
        <v>0</v>
      </c>
      <c r="X29" s="116">
        <f t="shared" si="12"/>
        <v>0</v>
      </c>
      <c r="Y29" s="116">
        <f t="shared" si="13"/>
        <v>0</v>
      </c>
      <c r="Z29" s="116">
        <f t="shared" si="14"/>
        <v>0</v>
      </c>
      <c r="AA29" s="116">
        <f t="shared" si="15"/>
        <v>0</v>
      </c>
      <c r="AB29" s="76"/>
    </row>
    <row r="30" spans="1:28" ht="13">
      <c r="A30" s="3"/>
      <c r="B30" s="3"/>
      <c r="C30" s="9"/>
      <c r="D30" s="76"/>
      <c r="E30" s="6"/>
      <c r="F30" s="3"/>
      <c r="G30" s="76"/>
      <c r="H30" s="3"/>
      <c r="I30" s="248"/>
      <c r="K30" s="234"/>
      <c r="L30" s="3"/>
      <c r="M30" s="33"/>
      <c r="N30" s="248"/>
      <c r="O30" s="3"/>
      <c r="P30" s="117"/>
      <c r="Q30" s="117"/>
      <c r="R30" s="118"/>
      <c r="S30" s="118"/>
      <c r="T30" s="117"/>
      <c r="U30" s="76"/>
      <c r="V30" s="116">
        <f t="shared" si="10"/>
        <v>0</v>
      </c>
      <c r="W30" s="116">
        <f t="shared" si="11"/>
        <v>0</v>
      </c>
      <c r="X30" s="116">
        <f t="shared" si="12"/>
        <v>0</v>
      </c>
      <c r="Y30" s="116">
        <f t="shared" si="13"/>
        <v>0</v>
      </c>
      <c r="Z30" s="116">
        <f t="shared" si="14"/>
        <v>0</v>
      </c>
      <c r="AA30" s="116">
        <f t="shared" si="15"/>
        <v>0</v>
      </c>
      <c r="AB30" s="76"/>
    </row>
    <row r="31" spans="1:28" ht="13">
      <c r="A31" s="3"/>
      <c r="B31" s="3"/>
      <c r="C31" s="9"/>
      <c r="D31" s="76"/>
      <c r="E31" s="6"/>
      <c r="F31" s="3"/>
      <c r="G31" s="76"/>
      <c r="H31" s="3"/>
      <c r="I31" s="248"/>
      <c r="K31" s="234"/>
      <c r="L31" s="3"/>
      <c r="M31" s="33"/>
      <c r="N31" s="248"/>
      <c r="O31" s="3"/>
      <c r="P31" s="117"/>
      <c r="Q31" s="117"/>
      <c r="R31" s="118"/>
      <c r="S31" s="118"/>
      <c r="T31" s="117"/>
      <c r="U31" s="76"/>
      <c r="V31" s="116">
        <f t="shared" si="10"/>
        <v>0</v>
      </c>
      <c r="W31" s="116">
        <f t="shared" si="11"/>
        <v>0</v>
      </c>
      <c r="X31" s="116">
        <f t="shared" si="12"/>
        <v>0</v>
      </c>
      <c r="Y31" s="116">
        <f t="shared" si="13"/>
        <v>0</v>
      </c>
      <c r="Z31" s="116">
        <f t="shared" si="14"/>
        <v>0</v>
      </c>
      <c r="AA31" s="116">
        <f t="shared" si="15"/>
        <v>0</v>
      </c>
      <c r="AB31" s="76"/>
    </row>
    <row r="32" spans="1:28" ht="13">
      <c r="A32" s="3"/>
      <c r="B32" s="3"/>
      <c r="C32" s="9"/>
      <c r="D32" s="76"/>
      <c r="E32" s="6"/>
      <c r="F32" s="3"/>
      <c r="G32" s="76"/>
      <c r="H32" s="3"/>
      <c r="I32" s="248"/>
      <c r="K32" s="234"/>
      <c r="L32" s="3"/>
      <c r="M32" s="33"/>
      <c r="N32" s="248"/>
      <c r="O32" s="3"/>
      <c r="P32" s="117"/>
      <c r="Q32" s="117"/>
      <c r="R32" s="118"/>
      <c r="S32" s="118"/>
      <c r="T32" s="117"/>
      <c r="U32" s="76"/>
      <c r="V32" s="116">
        <f t="shared" si="10"/>
        <v>0</v>
      </c>
      <c r="W32" s="116">
        <f t="shared" si="11"/>
        <v>0</v>
      </c>
      <c r="X32" s="116">
        <f t="shared" si="12"/>
        <v>0</v>
      </c>
      <c r="Y32" s="116">
        <f t="shared" si="13"/>
        <v>0</v>
      </c>
      <c r="Z32" s="116">
        <f t="shared" si="14"/>
        <v>0</v>
      </c>
      <c r="AA32" s="116">
        <f t="shared" si="15"/>
        <v>0</v>
      </c>
      <c r="AB32" s="76"/>
    </row>
    <row r="33" spans="1:28" ht="13">
      <c r="A33" s="3"/>
      <c r="B33" s="3"/>
      <c r="C33" s="9"/>
      <c r="D33" s="76"/>
      <c r="E33" s="6"/>
      <c r="F33" s="3"/>
      <c r="G33" s="76"/>
      <c r="H33" s="3"/>
      <c r="I33" s="248"/>
      <c r="K33" s="234"/>
      <c r="L33" s="3"/>
      <c r="M33" s="32"/>
      <c r="N33" s="248"/>
      <c r="O33" s="3"/>
      <c r="P33" s="117"/>
      <c r="Q33" s="117"/>
      <c r="R33" s="118"/>
      <c r="S33" s="118"/>
      <c r="T33" s="117"/>
      <c r="U33" s="76"/>
      <c r="V33" s="116"/>
      <c r="W33" s="116"/>
      <c r="X33" s="116"/>
      <c r="Y33" s="116"/>
      <c r="Z33" s="116"/>
      <c r="AA33" s="116"/>
      <c r="AB33" s="76"/>
    </row>
    <row r="34" spans="1:28" s="91" customFormat="1" ht="26">
      <c r="A34" s="88"/>
      <c r="B34" s="88" t="s">
        <v>65</v>
      </c>
      <c r="C34" s="97" t="s">
        <v>70</v>
      </c>
      <c r="D34" s="111"/>
      <c r="E34" s="98"/>
      <c r="F34" s="88"/>
      <c r="G34" s="76"/>
      <c r="H34" s="88"/>
      <c r="I34" s="248"/>
      <c r="K34" s="361"/>
      <c r="L34" s="88"/>
      <c r="M34" s="99"/>
      <c r="N34" s="248"/>
      <c r="O34" s="88"/>
      <c r="P34" s="117"/>
      <c r="Q34" s="117"/>
      <c r="R34" s="118"/>
      <c r="S34" s="118"/>
      <c r="T34" s="117"/>
      <c r="U34" s="76"/>
      <c r="V34" s="114">
        <f t="shared" ref="V34:AA34" si="16">SUM(V35:V47)</f>
        <v>0</v>
      </c>
      <c r="W34" s="114">
        <f t="shared" si="16"/>
        <v>0</v>
      </c>
      <c r="X34" s="114">
        <f t="shared" si="16"/>
        <v>0</v>
      </c>
      <c r="Y34" s="114">
        <f t="shared" si="16"/>
        <v>0</v>
      </c>
      <c r="Z34" s="114">
        <f t="shared" si="16"/>
        <v>0</v>
      </c>
      <c r="AA34" s="114">
        <f t="shared" si="16"/>
        <v>0</v>
      </c>
      <c r="AB34" s="76"/>
    </row>
    <row r="35" spans="1:28" s="48" customFormat="1" ht="13">
      <c r="A35" s="28"/>
      <c r="B35" s="28"/>
      <c r="C35" s="100" t="s">
        <v>101</v>
      </c>
      <c r="D35" s="111"/>
      <c r="E35" s="539" t="s">
        <v>692</v>
      </c>
      <c r="F35" s="3" t="s">
        <v>344</v>
      </c>
      <c r="G35" s="281">
        <v>3.4</v>
      </c>
      <c r="H35" s="3" t="s">
        <v>344</v>
      </c>
      <c r="I35" s="331">
        <f>'Этап 2 - Потребление энергии'!C24</f>
        <v>0</v>
      </c>
      <c r="J35" t="s">
        <v>324</v>
      </c>
      <c r="K35" s="234">
        <f>G35/1000000*I35</f>
        <v>0</v>
      </c>
      <c r="L35" s="101"/>
      <c r="M35" s="35"/>
      <c r="N35" s="248">
        <f>K35</f>
        <v>0</v>
      </c>
      <c r="O35" s="28"/>
      <c r="P35" s="359"/>
      <c r="Q35" s="359">
        <v>0.2</v>
      </c>
      <c r="R35" s="359"/>
      <c r="S35" s="359"/>
      <c r="T35" s="359"/>
      <c r="U35" s="359"/>
      <c r="V35" s="116">
        <f t="shared" ref="V35:AA35" si="17">$N35*P35</f>
        <v>0</v>
      </c>
      <c r="W35" s="116">
        <f t="shared" si="17"/>
        <v>0</v>
      </c>
      <c r="X35" s="116">
        <f t="shared" si="17"/>
        <v>0</v>
      </c>
      <c r="Y35" s="116">
        <f t="shared" si="17"/>
        <v>0</v>
      </c>
      <c r="Z35" s="116">
        <f t="shared" si="17"/>
        <v>0</v>
      </c>
      <c r="AA35" s="116">
        <f t="shared" si="17"/>
        <v>0</v>
      </c>
      <c r="AB35" s="76"/>
    </row>
    <row r="36" spans="1:28" ht="13">
      <c r="A36" s="3"/>
      <c r="B36" s="3"/>
      <c r="C36" s="12" t="s">
        <v>102</v>
      </c>
      <c r="D36" s="111"/>
      <c r="E36" s="539" t="s">
        <v>692</v>
      </c>
      <c r="F36" s="3" t="s">
        <v>344</v>
      </c>
      <c r="G36" s="76">
        <v>3.4</v>
      </c>
      <c r="H36" s="3" t="s">
        <v>344</v>
      </c>
      <c r="I36" s="248">
        <f>'Этап 2 - Потребление энергии'!C25</f>
        <v>0</v>
      </c>
      <c r="J36" t="s">
        <v>324</v>
      </c>
      <c r="K36" s="234">
        <f>G36/1000000*I36</f>
        <v>0</v>
      </c>
      <c r="L36" s="3" t="s">
        <v>36</v>
      </c>
      <c r="M36" s="15"/>
      <c r="N36" s="248">
        <f>K36</f>
        <v>0</v>
      </c>
      <c r="O36" s="3"/>
      <c r="P36" s="359">
        <v>0.25</v>
      </c>
      <c r="Q36" s="359">
        <v>0.01</v>
      </c>
      <c r="R36" s="359"/>
      <c r="S36" s="359"/>
      <c r="T36" s="359"/>
      <c r="U36" s="359">
        <v>0.15</v>
      </c>
      <c r="V36" s="116">
        <f t="shared" ref="V36:AA36" si="18">$N36*P36</f>
        <v>0</v>
      </c>
      <c r="W36" s="116">
        <f t="shared" si="18"/>
        <v>0</v>
      </c>
      <c r="X36" s="116">
        <f t="shared" si="18"/>
        <v>0</v>
      </c>
      <c r="Y36" s="116">
        <f t="shared" si="18"/>
        <v>0</v>
      </c>
      <c r="Z36" s="116">
        <f t="shared" si="18"/>
        <v>0</v>
      </c>
      <c r="AA36" s="116">
        <f t="shared" si="18"/>
        <v>0</v>
      </c>
      <c r="AB36" s="76"/>
    </row>
    <row r="37" spans="1:28" ht="26">
      <c r="A37" s="3"/>
      <c r="B37" s="3"/>
      <c r="C37" s="12" t="s">
        <v>413</v>
      </c>
      <c r="D37" s="111"/>
      <c r="E37" s="11"/>
      <c r="F37" s="3"/>
      <c r="G37" s="76"/>
      <c r="H37" s="3"/>
      <c r="I37" s="248"/>
      <c r="K37" s="234"/>
      <c r="L37" s="3"/>
      <c r="M37" s="15"/>
      <c r="N37" s="248"/>
      <c r="O37" s="3"/>
      <c r="P37" s="117"/>
      <c r="Q37" s="117"/>
      <c r="R37" s="118"/>
      <c r="S37" s="118"/>
      <c r="T37" s="117"/>
      <c r="U37" s="117"/>
      <c r="V37" s="116"/>
      <c r="W37" s="116"/>
      <c r="X37" s="116"/>
      <c r="Y37" s="116"/>
      <c r="Z37" s="116"/>
      <c r="AA37" s="116"/>
      <c r="AB37" s="76"/>
    </row>
    <row r="38" spans="1:28" ht="13">
      <c r="A38" s="3"/>
      <c r="B38" s="3"/>
      <c r="C38" s="9" t="s">
        <v>66</v>
      </c>
      <c r="D38" s="76"/>
      <c r="E38" s="11" t="s">
        <v>414</v>
      </c>
      <c r="F38" s="3" t="s">
        <v>344</v>
      </c>
      <c r="G38" s="76">
        <v>20</v>
      </c>
      <c r="H38" s="3" t="s">
        <v>344</v>
      </c>
      <c r="I38" s="248"/>
      <c r="J38" t="s">
        <v>324</v>
      </c>
      <c r="K38" s="234">
        <f>G38/1000000*I38</f>
        <v>0</v>
      </c>
      <c r="L38" s="3" t="s">
        <v>36</v>
      </c>
      <c r="M38" s="15"/>
      <c r="N38" s="248"/>
      <c r="O38" s="3"/>
      <c r="P38" s="117">
        <v>1</v>
      </c>
      <c r="Q38" s="117"/>
      <c r="R38" s="118"/>
      <c r="S38" s="118"/>
      <c r="T38" s="117"/>
      <c r="U38" s="117"/>
      <c r="V38" s="116">
        <f t="shared" ref="V38:AA40" si="19">$N38*P38</f>
        <v>0</v>
      </c>
      <c r="W38" s="116">
        <f t="shared" si="19"/>
        <v>0</v>
      </c>
      <c r="X38" s="116">
        <f t="shared" si="19"/>
        <v>0</v>
      </c>
      <c r="Y38" s="116">
        <f t="shared" si="19"/>
        <v>0</v>
      </c>
      <c r="Z38" s="116">
        <f t="shared" si="19"/>
        <v>0</v>
      </c>
      <c r="AA38" s="116">
        <f t="shared" si="19"/>
        <v>0</v>
      </c>
      <c r="AB38" s="76"/>
    </row>
    <row r="39" spans="1:28" ht="13">
      <c r="A39" s="3"/>
      <c r="B39" s="3"/>
      <c r="C39" s="9" t="s">
        <v>416</v>
      </c>
      <c r="D39" s="76"/>
      <c r="E39" s="6" t="s">
        <v>414</v>
      </c>
      <c r="F39" s="3" t="s">
        <v>344</v>
      </c>
      <c r="G39" s="76">
        <v>20</v>
      </c>
      <c r="H39" s="3" t="s">
        <v>344</v>
      </c>
      <c r="I39" s="248">
        <f>'Этап 2 - Потребление энергии'!C12</f>
        <v>0</v>
      </c>
      <c r="J39" t="s">
        <v>324</v>
      </c>
      <c r="K39" s="238">
        <f>G39/1000000*I39</f>
        <v>0</v>
      </c>
      <c r="L39" s="3" t="s">
        <v>36</v>
      </c>
      <c r="M39" s="33" t="s">
        <v>807</v>
      </c>
      <c r="N39" s="248">
        <f>$K$39*'Этап 2 - Потребление энергии'!$G$14/100</f>
        <v>0</v>
      </c>
      <c r="O39" s="3"/>
      <c r="P39" s="117">
        <v>1</v>
      </c>
      <c r="Q39" s="117"/>
      <c r="R39" s="118"/>
      <c r="S39" s="118"/>
      <c r="T39" s="117"/>
      <c r="U39" s="117"/>
      <c r="V39" s="116">
        <f t="shared" si="19"/>
        <v>0</v>
      </c>
      <c r="W39" s="116">
        <f t="shared" si="19"/>
        <v>0</v>
      </c>
      <c r="X39" s="116">
        <f t="shared" si="19"/>
        <v>0</v>
      </c>
      <c r="Y39" s="116">
        <f t="shared" si="19"/>
        <v>0</v>
      </c>
      <c r="Z39" s="116">
        <f t="shared" si="19"/>
        <v>0</v>
      </c>
      <c r="AA39" s="116">
        <f t="shared" si="19"/>
        <v>0</v>
      </c>
      <c r="AB39" s="76"/>
    </row>
    <row r="40" spans="1:28" ht="37.5">
      <c r="A40" s="3"/>
      <c r="B40" s="3"/>
      <c r="C40" s="540"/>
      <c r="D40" s="76"/>
      <c r="E40" s="6"/>
      <c r="F40" s="3"/>
      <c r="G40" s="76"/>
      <c r="H40" s="3"/>
      <c r="I40" s="248"/>
      <c r="K40" s="234"/>
      <c r="L40" s="3"/>
      <c r="M40" s="623" t="s">
        <v>69</v>
      </c>
      <c r="N40" s="248">
        <f>$K$39*'Этап 2 - Потребление энергии'!$H$14/100</f>
        <v>0</v>
      </c>
      <c r="O40" s="3"/>
      <c r="P40" s="117">
        <v>0.9</v>
      </c>
      <c r="Q40" s="117"/>
      <c r="R40" s="118"/>
      <c r="S40" s="118"/>
      <c r="T40" s="117"/>
      <c r="U40" s="117">
        <v>0.1</v>
      </c>
      <c r="V40" s="116">
        <f t="shared" si="19"/>
        <v>0</v>
      </c>
      <c r="W40" s="116">
        <f t="shared" si="19"/>
        <v>0</v>
      </c>
      <c r="X40" s="116">
        <f t="shared" si="19"/>
        <v>0</v>
      </c>
      <c r="Y40" s="116">
        <f t="shared" si="19"/>
        <v>0</v>
      </c>
      <c r="Z40" s="116">
        <f t="shared" si="19"/>
        <v>0</v>
      </c>
      <c r="AA40" s="116">
        <f t="shared" si="19"/>
        <v>0</v>
      </c>
      <c r="AB40" s="76"/>
    </row>
    <row r="41" spans="1:28" ht="25">
      <c r="A41" s="3"/>
      <c r="B41" s="3"/>
      <c r="C41" s="540"/>
      <c r="D41" s="76"/>
      <c r="E41" s="6"/>
      <c r="F41" s="3"/>
      <c r="G41" s="76"/>
      <c r="H41" s="3"/>
      <c r="I41" s="248"/>
      <c r="K41" s="234"/>
      <c r="L41" s="3"/>
      <c r="M41" s="623" t="s">
        <v>735</v>
      </c>
      <c r="N41" s="248">
        <f>$K$39*'Этап 2 - Потребление энергии'!$I$14/100</f>
        <v>0</v>
      </c>
      <c r="O41" s="3"/>
      <c r="P41" s="117">
        <v>0.5</v>
      </c>
      <c r="Q41" s="117"/>
      <c r="R41" s="118"/>
      <c r="S41" s="118"/>
      <c r="T41" s="117"/>
      <c r="U41" s="117">
        <v>0.5</v>
      </c>
      <c r="V41" s="116">
        <f t="shared" ref="V41:AA41" si="20">$N41*P41</f>
        <v>0</v>
      </c>
      <c r="W41" s="116">
        <f t="shared" si="20"/>
        <v>0</v>
      </c>
      <c r="X41" s="116">
        <f t="shared" si="20"/>
        <v>0</v>
      </c>
      <c r="Y41" s="116">
        <f t="shared" si="20"/>
        <v>0</v>
      </c>
      <c r="Z41" s="116">
        <f t="shared" si="20"/>
        <v>0</v>
      </c>
      <c r="AA41" s="116">
        <f t="shared" si="20"/>
        <v>0</v>
      </c>
      <c r="AB41" s="76"/>
    </row>
    <row r="42" spans="1:28" ht="26">
      <c r="A42" s="3"/>
      <c r="B42" s="3"/>
      <c r="C42" s="12" t="s">
        <v>411</v>
      </c>
      <c r="D42" s="112"/>
      <c r="E42" s="6"/>
      <c r="F42" s="3"/>
      <c r="G42" s="76"/>
      <c r="H42" s="3"/>
      <c r="I42" s="248"/>
      <c r="K42" s="234"/>
      <c r="L42" s="3"/>
      <c r="M42" s="15"/>
      <c r="N42" s="248"/>
      <c r="O42" s="3"/>
      <c r="P42" s="117"/>
      <c r="Q42" s="117"/>
      <c r="R42" s="118"/>
      <c r="S42" s="118"/>
      <c r="T42" s="117"/>
      <c r="U42" s="76"/>
      <c r="V42" s="116"/>
      <c r="W42" s="116"/>
      <c r="X42" s="116"/>
      <c r="Y42" s="116"/>
      <c r="Z42" s="116"/>
      <c r="AA42" s="116"/>
      <c r="AB42" s="76"/>
    </row>
    <row r="43" spans="1:28" ht="25.5">
      <c r="A43" s="3"/>
      <c r="B43" s="3"/>
      <c r="C43" s="9" t="s">
        <v>412</v>
      </c>
      <c r="D43" s="76"/>
      <c r="E43" s="6" t="s">
        <v>415</v>
      </c>
      <c r="F43" s="3" t="s">
        <v>344</v>
      </c>
      <c r="G43" s="76">
        <v>2</v>
      </c>
      <c r="H43" s="3" t="s">
        <v>344</v>
      </c>
      <c r="I43" s="248">
        <f>'Этап 2 - Потребление энергии'!C15</f>
        <v>0</v>
      </c>
      <c r="J43" t="s">
        <v>324</v>
      </c>
      <c r="K43" s="234">
        <f>G43/1000000*I43</f>
        <v>0</v>
      </c>
      <c r="L43" s="3" t="s">
        <v>36</v>
      </c>
      <c r="M43" s="32"/>
      <c r="N43" s="248"/>
      <c r="O43" s="3"/>
      <c r="P43" s="117">
        <v>1</v>
      </c>
      <c r="Q43" s="117"/>
      <c r="R43" s="118"/>
      <c r="S43" s="118"/>
      <c r="T43" s="117"/>
      <c r="U43" s="76"/>
      <c r="V43" s="116">
        <f t="shared" ref="V43:AA46" si="21">$N43*P43</f>
        <v>0</v>
      </c>
      <c r="W43" s="116">
        <f t="shared" si="21"/>
        <v>0</v>
      </c>
      <c r="X43" s="116">
        <f t="shared" si="21"/>
        <v>0</v>
      </c>
      <c r="Y43" s="116">
        <f t="shared" si="21"/>
        <v>0</v>
      </c>
      <c r="Z43" s="116">
        <f t="shared" si="21"/>
        <v>0</v>
      </c>
      <c r="AA43" s="116">
        <f t="shared" si="21"/>
        <v>0</v>
      </c>
      <c r="AB43" s="76"/>
    </row>
    <row r="44" spans="1:28" ht="25.5">
      <c r="A44" s="3"/>
      <c r="B44" s="3"/>
      <c r="C44" s="9" t="s">
        <v>67</v>
      </c>
      <c r="D44" s="76"/>
      <c r="E44" s="6" t="s">
        <v>415</v>
      </c>
      <c r="F44" s="3" t="s">
        <v>344</v>
      </c>
      <c r="G44" s="76">
        <v>2</v>
      </c>
      <c r="H44" s="3" t="s">
        <v>344</v>
      </c>
      <c r="I44" s="248"/>
      <c r="J44" t="s">
        <v>324</v>
      </c>
      <c r="K44" s="238">
        <f>G44/1000000*I44</f>
        <v>0</v>
      </c>
      <c r="L44" s="3" t="s">
        <v>36</v>
      </c>
      <c r="M44" s="32"/>
      <c r="N44" s="248"/>
      <c r="O44" s="3"/>
      <c r="P44" s="117">
        <v>1</v>
      </c>
      <c r="Q44" s="117"/>
      <c r="R44" s="118"/>
      <c r="S44" s="118"/>
      <c r="T44" s="117"/>
      <c r="U44" s="76"/>
      <c r="V44" s="116">
        <f t="shared" si="21"/>
        <v>0</v>
      </c>
      <c r="W44" s="116">
        <f t="shared" si="21"/>
        <v>0</v>
      </c>
      <c r="X44" s="116">
        <f t="shared" si="21"/>
        <v>0</v>
      </c>
      <c r="Y44" s="116">
        <f t="shared" si="21"/>
        <v>0</v>
      </c>
      <c r="Z44" s="116">
        <f t="shared" si="21"/>
        <v>0</v>
      </c>
      <c r="AA44" s="116">
        <f t="shared" si="21"/>
        <v>0</v>
      </c>
      <c r="AB44" s="76"/>
    </row>
    <row r="45" spans="1:28" ht="25">
      <c r="A45" s="3"/>
      <c r="B45" s="3"/>
      <c r="C45" s="9" t="s">
        <v>155</v>
      </c>
      <c r="D45" s="76"/>
      <c r="E45" s="6" t="s">
        <v>415</v>
      </c>
      <c r="F45" s="3" t="s">
        <v>344</v>
      </c>
      <c r="G45" s="76">
        <v>2</v>
      </c>
      <c r="H45" s="3" t="s">
        <v>344</v>
      </c>
      <c r="I45" s="248"/>
      <c r="J45" t="s">
        <v>324</v>
      </c>
      <c r="K45" s="238">
        <f>G45/1000000*I45</f>
        <v>0</v>
      </c>
      <c r="L45" s="3" t="s">
        <v>36</v>
      </c>
      <c r="M45" s="33" t="s">
        <v>68</v>
      </c>
      <c r="N45" s="248">
        <f>SUM($K$43:$K$45)*'Этап 2 - Потребление энергии'!$G$17/100</f>
        <v>0</v>
      </c>
      <c r="O45" s="3"/>
      <c r="P45" s="117">
        <v>1</v>
      </c>
      <c r="Q45" s="117"/>
      <c r="R45" s="118"/>
      <c r="S45" s="118"/>
      <c r="T45" s="117"/>
      <c r="U45" s="76"/>
      <c r="V45" s="116">
        <f t="shared" si="21"/>
        <v>0</v>
      </c>
      <c r="W45" s="116">
        <f t="shared" si="21"/>
        <v>0</v>
      </c>
      <c r="X45" s="116">
        <f t="shared" si="21"/>
        <v>0</v>
      </c>
      <c r="Y45" s="116">
        <f t="shared" si="21"/>
        <v>0</v>
      </c>
      <c r="Z45" s="116">
        <f t="shared" si="21"/>
        <v>0</v>
      </c>
      <c r="AA45" s="116">
        <f t="shared" si="21"/>
        <v>0</v>
      </c>
      <c r="AB45" s="76"/>
    </row>
    <row r="46" spans="1:28" ht="37.5">
      <c r="A46" s="3"/>
      <c r="B46" s="3"/>
      <c r="C46" s="540"/>
      <c r="D46" s="76"/>
      <c r="E46" s="6"/>
      <c r="F46" s="3"/>
      <c r="G46" s="76"/>
      <c r="H46" s="3"/>
      <c r="I46" s="248"/>
      <c r="K46" s="234"/>
      <c r="L46" s="3"/>
      <c r="M46" s="33" t="s">
        <v>69</v>
      </c>
      <c r="N46" s="248">
        <f>SUM($K$43:$K$45)*'Этап 2 - Потребление энергии'!$H$17/100</f>
        <v>0</v>
      </c>
      <c r="O46" s="3"/>
      <c r="P46" s="117">
        <v>0.9</v>
      </c>
      <c r="Q46" s="117"/>
      <c r="R46" s="118"/>
      <c r="S46" s="118"/>
      <c r="T46" s="117"/>
      <c r="U46" s="117">
        <v>0.1</v>
      </c>
      <c r="V46" s="116">
        <f t="shared" si="21"/>
        <v>0</v>
      </c>
      <c r="W46" s="116">
        <f t="shared" si="21"/>
        <v>0</v>
      </c>
      <c r="X46" s="116">
        <f t="shared" si="21"/>
        <v>0</v>
      </c>
      <c r="Y46" s="116">
        <f t="shared" si="21"/>
        <v>0</v>
      </c>
      <c r="Z46" s="116">
        <f t="shared" si="21"/>
        <v>0</v>
      </c>
      <c r="AA46" s="116">
        <f t="shared" si="21"/>
        <v>0</v>
      </c>
      <c r="AB46" s="76"/>
    </row>
    <row r="47" spans="1:28" ht="25">
      <c r="A47" s="3"/>
      <c r="B47" s="3"/>
      <c r="C47" s="540"/>
      <c r="D47" s="76"/>
      <c r="E47" s="6"/>
      <c r="F47" s="3"/>
      <c r="G47" s="76"/>
      <c r="H47" s="3"/>
      <c r="I47" s="248"/>
      <c r="K47" s="234"/>
      <c r="L47" s="3"/>
      <c r="M47" s="623" t="s">
        <v>735</v>
      </c>
      <c r="N47" s="248">
        <f>SUM($K$43:$K$45)*'Этап 2 - Потребление энергии'!$I$17/100</f>
        <v>0</v>
      </c>
      <c r="O47" s="3"/>
      <c r="P47" s="117">
        <v>0.5</v>
      </c>
      <c r="Q47" s="117"/>
      <c r="R47" s="118"/>
      <c r="S47" s="118"/>
      <c r="T47" s="117"/>
      <c r="U47" s="117">
        <v>0.5</v>
      </c>
      <c r="V47" s="116">
        <f t="shared" ref="V47:AA47" si="22">$N47*P47</f>
        <v>0</v>
      </c>
      <c r="W47" s="116">
        <f t="shared" si="22"/>
        <v>0</v>
      </c>
      <c r="X47" s="116">
        <f t="shared" si="22"/>
        <v>0</v>
      </c>
      <c r="Y47" s="116">
        <f t="shared" si="22"/>
        <v>0</v>
      </c>
      <c r="Z47" s="116">
        <f t="shared" si="22"/>
        <v>0</v>
      </c>
      <c r="AA47" s="116">
        <f t="shared" si="22"/>
        <v>0</v>
      </c>
      <c r="AB47" s="76"/>
    </row>
    <row r="48" spans="1:28" s="55" customFormat="1" ht="13">
      <c r="A48" s="104"/>
      <c r="B48" s="104"/>
      <c r="C48" s="105"/>
      <c r="D48" s="76"/>
      <c r="E48" s="106"/>
      <c r="F48" s="104"/>
      <c r="G48" s="76"/>
      <c r="H48" s="104"/>
      <c r="I48" s="248"/>
      <c r="K48" s="234"/>
      <c r="L48" s="104"/>
      <c r="M48" s="107"/>
      <c r="N48" s="248"/>
      <c r="O48" s="104"/>
      <c r="P48" s="117"/>
      <c r="Q48" s="117"/>
      <c r="R48" s="118"/>
      <c r="S48" s="118"/>
      <c r="T48" s="117"/>
      <c r="U48" s="76"/>
      <c r="V48" s="116"/>
      <c r="W48" s="116"/>
      <c r="X48" s="116"/>
      <c r="Y48" s="116"/>
      <c r="Z48" s="116"/>
      <c r="AA48" s="116"/>
      <c r="AB48" s="76"/>
    </row>
    <row r="49" spans="1:28" ht="26">
      <c r="A49" s="3"/>
      <c r="B49" s="3" t="s">
        <v>71</v>
      </c>
      <c r="C49" s="12" t="s">
        <v>72</v>
      </c>
      <c r="D49" s="111"/>
      <c r="E49" s="6"/>
      <c r="F49" s="3"/>
      <c r="G49" s="76"/>
      <c r="H49" s="3"/>
      <c r="I49" s="248"/>
      <c r="K49" s="361"/>
      <c r="L49" s="3"/>
      <c r="M49" s="33"/>
      <c r="N49" s="248"/>
      <c r="O49" s="3"/>
      <c r="P49" s="117"/>
      <c r="Q49" s="117"/>
      <c r="R49" s="118"/>
      <c r="S49" s="118"/>
      <c r="T49" s="117"/>
      <c r="U49" s="76"/>
      <c r="V49" s="114">
        <f t="shared" ref="V49:AA49" si="23">SUM(V50,V51)</f>
        <v>0</v>
      </c>
      <c r="W49" s="114">
        <f t="shared" si="23"/>
        <v>0</v>
      </c>
      <c r="X49" s="114">
        <f t="shared" si="23"/>
        <v>0</v>
      </c>
      <c r="Y49" s="114">
        <f t="shared" si="23"/>
        <v>0</v>
      </c>
      <c r="Z49" s="114">
        <f t="shared" si="23"/>
        <v>0</v>
      </c>
      <c r="AA49" s="114">
        <f t="shared" si="23"/>
        <v>0</v>
      </c>
      <c r="AB49" s="76"/>
    </row>
    <row r="50" spans="1:28" ht="25.5">
      <c r="A50" s="3"/>
      <c r="B50" s="3"/>
      <c r="C50" s="12" t="s">
        <v>103</v>
      </c>
      <c r="D50" s="111"/>
      <c r="E50" s="6" t="s">
        <v>75</v>
      </c>
      <c r="F50" s="3" t="s">
        <v>76</v>
      </c>
      <c r="G50" s="76">
        <v>100</v>
      </c>
      <c r="H50" s="3" t="s">
        <v>76</v>
      </c>
      <c r="I50" s="248">
        <f>'Этап 2 - Потребление энергии'!C26</f>
        <v>0</v>
      </c>
      <c r="J50" t="s">
        <v>73</v>
      </c>
      <c r="K50" s="237">
        <f>G50*I50/1000000000</f>
        <v>0</v>
      </c>
      <c r="L50" s="3" t="s">
        <v>36</v>
      </c>
      <c r="M50" s="33" t="s">
        <v>420</v>
      </c>
      <c r="N50" s="248">
        <f>$K$50*'Этап 2 - Потребление энергии'!$G$28/100</f>
        <v>0</v>
      </c>
      <c r="O50" s="3"/>
      <c r="P50" s="117">
        <v>0.2</v>
      </c>
      <c r="Q50" s="117">
        <v>0.2</v>
      </c>
      <c r="R50" s="117"/>
      <c r="S50" s="117">
        <v>0.5</v>
      </c>
      <c r="T50" s="117"/>
      <c r="U50" s="117">
        <v>0.1</v>
      </c>
      <c r="V50" s="116">
        <f>$N50*P50</f>
        <v>0</v>
      </c>
      <c r="W50" s="116">
        <f t="shared" ref="V50:AA53" si="24">$N50*Q50</f>
        <v>0</v>
      </c>
      <c r="X50" s="116">
        <f t="shared" si="24"/>
        <v>0</v>
      </c>
      <c r="Y50" s="116">
        <f t="shared" si="24"/>
        <v>0</v>
      </c>
      <c r="Z50" s="116">
        <f t="shared" si="24"/>
        <v>0</v>
      </c>
      <c r="AA50" s="116">
        <f t="shared" si="24"/>
        <v>0</v>
      </c>
      <c r="AB50" s="76"/>
    </row>
    <row r="51" spans="1:28" ht="25.5">
      <c r="A51" s="3"/>
      <c r="B51" s="3"/>
      <c r="C51" s="12"/>
      <c r="D51" s="111"/>
      <c r="E51" s="6"/>
      <c r="F51" s="3"/>
      <c r="G51" s="76"/>
      <c r="H51" s="3"/>
      <c r="I51" s="248"/>
      <c r="K51" s="237"/>
      <c r="L51" s="3"/>
      <c r="M51" s="33" t="s">
        <v>419</v>
      </c>
      <c r="N51" s="248">
        <f>$K$50*'Этап 2 - Потребление энергии'!$H$28/100</f>
        <v>0</v>
      </c>
      <c r="O51" s="3"/>
      <c r="P51" s="117">
        <v>0.1</v>
      </c>
      <c r="Q51" s="117">
        <v>0.2</v>
      </c>
      <c r="R51" s="117"/>
      <c r="S51" s="117">
        <v>0.1</v>
      </c>
      <c r="T51" s="117"/>
      <c r="U51" s="117">
        <v>0.6</v>
      </c>
      <c r="V51" s="116">
        <f t="shared" ref="V51:AA51" si="25">$N51*P51</f>
        <v>0</v>
      </c>
      <c r="W51" s="116">
        <f t="shared" si="25"/>
        <v>0</v>
      </c>
      <c r="X51" s="116">
        <f t="shared" si="25"/>
        <v>0</v>
      </c>
      <c r="Y51" s="116">
        <f t="shared" si="25"/>
        <v>0</v>
      </c>
      <c r="Z51" s="116">
        <f t="shared" si="25"/>
        <v>0</v>
      </c>
      <c r="AA51" s="116">
        <f t="shared" si="25"/>
        <v>0</v>
      </c>
      <c r="AB51" s="76"/>
    </row>
    <row r="52" spans="1:28" ht="26">
      <c r="A52" s="3"/>
      <c r="B52" s="3"/>
      <c r="C52" s="12" t="s">
        <v>104</v>
      </c>
      <c r="D52" s="111"/>
      <c r="E52" s="6" t="s">
        <v>75</v>
      </c>
      <c r="F52" s="3" t="s">
        <v>76</v>
      </c>
      <c r="G52" s="76">
        <v>100</v>
      </c>
      <c r="H52" s="3" t="s">
        <v>76</v>
      </c>
      <c r="I52" s="248">
        <f>'Этап 2 - Потребление энергии'!C18</f>
        <v>0</v>
      </c>
      <c r="J52" t="s">
        <v>73</v>
      </c>
      <c r="K52" s="237">
        <f>G52/1000000000*I52</f>
        <v>0</v>
      </c>
      <c r="L52" s="3" t="s">
        <v>36</v>
      </c>
      <c r="M52" s="34"/>
      <c r="N52" s="248">
        <f>K52</f>
        <v>0</v>
      </c>
      <c r="O52" s="3"/>
      <c r="P52" s="117">
        <v>1</v>
      </c>
      <c r="Q52" s="117"/>
      <c r="R52" s="118"/>
      <c r="S52" s="118"/>
      <c r="T52" s="117"/>
      <c r="U52" s="76"/>
      <c r="V52" s="116">
        <f t="shared" si="24"/>
        <v>0</v>
      </c>
      <c r="W52" s="116">
        <f t="shared" si="24"/>
        <v>0</v>
      </c>
      <c r="X52" s="116">
        <f t="shared" si="24"/>
        <v>0</v>
      </c>
      <c r="Y52" s="116">
        <f t="shared" si="24"/>
        <v>0</v>
      </c>
      <c r="Z52" s="116">
        <f t="shared" si="24"/>
        <v>0</v>
      </c>
      <c r="AA52" s="116">
        <f t="shared" si="24"/>
        <v>0</v>
      </c>
      <c r="AB52" s="76"/>
    </row>
    <row r="53" spans="1:28" ht="26">
      <c r="A53" s="3"/>
      <c r="B53" s="3"/>
      <c r="C53" s="12" t="s">
        <v>105</v>
      </c>
      <c r="D53" s="111"/>
      <c r="E53" s="6" t="s">
        <v>74</v>
      </c>
      <c r="F53" s="3" t="s">
        <v>76</v>
      </c>
      <c r="G53" s="76">
        <v>0.22</v>
      </c>
      <c r="H53" s="3" t="s">
        <v>76</v>
      </c>
      <c r="I53" s="248">
        <f>'Этап 2 - Потребление энергии'!C19</f>
        <v>0</v>
      </c>
      <c r="J53" t="s">
        <v>73</v>
      </c>
      <c r="K53" s="237">
        <f>G53/1000000000*I53</f>
        <v>0</v>
      </c>
      <c r="L53" s="3" t="s">
        <v>36</v>
      </c>
      <c r="M53" s="15"/>
      <c r="N53" s="447">
        <f>K53</f>
        <v>0</v>
      </c>
      <c r="O53" s="3"/>
      <c r="P53" s="117">
        <v>1</v>
      </c>
      <c r="Q53" s="117"/>
      <c r="R53" s="118"/>
      <c r="S53" s="118"/>
      <c r="T53" s="117"/>
      <c r="U53" s="76"/>
      <c r="V53" s="116">
        <f t="shared" si="24"/>
        <v>0</v>
      </c>
      <c r="W53" s="116">
        <f t="shared" si="24"/>
        <v>0</v>
      </c>
      <c r="X53" s="116">
        <f t="shared" si="24"/>
        <v>0</v>
      </c>
      <c r="Y53" s="116">
        <f t="shared" si="24"/>
        <v>0</v>
      </c>
      <c r="Z53" s="116">
        <f t="shared" si="24"/>
        <v>0</v>
      </c>
      <c r="AA53" s="116">
        <f t="shared" si="24"/>
        <v>0</v>
      </c>
      <c r="AB53" s="76"/>
    </row>
    <row r="54" spans="1:28" ht="13">
      <c r="A54" s="3"/>
      <c r="B54" s="3"/>
      <c r="C54" s="9"/>
      <c r="D54" s="76"/>
      <c r="E54" s="6"/>
      <c r="F54" s="3"/>
      <c r="G54" s="76"/>
      <c r="H54" s="3"/>
      <c r="I54" s="248"/>
      <c r="K54" s="238"/>
      <c r="L54" s="3"/>
      <c r="M54" s="15"/>
      <c r="N54" s="248"/>
      <c r="O54" s="3"/>
      <c r="P54" s="117"/>
      <c r="Q54" s="117"/>
      <c r="R54" s="118"/>
      <c r="S54" s="118"/>
      <c r="T54" s="117"/>
      <c r="U54" s="76"/>
      <c r="V54" s="116"/>
      <c r="W54" s="116"/>
      <c r="X54" s="116"/>
      <c r="Y54" s="116"/>
      <c r="Z54" s="116"/>
      <c r="AA54" s="116"/>
      <c r="AB54" s="76"/>
    </row>
    <row r="55" spans="1:28" s="55" customFormat="1" ht="13">
      <c r="A55" s="104"/>
      <c r="B55" s="104"/>
      <c r="C55" s="105"/>
      <c r="D55" s="76"/>
      <c r="E55" s="106"/>
      <c r="F55" s="104"/>
      <c r="G55" s="76"/>
      <c r="H55" s="104"/>
      <c r="I55" s="248"/>
      <c r="K55" s="238"/>
      <c r="L55" s="104"/>
      <c r="M55" s="107"/>
      <c r="N55" s="248"/>
      <c r="O55" s="104"/>
      <c r="P55" s="117"/>
      <c r="Q55" s="117"/>
      <c r="R55" s="118"/>
      <c r="S55" s="118"/>
      <c r="T55" s="117"/>
      <c r="U55" s="76"/>
      <c r="V55" s="116"/>
      <c r="W55" s="116"/>
      <c r="X55" s="116"/>
      <c r="Y55" s="116"/>
      <c r="Z55" s="116"/>
      <c r="AA55" s="116"/>
      <c r="AB55" s="76"/>
    </row>
    <row r="56" spans="1:28" ht="26">
      <c r="A56" s="3"/>
      <c r="B56" s="3" t="s">
        <v>77</v>
      </c>
      <c r="C56" s="12" t="s">
        <v>78</v>
      </c>
      <c r="D56" s="111"/>
      <c r="E56" s="6"/>
      <c r="F56" s="3"/>
      <c r="G56" s="76"/>
      <c r="H56" s="3"/>
      <c r="I56" s="248"/>
      <c r="K56" s="236"/>
      <c r="L56" s="3"/>
      <c r="M56" s="33"/>
      <c r="N56" s="248"/>
      <c r="O56" s="3"/>
      <c r="P56" s="117"/>
      <c r="Q56" s="117"/>
      <c r="R56" s="118"/>
      <c r="S56" s="118"/>
      <c r="T56" s="117"/>
      <c r="U56" s="76"/>
      <c r="V56" s="114">
        <f t="shared" ref="V56:AA56" si="26">SUM(V57:V58)</f>
        <v>0</v>
      </c>
      <c r="W56" s="114">
        <f t="shared" si="26"/>
        <v>0</v>
      </c>
      <c r="X56" s="114">
        <f t="shared" si="26"/>
        <v>0</v>
      </c>
      <c r="Y56" s="114">
        <f t="shared" si="26"/>
        <v>0</v>
      </c>
      <c r="Z56" s="114">
        <f t="shared" si="26"/>
        <v>0</v>
      </c>
      <c r="AA56" s="114">
        <f t="shared" si="26"/>
        <v>0</v>
      </c>
      <c r="AB56" s="76"/>
    </row>
    <row r="57" spans="1:28" ht="13">
      <c r="A57" s="3"/>
      <c r="B57" s="3"/>
      <c r="C57" s="12" t="s">
        <v>85</v>
      </c>
      <c r="D57" s="111"/>
      <c r="E57" s="11" t="s">
        <v>84</v>
      </c>
      <c r="F57" s="3" t="s">
        <v>346</v>
      </c>
      <c r="G57" s="76">
        <v>117</v>
      </c>
      <c r="H57" s="3" t="s">
        <v>346</v>
      </c>
      <c r="I57" s="248"/>
      <c r="J57" t="s">
        <v>325</v>
      </c>
      <c r="K57" s="238">
        <f>G57/1000*I57</f>
        <v>0</v>
      </c>
      <c r="L57" s="3" t="s">
        <v>36</v>
      </c>
      <c r="M57" s="33"/>
      <c r="N57" s="248"/>
      <c r="O57" s="3"/>
      <c r="P57" s="117">
        <v>1</v>
      </c>
      <c r="Q57" s="117"/>
      <c r="R57" s="118"/>
      <c r="S57" s="118"/>
      <c r="T57" s="117"/>
      <c r="U57" s="76"/>
      <c r="V57" s="116">
        <f t="shared" ref="V57:AA58" si="27">$N57*P57</f>
        <v>0</v>
      </c>
      <c r="W57" s="116">
        <f t="shared" si="27"/>
        <v>0</v>
      </c>
      <c r="X57" s="116">
        <f t="shared" si="27"/>
        <v>0</v>
      </c>
      <c r="Y57" s="116">
        <f t="shared" si="27"/>
        <v>0</v>
      </c>
      <c r="Z57" s="116">
        <f t="shared" si="27"/>
        <v>0</v>
      </c>
      <c r="AA57" s="116">
        <f t="shared" si="27"/>
        <v>0</v>
      </c>
      <c r="AB57" s="76"/>
    </row>
    <row r="58" spans="1:28" ht="13">
      <c r="C58" s="26" t="s">
        <v>79</v>
      </c>
      <c r="D58" s="111"/>
      <c r="F58" s="3"/>
      <c r="G58" s="76" t="s">
        <v>43</v>
      </c>
      <c r="H58" t="s">
        <v>43</v>
      </c>
      <c r="I58" s="247"/>
      <c r="J58" t="s">
        <v>326</v>
      </c>
      <c r="K58" s="234" t="s">
        <v>43</v>
      </c>
      <c r="L58" s="3" t="s">
        <v>36</v>
      </c>
      <c r="M58" s="33"/>
      <c r="N58" s="248"/>
      <c r="O58" s="3"/>
      <c r="P58" s="117">
        <v>1</v>
      </c>
      <c r="Q58" s="117"/>
      <c r="R58" s="118"/>
      <c r="S58" s="118"/>
      <c r="T58" s="117"/>
      <c r="U58" s="76"/>
      <c r="V58" s="116">
        <f t="shared" si="27"/>
        <v>0</v>
      </c>
      <c r="W58" s="116">
        <f t="shared" si="27"/>
        <v>0</v>
      </c>
      <c r="X58" s="116">
        <f t="shared" si="27"/>
        <v>0</v>
      </c>
      <c r="Y58" s="116">
        <f t="shared" si="27"/>
        <v>0</v>
      </c>
      <c r="Z58" s="116">
        <f t="shared" si="27"/>
        <v>0</v>
      </c>
      <c r="AA58" s="116">
        <f t="shared" si="27"/>
        <v>0</v>
      </c>
      <c r="AB58" s="76"/>
    </row>
    <row r="59" spans="1:28" ht="26">
      <c r="C59" s="26" t="s">
        <v>86</v>
      </c>
      <c r="D59" s="111"/>
      <c r="G59" s="76"/>
      <c r="I59" s="247"/>
      <c r="K59" s="234"/>
      <c r="M59" s="32"/>
      <c r="N59" s="248"/>
      <c r="O59" s="3"/>
      <c r="P59" s="76">
        <v>1</v>
      </c>
      <c r="Q59" s="76"/>
      <c r="R59" s="76"/>
      <c r="S59" s="76"/>
      <c r="T59" s="76"/>
      <c r="U59" s="76"/>
      <c r="V59" s="58"/>
      <c r="W59" s="58"/>
      <c r="X59" s="58"/>
      <c r="Y59" s="58"/>
      <c r="Z59" s="58"/>
      <c r="AA59" s="58"/>
      <c r="AB59" s="76"/>
    </row>
    <row r="60" spans="1:28" ht="13">
      <c r="C60" s="332"/>
      <c r="D60" s="76"/>
      <c r="G60" s="76"/>
      <c r="I60" s="247"/>
      <c r="K60" s="234"/>
      <c r="M60" s="32"/>
      <c r="N60" s="248"/>
      <c r="O60" s="3"/>
      <c r="P60" s="76"/>
      <c r="Q60" s="76"/>
      <c r="R60" s="76"/>
      <c r="S60" s="76"/>
      <c r="T60" s="76"/>
      <c r="U60" s="76"/>
      <c r="V60" s="58"/>
      <c r="W60" s="58"/>
      <c r="X60" s="58"/>
      <c r="Y60" s="58"/>
      <c r="Z60" s="58"/>
      <c r="AA60" s="58"/>
      <c r="AB60" s="76"/>
    </row>
    <row r="61" spans="1:28" s="55" customFormat="1" ht="13">
      <c r="C61" s="105"/>
      <c r="D61" s="76"/>
      <c r="G61" s="76"/>
      <c r="I61" s="247"/>
      <c r="K61" s="234"/>
      <c r="M61" s="108"/>
      <c r="N61" s="248"/>
      <c r="O61" s="104"/>
      <c r="P61" s="76"/>
      <c r="Q61" s="76"/>
      <c r="R61" s="76"/>
      <c r="S61" s="76"/>
      <c r="T61" s="76"/>
      <c r="U61" s="76"/>
      <c r="V61" s="58"/>
      <c r="W61" s="58"/>
      <c r="X61" s="58"/>
      <c r="Y61" s="58"/>
      <c r="Z61" s="58"/>
      <c r="AA61" s="58"/>
      <c r="AB61" s="76"/>
    </row>
    <row r="62" spans="1:28" ht="26">
      <c r="B62" t="s">
        <v>80</v>
      </c>
      <c r="C62" s="12" t="s">
        <v>81</v>
      </c>
      <c r="D62" s="111"/>
      <c r="E62" s="3" t="s">
        <v>418</v>
      </c>
      <c r="F62" s="3" t="s">
        <v>417</v>
      </c>
      <c r="G62" s="281">
        <v>0.03</v>
      </c>
      <c r="H62" s="3" t="s">
        <v>417</v>
      </c>
      <c r="I62" s="248">
        <f>'Этап 2 - Потребление энергии'!C20</f>
        <v>0</v>
      </c>
      <c r="J62" s="3" t="s">
        <v>381</v>
      </c>
      <c r="K62" s="234">
        <f>I62*G62/1000</f>
        <v>0</v>
      </c>
      <c r="L62" s="3" t="s">
        <v>36</v>
      </c>
      <c r="M62" s="32"/>
      <c r="N62" s="248">
        <f>K62</f>
        <v>0</v>
      </c>
      <c r="O62" s="3"/>
      <c r="P62" s="76">
        <v>1</v>
      </c>
      <c r="Q62" s="76"/>
      <c r="R62" s="76"/>
      <c r="S62" s="76"/>
      <c r="T62" s="76"/>
      <c r="U62" s="76"/>
      <c r="V62" s="114">
        <f t="shared" ref="V62:AA62" si="28">$N62*P62</f>
        <v>0</v>
      </c>
      <c r="W62" s="114">
        <f t="shared" si="28"/>
        <v>0</v>
      </c>
      <c r="X62" s="114">
        <f t="shared" si="28"/>
        <v>0</v>
      </c>
      <c r="Y62" s="114">
        <f t="shared" si="28"/>
        <v>0</v>
      </c>
      <c r="Z62" s="114">
        <f t="shared" si="28"/>
        <v>0</v>
      </c>
      <c r="AA62" s="114">
        <f t="shared" si="28"/>
        <v>0</v>
      </c>
      <c r="AB62" s="76"/>
    </row>
    <row r="63" spans="1:28" ht="13">
      <c r="C63" s="332" t="s">
        <v>379</v>
      </c>
      <c r="D63" s="76"/>
      <c r="E63" s="360" t="s">
        <v>433</v>
      </c>
      <c r="F63" s="3" t="s">
        <v>417</v>
      </c>
      <c r="G63" s="281">
        <v>0.12</v>
      </c>
      <c r="H63" s="3" t="s">
        <v>417</v>
      </c>
      <c r="I63" s="248">
        <f>'Этап 2 - Потребление энергии'!C21</f>
        <v>0</v>
      </c>
      <c r="J63" t="s">
        <v>382</v>
      </c>
      <c r="K63" s="234">
        <f>I63*G63/1000</f>
        <v>0</v>
      </c>
      <c r="L63" s="3" t="s">
        <v>36</v>
      </c>
      <c r="M63" s="32"/>
      <c r="N63" s="248">
        <f>K63</f>
        <v>0</v>
      </c>
      <c r="O63" s="3"/>
      <c r="P63" s="76">
        <v>1</v>
      </c>
      <c r="Q63" s="76"/>
      <c r="R63" s="76"/>
      <c r="S63" s="76"/>
      <c r="T63" s="76"/>
      <c r="U63" s="76"/>
      <c r="V63" s="114">
        <f t="shared" ref="V63:AA63" si="29">$N63*P63</f>
        <v>0</v>
      </c>
      <c r="W63" s="114">
        <f t="shared" si="29"/>
        <v>0</v>
      </c>
      <c r="X63" s="114">
        <f t="shared" si="29"/>
        <v>0</v>
      </c>
      <c r="Y63" s="114">
        <f t="shared" si="29"/>
        <v>0</v>
      </c>
      <c r="Z63" s="114">
        <f t="shared" si="29"/>
        <v>0</v>
      </c>
      <c r="AA63" s="114">
        <f t="shared" si="29"/>
        <v>0</v>
      </c>
      <c r="AB63" s="76"/>
    </row>
    <row r="64" spans="1:28" s="55" customFormat="1" ht="13">
      <c r="C64" s="105"/>
      <c r="D64" s="76"/>
      <c r="G64" s="76"/>
      <c r="I64" s="247"/>
      <c r="K64" s="234"/>
      <c r="M64" s="108"/>
      <c r="N64" s="248"/>
      <c r="O64" s="109"/>
      <c r="P64" s="76"/>
      <c r="Q64" s="76"/>
      <c r="R64" s="76"/>
      <c r="S64" s="76"/>
      <c r="T64" s="76"/>
      <c r="U64" s="76"/>
      <c r="V64" s="191"/>
      <c r="W64" s="191"/>
      <c r="X64" s="191"/>
      <c r="Y64" s="191"/>
      <c r="Z64" s="191"/>
      <c r="AA64" s="191"/>
      <c r="AB64" s="76"/>
    </row>
    <row r="65" spans="2:28" ht="26">
      <c r="B65" t="s">
        <v>82</v>
      </c>
      <c r="C65" s="26" t="s">
        <v>83</v>
      </c>
      <c r="D65" s="111"/>
      <c r="E65" t="s">
        <v>43</v>
      </c>
      <c r="F65" t="s">
        <v>43</v>
      </c>
      <c r="G65" s="76" t="s">
        <v>43</v>
      </c>
      <c r="H65" t="s">
        <v>43</v>
      </c>
      <c r="I65" s="247" t="s">
        <v>43</v>
      </c>
      <c r="J65" t="s">
        <v>43</v>
      </c>
      <c r="K65" s="234" t="s">
        <v>43</v>
      </c>
      <c r="L65" s="3" t="s">
        <v>36</v>
      </c>
      <c r="M65" s="32"/>
      <c r="N65" s="248"/>
      <c r="O65" s="3"/>
      <c r="P65" s="76">
        <v>1</v>
      </c>
      <c r="Q65" s="76"/>
      <c r="R65" s="76"/>
      <c r="S65" s="76"/>
      <c r="T65" s="76"/>
      <c r="U65" s="76"/>
      <c r="V65" s="114">
        <f t="shared" ref="V65:AA65" si="30">$N65*P65</f>
        <v>0</v>
      </c>
      <c r="W65" s="114">
        <f t="shared" si="30"/>
        <v>0</v>
      </c>
      <c r="X65" s="114">
        <f t="shared" si="30"/>
        <v>0</v>
      </c>
      <c r="Y65" s="114">
        <f t="shared" si="30"/>
        <v>0</v>
      </c>
      <c r="Z65" s="114">
        <f t="shared" si="30"/>
        <v>0</v>
      </c>
      <c r="AA65" s="114">
        <f t="shared" si="30"/>
        <v>0</v>
      </c>
      <c r="AB65" s="76"/>
    </row>
    <row r="66" spans="2:28" s="55" customFormat="1" ht="13">
      <c r="C66" s="105"/>
      <c r="D66" s="76"/>
      <c r="G66" s="76"/>
      <c r="I66" s="247"/>
      <c r="K66" s="235"/>
      <c r="M66" s="110"/>
      <c r="N66" s="248"/>
      <c r="O66" s="104"/>
      <c r="P66" s="76"/>
      <c r="Q66" s="76"/>
      <c r="R66" s="76"/>
      <c r="S66" s="76"/>
      <c r="T66" s="76"/>
      <c r="U66" s="76"/>
      <c r="V66" s="58"/>
      <c r="W66" s="58"/>
      <c r="X66" s="58"/>
      <c r="Y66" s="58"/>
      <c r="Z66" s="58"/>
      <c r="AA66" s="58"/>
      <c r="AB66" s="76"/>
    </row>
    <row r="67" spans="2:28" s="3" customFormat="1">
      <c r="I67" s="239"/>
      <c r="K67" s="239"/>
      <c r="M67" s="63"/>
      <c r="N67" s="239"/>
    </row>
    <row r="68" spans="2:28" s="3" customFormat="1" ht="13">
      <c r="I68" s="239"/>
      <c r="K68" s="239"/>
      <c r="M68" s="64"/>
      <c r="N68" s="239"/>
    </row>
    <row r="69" spans="2:28" s="3" customFormat="1" ht="13">
      <c r="C69" s="7" t="s">
        <v>56</v>
      </c>
      <c r="D69" s="3" t="s">
        <v>356</v>
      </c>
      <c r="I69" s="239"/>
      <c r="K69" s="239"/>
      <c r="M69" s="64"/>
      <c r="N69" s="249"/>
    </row>
    <row r="70" spans="2:28" s="3" customFormat="1" ht="13">
      <c r="C70" s="7"/>
      <c r="D70" s="36" t="s">
        <v>345</v>
      </c>
      <c r="I70" s="239"/>
      <c r="K70" s="239"/>
      <c r="M70" s="63"/>
      <c r="N70" s="239"/>
    </row>
    <row r="88" spans="10:10">
      <c r="J88">
        <f>16/127</f>
        <v>0.12598425196850394</v>
      </c>
    </row>
  </sheetData>
  <sheetProtection algorithmName="SHA-512" hashValue="GicKK+96hXEXpw7UOI3wPtI+90XpzLwA/uZmbF+M33wE8sXpOREp4s9//s9SYdafGexb6EXYugyjZx+VhotdsA==" saltValue="A64LGWc1N0swZGHLfQlAX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E74"/>
  <sheetViews>
    <sheetView zoomScale="70" zoomScaleNormal="70" workbookViewId="0">
      <selection activeCell="F42" sqref="F42"/>
    </sheetView>
  </sheetViews>
  <sheetFormatPr defaultColWidth="8.81640625" defaultRowHeight="12.5"/>
  <cols>
    <col min="1" max="1" width="4.81640625" customWidth="1"/>
    <col min="2" max="2" width="7.1796875" customWidth="1"/>
    <col min="3" max="3" width="56.453125" customWidth="1"/>
    <col min="4" max="4" width="9.1796875" style="44"/>
    <col min="5" max="5" width="12.6328125" customWidth="1"/>
    <col min="8" max="8" width="11" customWidth="1"/>
    <col min="10" max="10" width="22.36328125" customWidth="1"/>
    <col min="11" max="11" width="109.36328125" style="9" customWidth="1"/>
  </cols>
  <sheetData>
    <row r="1" spans="1:31" ht="18">
      <c r="A1" s="1" t="s">
        <v>34</v>
      </c>
      <c r="L1" s="48"/>
    </row>
    <row r="2" spans="1:31" ht="18">
      <c r="A2" s="1" t="s">
        <v>29</v>
      </c>
      <c r="L2" s="48"/>
    </row>
    <row r="3" spans="1:31">
      <c r="A3" t="s">
        <v>30</v>
      </c>
    </row>
    <row r="4" spans="1:31">
      <c r="A4" s="3"/>
      <c r="B4" s="2"/>
      <c r="C4" s="2"/>
    </row>
    <row r="5" spans="1:31">
      <c r="A5" t="s">
        <v>303</v>
      </c>
    </row>
    <row r="6" spans="1:31">
      <c r="A6" s="3"/>
      <c r="B6" s="2"/>
      <c r="C6" s="2"/>
    </row>
    <row r="7" spans="1:31">
      <c r="A7" s="6" t="s">
        <v>315</v>
      </c>
    </row>
    <row r="8" spans="1:31">
      <c r="A8" s="3"/>
      <c r="B8" s="2"/>
      <c r="C8" s="2"/>
    </row>
    <row r="9" spans="1:31" ht="26">
      <c r="A9" s="56" t="s">
        <v>52</v>
      </c>
      <c r="B9" s="56" t="s">
        <v>322</v>
      </c>
      <c r="C9" s="57" t="s">
        <v>314</v>
      </c>
      <c r="D9" s="215" t="s">
        <v>153</v>
      </c>
      <c r="E9" s="82" t="s">
        <v>54</v>
      </c>
      <c r="F9" s="80"/>
      <c r="G9" s="80"/>
      <c r="H9" s="81"/>
      <c r="I9" s="81"/>
      <c r="J9" s="83"/>
      <c r="K9" s="216" t="s">
        <v>87</v>
      </c>
    </row>
    <row r="10" spans="1:31" ht="38.25" customHeight="1">
      <c r="A10" s="58"/>
      <c r="B10" s="58"/>
      <c r="C10" s="58"/>
      <c r="D10" s="77"/>
      <c r="E10" s="78" t="s">
        <v>38</v>
      </c>
      <c r="F10" s="78" t="s">
        <v>39</v>
      </c>
      <c r="G10" s="78" t="s">
        <v>40</v>
      </c>
      <c r="H10" s="79" t="s">
        <v>358</v>
      </c>
      <c r="I10" s="79" t="s">
        <v>42</v>
      </c>
      <c r="J10" s="79" t="s">
        <v>228</v>
      </c>
      <c r="K10" s="217"/>
      <c r="M10" s="48"/>
      <c r="N10" s="48"/>
      <c r="O10" s="48"/>
      <c r="P10" s="48"/>
      <c r="Q10" s="48"/>
      <c r="R10" s="48"/>
      <c r="S10" s="48"/>
      <c r="T10" s="48"/>
      <c r="U10" s="48"/>
      <c r="V10" s="48"/>
      <c r="W10" s="48"/>
      <c r="X10" s="48"/>
      <c r="Y10" s="48"/>
      <c r="Z10" s="48"/>
      <c r="AA10" s="48"/>
      <c r="AB10" s="48"/>
      <c r="AC10" s="48"/>
      <c r="AD10" s="48"/>
      <c r="AE10" s="48"/>
    </row>
    <row r="11" spans="1:31" ht="13">
      <c r="A11" s="57" t="str">
        <f>'5-1 Fuels'!A5</f>
        <v>5.1</v>
      </c>
      <c r="B11" s="57"/>
      <c r="C11" s="57" t="str">
        <f>'5-1 Fuels'!C5</f>
        <v>Source category: Extraction and use of fuels/energy sources</v>
      </c>
      <c r="D11" s="77"/>
      <c r="E11" s="77"/>
      <c r="F11" s="77"/>
      <c r="G11" s="77"/>
      <c r="H11" s="77"/>
      <c r="I11" s="77"/>
      <c r="J11" s="77"/>
      <c r="K11" s="217"/>
      <c r="M11" s="48"/>
      <c r="N11" s="48"/>
      <c r="O11" s="48"/>
      <c r="P11" s="48"/>
      <c r="Q11" s="48"/>
      <c r="R11" s="48"/>
      <c r="S11" s="48"/>
      <c r="T11" s="48"/>
      <c r="U11" s="48"/>
      <c r="V11" s="48"/>
      <c r="W11" s="48"/>
      <c r="X11" s="48"/>
      <c r="Y11" s="48"/>
      <c r="Z11" s="48"/>
      <c r="AA11" s="48"/>
      <c r="AB11" s="48"/>
      <c r="AC11" s="48"/>
      <c r="AD11" s="48"/>
      <c r="AE11" s="48"/>
    </row>
    <row r="12" spans="1:31" ht="13">
      <c r="A12" s="57"/>
      <c r="B12" s="279" t="str">
        <f>'5-1 Fuels'!B6</f>
        <v>5.1.1</v>
      </c>
      <c r="C12" s="279" t="str">
        <f>'5-1 Fuels'!C6</f>
        <v>Coal combustion in large power plants</v>
      </c>
      <c r="D12" s="77">
        <f>'5-1 Fuels'!D6</f>
        <v>0</v>
      </c>
      <c r="E12" s="87">
        <f>'5-1 Fuels'!V6</f>
        <v>0</v>
      </c>
      <c r="F12" s="85">
        <f>'5-1 Fuels'!W6</f>
        <v>0</v>
      </c>
      <c r="G12" s="85">
        <f>'5-1 Fuels'!X6</f>
        <v>0</v>
      </c>
      <c r="H12" s="85">
        <f>'5-1 Fuels'!Y6</f>
        <v>0</v>
      </c>
      <c r="I12" s="87">
        <f>'5-1 Fuels'!Z6</f>
        <v>0</v>
      </c>
      <c r="J12" s="85">
        <f>'5-1 Fuels'!AA6</f>
        <v>0</v>
      </c>
      <c r="K12" s="217"/>
      <c r="M12" s="48"/>
      <c r="N12" s="48"/>
      <c r="O12" s="48"/>
      <c r="P12" s="48"/>
      <c r="Q12" s="48"/>
      <c r="R12" s="48"/>
      <c r="S12" s="48"/>
      <c r="T12" s="48"/>
      <c r="U12" s="48"/>
      <c r="V12" s="48"/>
      <c r="W12" s="48"/>
      <c r="X12" s="48"/>
      <c r="Y12" s="48"/>
      <c r="Z12" s="48"/>
      <c r="AA12" s="48"/>
      <c r="AB12" s="48"/>
      <c r="AC12" s="48"/>
      <c r="AD12" s="48"/>
      <c r="AE12" s="48"/>
    </row>
    <row r="13" spans="1:31" ht="13">
      <c r="A13" s="57"/>
      <c r="B13" s="279" t="str">
        <f>'5-1 Fuels'!B16</f>
        <v>5.1.2.1</v>
      </c>
      <c r="C13" s="279" t="str">
        <f>'5-1 Fuels'!C16</f>
        <v>Coal combustion in coal fired industrial boilers</v>
      </c>
      <c r="D13" s="77">
        <f>'5-1 Fuels'!D16</f>
        <v>0</v>
      </c>
      <c r="E13" s="85">
        <f>'5-1 Fuels'!V16</f>
        <v>0</v>
      </c>
      <c r="F13" s="85">
        <f>'5-1 Fuels'!W16</f>
        <v>0</v>
      </c>
      <c r="G13" s="85">
        <f>'5-1 Fuels'!X16</f>
        <v>0</v>
      </c>
      <c r="H13" s="85">
        <f>'5-1 Fuels'!Y16</f>
        <v>0</v>
      </c>
      <c r="I13" s="85">
        <f>'5-1 Fuels'!Z16</f>
        <v>0</v>
      </c>
      <c r="J13" s="85">
        <f>'5-1 Fuels'!AA16</f>
        <v>0</v>
      </c>
      <c r="K13" s="217"/>
      <c r="M13" s="48"/>
      <c r="N13" s="48"/>
      <c r="O13" s="48"/>
      <c r="P13" s="48"/>
      <c r="Q13" s="48"/>
      <c r="R13" s="48"/>
      <c r="S13" s="48"/>
      <c r="T13" s="48"/>
      <c r="U13" s="48"/>
      <c r="V13" s="48"/>
      <c r="W13" s="48"/>
      <c r="X13" s="48"/>
      <c r="Y13" s="48"/>
      <c r="Z13" s="48"/>
      <c r="AA13" s="48"/>
      <c r="AB13" s="48"/>
      <c r="AC13" s="48"/>
      <c r="AD13" s="48"/>
      <c r="AE13" s="48"/>
    </row>
    <row r="14" spans="1:31" ht="13">
      <c r="A14" s="57"/>
      <c r="B14" s="279" t="str">
        <f>'5-1 Fuels'!B34</f>
        <v>5.1.3</v>
      </c>
      <c r="C14" s="279" t="str">
        <f>'5-1 Fuels'!C34</f>
        <v>Mineral oils - extraction, refining and use</v>
      </c>
      <c r="D14" s="77">
        <f>'5-1 Fuels'!D34</f>
        <v>0</v>
      </c>
      <c r="E14" s="85">
        <f>'5-1 Fuels'!V34</f>
        <v>0</v>
      </c>
      <c r="F14" s="85">
        <f>'5-1 Fuels'!W34</f>
        <v>0</v>
      </c>
      <c r="G14" s="85">
        <f>'5-1 Fuels'!X34</f>
        <v>0</v>
      </c>
      <c r="H14" s="85">
        <f>'5-1 Fuels'!Y34</f>
        <v>0</v>
      </c>
      <c r="I14" s="85">
        <f>'5-1 Fuels'!Z34</f>
        <v>0</v>
      </c>
      <c r="J14" s="85">
        <f>'5-1 Fuels'!AA34</f>
        <v>0</v>
      </c>
      <c r="K14" s="217"/>
      <c r="M14" s="48"/>
      <c r="N14" s="48"/>
      <c r="O14" s="48"/>
      <c r="P14" s="48"/>
      <c r="Q14" s="48"/>
      <c r="R14" s="48"/>
      <c r="S14" s="48"/>
      <c r="T14" s="48"/>
      <c r="U14" s="48"/>
      <c r="V14" s="48"/>
      <c r="W14" s="48"/>
      <c r="X14" s="48"/>
      <c r="Y14" s="48"/>
      <c r="Z14" s="48"/>
      <c r="AA14" s="48"/>
      <c r="AB14" s="48"/>
      <c r="AC14" s="48"/>
      <c r="AD14" s="48"/>
      <c r="AE14" s="48"/>
    </row>
    <row r="15" spans="1:31" ht="13">
      <c r="A15" s="57"/>
      <c r="B15" s="279" t="str">
        <f>'5-1 Fuels'!B49</f>
        <v>5.1.4</v>
      </c>
      <c r="C15" s="279" t="str">
        <f>'5-1 Fuels'!C49</f>
        <v>Natural gas - extraction, refining and use</v>
      </c>
      <c r="D15" s="77">
        <f>'5-1 Fuels'!D49</f>
        <v>0</v>
      </c>
      <c r="E15" s="85">
        <f>'5-1 Fuels'!V49</f>
        <v>0</v>
      </c>
      <c r="F15" s="85">
        <f>'5-1 Fuels'!W49</f>
        <v>0</v>
      </c>
      <c r="G15" s="85">
        <f>'5-1 Fuels'!X49</f>
        <v>0</v>
      </c>
      <c r="H15" s="85">
        <f>'5-1 Fuels'!Y49</f>
        <v>0</v>
      </c>
      <c r="I15" s="85">
        <f>'5-1 Fuels'!Z49</f>
        <v>0</v>
      </c>
      <c r="J15" s="85">
        <f>'5-1 Fuels'!AA49</f>
        <v>0</v>
      </c>
      <c r="K15" s="217"/>
      <c r="M15" s="48"/>
      <c r="N15" s="48"/>
      <c r="O15" s="48"/>
      <c r="P15" s="48"/>
      <c r="Q15" s="48"/>
      <c r="R15" s="48"/>
      <c r="S15" s="48"/>
      <c r="T15" s="48"/>
      <c r="U15" s="48"/>
      <c r="V15" s="48"/>
      <c r="W15" s="48"/>
      <c r="X15" s="48"/>
      <c r="Y15" s="48"/>
      <c r="Z15" s="48"/>
      <c r="AA15" s="48"/>
      <c r="AB15" s="48"/>
      <c r="AC15" s="48"/>
      <c r="AD15" s="48"/>
      <c r="AE15" s="48"/>
    </row>
    <row r="16" spans="1:31" ht="13">
      <c r="A16" s="57"/>
      <c r="B16" s="279" t="str">
        <f>'5-1 Fuels'!B56</f>
        <v>5.1.5</v>
      </c>
      <c r="C16" s="279" t="str">
        <f>'5-1 Fuels'!C56</f>
        <v>Other fossil fuels - extraction and use</v>
      </c>
      <c r="D16" s="77">
        <f>'5-1 Fuels'!D56</f>
        <v>0</v>
      </c>
      <c r="E16" s="85">
        <f>'5-1 Fuels'!V56</f>
        <v>0</v>
      </c>
      <c r="F16" s="85">
        <f>'5-1 Fuels'!W56</f>
        <v>0</v>
      </c>
      <c r="G16" s="85">
        <f>'5-1 Fuels'!X56</f>
        <v>0</v>
      </c>
      <c r="H16" s="85">
        <f>'5-1 Fuels'!Y56</f>
        <v>0</v>
      </c>
      <c r="I16" s="85">
        <f>'5-1 Fuels'!Z56</f>
        <v>0</v>
      </c>
      <c r="J16" s="85">
        <f>'5-1 Fuels'!AA56</f>
        <v>0</v>
      </c>
      <c r="K16" s="217"/>
      <c r="M16" s="48"/>
      <c r="N16" s="48"/>
      <c r="O16" s="48"/>
      <c r="P16" s="48"/>
      <c r="Q16" s="48"/>
      <c r="R16" s="48"/>
      <c r="S16" s="48"/>
      <c r="T16" s="48"/>
      <c r="U16" s="48"/>
      <c r="V16" s="48"/>
      <c r="W16" s="48"/>
      <c r="X16" s="48"/>
      <c r="Y16" s="48"/>
      <c r="Z16" s="48"/>
      <c r="AA16" s="48"/>
      <c r="AB16" s="48"/>
      <c r="AC16" s="48"/>
      <c r="AD16" s="48"/>
      <c r="AE16" s="48"/>
    </row>
    <row r="17" spans="1:31" ht="13">
      <c r="A17" s="57"/>
      <c r="B17" s="279" t="str">
        <f>'5-1 Fuels'!B62</f>
        <v>5.1.6</v>
      </c>
      <c r="C17" s="279" t="str">
        <f>'5-1 Fuels'!C62</f>
        <v>Biomass fired power and heat production</v>
      </c>
      <c r="D17" s="77">
        <f>'5-1 Fuels'!D62</f>
        <v>0</v>
      </c>
      <c r="E17" s="85">
        <f>'5-1 Fuels'!V62</f>
        <v>0</v>
      </c>
      <c r="F17" s="85">
        <f>'5-1 Fuels'!W62</f>
        <v>0</v>
      </c>
      <c r="G17" s="85">
        <f>'5-1 Fuels'!X62</f>
        <v>0</v>
      </c>
      <c r="H17" s="85">
        <f>'5-1 Fuels'!Y62</f>
        <v>0</v>
      </c>
      <c r="I17" s="85">
        <f>'5-1 Fuels'!Z62</f>
        <v>0</v>
      </c>
      <c r="J17" s="85">
        <f>'5-1 Fuels'!AA62</f>
        <v>0</v>
      </c>
      <c r="K17" s="217"/>
      <c r="M17" s="48"/>
      <c r="N17" s="48"/>
      <c r="O17" s="48"/>
      <c r="P17" s="48"/>
      <c r="Q17" s="48"/>
      <c r="R17" s="48"/>
      <c r="S17" s="48"/>
      <c r="T17" s="48"/>
      <c r="U17" s="48"/>
      <c r="V17" s="48"/>
      <c r="W17" s="48"/>
      <c r="X17" s="48"/>
      <c r="Y17" s="48"/>
      <c r="Z17" s="48"/>
      <c r="AA17" s="48"/>
      <c r="AB17" s="48"/>
      <c r="AC17" s="48"/>
      <c r="AD17" s="48"/>
      <c r="AE17" s="48"/>
    </row>
    <row r="18" spans="1:31" s="55" customFormat="1" ht="13">
      <c r="A18" s="57"/>
      <c r="B18" s="279" t="str">
        <f>'5-1 Fuels'!B65</f>
        <v>5.1.7</v>
      </c>
      <c r="C18" s="279" t="str">
        <f>'5-1 Fuels'!C65</f>
        <v>Geothermal power production</v>
      </c>
      <c r="D18" s="77">
        <f>'5-1 Fuels'!D65</f>
        <v>0</v>
      </c>
      <c r="E18" s="85">
        <f>'5-1 Fuels'!V65</f>
        <v>0</v>
      </c>
      <c r="F18" s="85">
        <f>'5-1 Fuels'!W65</f>
        <v>0</v>
      </c>
      <c r="G18" s="85">
        <f>'5-1 Fuels'!X65</f>
        <v>0</v>
      </c>
      <c r="H18" s="85">
        <f>'5-1 Fuels'!Y65</f>
        <v>0</v>
      </c>
      <c r="I18" s="85">
        <f>'5-1 Fuels'!Z65</f>
        <v>0</v>
      </c>
      <c r="J18" s="85">
        <f>'5-1 Fuels'!AA65</f>
        <v>0</v>
      </c>
      <c r="K18" s="217"/>
      <c r="L18" s="13"/>
      <c r="M18" s="48"/>
      <c r="N18" s="48"/>
      <c r="O18" s="48"/>
      <c r="P18" s="48"/>
      <c r="Q18" s="48"/>
      <c r="R18" s="48"/>
      <c r="S18" s="48"/>
      <c r="T18" s="48"/>
      <c r="U18" s="48"/>
      <c r="V18" s="48"/>
      <c r="W18" s="48"/>
      <c r="X18" s="48"/>
      <c r="Y18" s="48"/>
      <c r="Z18" s="48"/>
      <c r="AA18" s="48"/>
      <c r="AB18" s="48"/>
      <c r="AC18" s="48"/>
      <c r="AD18" s="48"/>
      <c r="AE18" s="48"/>
    </row>
    <row r="19" spans="1:31" ht="13">
      <c r="A19" s="56" t="str">
        <f>'5-2 Prim metal'!A5</f>
        <v>5.2</v>
      </c>
      <c r="B19" s="56"/>
      <c r="C19" s="57" t="str">
        <f>'5-2 Prim metal'!C5</f>
        <v>Source category: Primary (virgin) metal production</v>
      </c>
      <c r="D19" s="77"/>
      <c r="E19" s="85"/>
      <c r="F19" s="85"/>
      <c r="G19" s="85"/>
      <c r="H19" s="85"/>
      <c r="I19" s="85"/>
      <c r="J19" s="85"/>
      <c r="K19" s="218"/>
      <c r="L19" s="13"/>
      <c r="M19" s="48"/>
      <c r="N19" s="48"/>
      <c r="O19" s="48"/>
      <c r="P19" s="48"/>
      <c r="Q19" s="48"/>
      <c r="R19" s="48"/>
      <c r="S19" s="48"/>
      <c r="T19" s="48"/>
      <c r="U19" s="48"/>
      <c r="V19" s="48"/>
      <c r="W19" s="48"/>
      <c r="X19" s="48"/>
      <c r="Y19" s="48"/>
      <c r="Z19" s="48"/>
      <c r="AA19" s="48"/>
      <c r="AB19" s="48"/>
      <c r="AC19" s="48"/>
      <c r="AD19" s="48"/>
      <c r="AE19" s="48"/>
    </row>
    <row r="20" spans="1:31" ht="13">
      <c r="A20" s="56"/>
      <c r="B20" s="113" t="str">
        <f>'5-2 Prim metal'!B6</f>
        <v>5.2.1</v>
      </c>
      <c r="C20" s="279" t="str">
        <f>'5-2 Prim metal'!C6</f>
        <v>Mercury (primary) extraction and initial processing</v>
      </c>
      <c r="D20" s="77">
        <f>'5-2 Prim metal'!D6</f>
        <v>0</v>
      </c>
      <c r="E20" s="85">
        <f>'5-2 Prim metal'!V6</f>
        <v>0</v>
      </c>
      <c r="F20" s="85">
        <f>'5-2 Prim metal'!W6</f>
        <v>0</v>
      </c>
      <c r="G20" s="85">
        <f>'5-2 Prim metal'!X6</f>
        <v>0</v>
      </c>
      <c r="H20" s="85">
        <f>'5-2 Prim metal'!Y6</f>
        <v>0</v>
      </c>
      <c r="I20" s="85">
        <f>'5-2 Prim metal'!Z6</f>
        <v>0</v>
      </c>
      <c r="J20" s="85">
        <f>'5-2 Prim metal'!AA6</f>
        <v>0</v>
      </c>
      <c r="K20" s="219"/>
    </row>
    <row r="21" spans="1:31" ht="13">
      <c r="A21" s="56"/>
      <c r="B21" s="113" t="str">
        <f>'5-2 Prim metal'!B8</f>
        <v>5.2.2</v>
      </c>
      <c r="C21" s="279" t="str">
        <f>'5-2 Prim metal'!C8</f>
        <v>Gold and silver extraction with mercury amalgamation processes</v>
      </c>
      <c r="D21" s="77">
        <f>'5-2 Prim metal'!D8</f>
        <v>0</v>
      </c>
      <c r="E21" s="85">
        <f>'5-2 Prim metal'!V8</f>
        <v>0</v>
      </c>
      <c r="F21" s="85">
        <f>'5-2 Prim metal'!W8</f>
        <v>0</v>
      </c>
      <c r="G21" s="85">
        <f>'5-2 Prim metal'!X8</f>
        <v>0</v>
      </c>
      <c r="H21" s="85">
        <f>'5-2 Prim metal'!Y8</f>
        <v>0</v>
      </c>
      <c r="I21" s="85">
        <f>'5-2 Prim metal'!Z8</f>
        <v>0</v>
      </c>
      <c r="J21" s="85">
        <f>'5-2 Prim metal'!AA8</f>
        <v>0</v>
      </c>
      <c r="K21" s="219"/>
    </row>
    <row r="22" spans="1:31" ht="13">
      <c r="A22" s="56"/>
      <c r="B22" s="113" t="str">
        <f>'5-2 Prim metal'!B14</f>
        <v>5.3.3</v>
      </c>
      <c r="C22" s="279" t="str">
        <f>'5-2 Prim metal'!C14</f>
        <v>Zinc extraction and initial processing</v>
      </c>
      <c r="D22" s="77">
        <f>'5-2 Prim metal'!D14</f>
        <v>0</v>
      </c>
      <c r="E22" s="85">
        <f>'5-2 Prim metal'!V14</f>
        <v>0</v>
      </c>
      <c r="F22" s="85">
        <f>'5-2 Prim metal'!W14</f>
        <v>0</v>
      </c>
      <c r="G22" s="85">
        <f>'5-2 Prim metal'!X14</f>
        <v>0</v>
      </c>
      <c r="H22" s="85">
        <f>'5-2 Prim metal'!Y14</f>
        <v>0</v>
      </c>
      <c r="I22" s="85">
        <f>'5-2 Prim metal'!Z14</f>
        <v>0</v>
      </c>
      <c r="J22" s="85">
        <f>'5-2 Prim metal'!AA14</f>
        <v>0</v>
      </c>
      <c r="K22" s="219"/>
    </row>
    <row r="23" spans="1:31" ht="13">
      <c r="A23" s="56"/>
      <c r="B23" s="113" t="str">
        <f>'5-2 Prim metal'!B21</f>
        <v>5.3.4</v>
      </c>
      <c r="C23" s="279" t="str">
        <f>'5-2 Prim metal'!C21</f>
        <v>Copper extraction and initial processing</v>
      </c>
      <c r="D23" s="77">
        <f>'5-2 Prim metal'!D21</f>
        <v>0</v>
      </c>
      <c r="E23" s="85">
        <f>'5-2 Prim metal'!V21</f>
        <v>0</v>
      </c>
      <c r="F23" s="85">
        <f>'5-2 Prim metal'!W21</f>
        <v>0</v>
      </c>
      <c r="G23" s="85">
        <f>'5-2 Prim metal'!X21</f>
        <v>0</v>
      </c>
      <c r="H23" s="85">
        <f>'5-2 Prim metal'!Y21</f>
        <v>0</v>
      </c>
      <c r="I23" s="85">
        <f>'5-2 Prim metal'!Z21</f>
        <v>0</v>
      </c>
      <c r="J23" s="85">
        <f>'5-2 Prim metal'!AA21</f>
        <v>0</v>
      </c>
      <c r="K23" s="219"/>
    </row>
    <row r="24" spans="1:31" ht="13">
      <c r="A24" s="56"/>
      <c r="B24" s="113" t="str">
        <f>'5-2 Prim metal'!B28</f>
        <v>5.3.5</v>
      </c>
      <c r="C24" s="279" t="str">
        <f>'5-2 Prim metal'!C28</f>
        <v>Lead extraction and initial processing</v>
      </c>
      <c r="D24" s="77">
        <f>'5-2 Prim metal'!D28</f>
        <v>0</v>
      </c>
      <c r="E24" s="85">
        <f>'5-2 Prim metal'!V28</f>
        <v>0</v>
      </c>
      <c r="F24" s="85">
        <f>'5-2 Prim metal'!W28</f>
        <v>0</v>
      </c>
      <c r="G24" s="85">
        <f>'5-2 Prim metal'!X28</f>
        <v>0</v>
      </c>
      <c r="H24" s="85">
        <f>'5-2 Prim metal'!Y28</f>
        <v>0</v>
      </c>
      <c r="I24" s="85">
        <f>'5-2 Prim metal'!Z28</f>
        <v>0</v>
      </c>
      <c r="J24" s="85">
        <f>'5-2 Prim metal'!AA28</f>
        <v>0</v>
      </c>
      <c r="K24" s="219"/>
    </row>
    <row r="25" spans="1:31" ht="25.5">
      <c r="A25" s="56"/>
      <c r="B25" s="113" t="str">
        <f>'5-2 Prim metal'!B35</f>
        <v>5.3.6</v>
      </c>
      <c r="C25" s="279" t="str">
        <f>'5-2 Prim metal'!C35</f>
        <v>Gold extraction and initial processing by methods other than mercury amalgamation (a</v>
      </c>
      <c r="D25" s="77">
        <f>'5-2 Prim metal'!D35</f>
        <v>0</v>
      </c>
      <c r="E25" s="85">
        <f>'5-2 Prim metal'!V35</f>
        <v>0</v>
      </c>
      <c r="F25" s="85">
        <f>'5-2 Prim metal'!W35</f>
        <v>0</v>
      </c>
      <c r="G25" s="85">
        <f>'5-2 Prim metal'!X35</f>
        <v>0</v>
      </c>
      <c r="H25" s="85">
        <f>'5-2 Prim metal'!Y35</f>
        <v>0</v>
      </c>
      <c r="I25" s="85">
        <f>'5-2 Prim metal'!Z35</f>
        <v>0</v>
      </c>
      <c r="J25" s="85">
        <f>'5-2 Prim metal'!AA35</f>
        <v>0</v>
      </c>
      <c r="K25" s="219"/>
    </row>
    <row r="26" spans="1:31" ht="13">
      <c r="A26" s="56"/>
      <c r="B26" s="113" t="str">
        <f>'5-2 Prim metal'!B37</f>
        <v>5.3.7</v>
      </c>
      <c r="C26" s="279" t="str">
        <f>'5-2 Prim metal'!C37</f>
        <v>Aliminium extraction and initial processing</v>
      </c>
      <c r="D26" s="77">
        <f>'5-2 Prim metal'!D37</f>
        <v>0</v>
      </c>
      <c r="E26" s="85">
        <f>'5-2 Prim metal'!V37</f>
        <v>0</v>
      </c>
      <c r="F26" s="85">
        <f>'5-2 Prim metal'!W37</f>
        <v>0</v>
      </c>
      <c r="G26" s="85">
        <f>'5-2 Prim metal'!X37</f>
        <v>0</v>
      </c>
      <c r="H26" s="85">
        <f>'5-2 Prim metal'!Y37</f>
        <v>0</v>
      </c>
      <c r="I26" s="85">
        <f>'5-2 Prim metal'!Z37</f>
        <v>0</v>
      </c>
      <c r="J26" s="85">
        <f>'5-2 Prim metal'!AA37</f>
        <v>0</v>
      </c>
      <c r="K26" s="219"/>
    </row>
    <row r="27" spans="1:31" ht="13">
      <c r="A27" s="56"/>
      <c r="B27" s="113" t="str">
        <f>'5-2 Prim metal'!B41</f>
        <v>5.3.8</v>
      </c>
      <c r="C27" s="279" t="str">
        <f>'5-2 Prim metal'!C41</f>
        <v>Other non-ferrous metals - extraction and processing</v>
      </c>
      <c r="D27" s="77">
        <f>'5-2 Prim metal'!D41</f>
        <v>0</v>
      </c>
      <c r="E27" s="85">
        <f>'5-2 Prim metal'!V41</f>
        <v>0</v>
      </c>
      <c r="F27" s="85">
        <f>'5-2 Prim metal'!W41</f>
        <v>0</v>
      </c>
      <c r="G27" s="85">
        <f>'5-2 Prim metal'!X41</f>
        <v>0</v>
      </c>
      <c r="H27" s="85">
        <f>'5-2 Prim metal'!Y41</f>
        <v>0</v>
      </c>
      <c r="I27" s="85">
        <f>'5-2 Prim metal'!Z41</f>
        <v>0</v>
      </c>
      <c r="J27" s="85">
        <f>'5-2 Prim metal'!AA41</f>
        <v>0</v>
      </c>
      <c r="K27" s="219"/>
    </row>
    <row r="28" spans="1:31" ht="13">
      <c r="A28" s="56"/>
      <c r="B28" s="113" t="str">
        <f>'5-2 Prim metal'!B43</f>
        <v>5.3.9</v>
      </c>
      <c r="C28" s="279" t="str">
        <f>'5-2 Prim metal'!C43</f>
        <v>Primary ferrous metal production</v>
      </c>
      <c r="D28" s="77">
        <f>'5-2 Prim metal'!D43</f>
        <v>0</v>
      </c>
      <c r="E28" s="85">
        <f>'5-2 Prim metal'!V43</f>
        <v>0</v>
      </c>
      <c r="F28" s="85">
        <f>'5-2 Prim metal'!W43</f>
        <v>0</v>
      </c>
      <c r="G28" s="85">
        <f>'5-2 Prim metal'!X43</f>
        <v>0</v>
      </c>
      <c r="H28" s="85">
        <f>'5-2 Prim metal'!Y43</f>
        <v>0</v>
      </c>
      <c r="I28" s="85">
        <f>'5-2 Prim metal'!Z43</f>
        <v>0</v>
      </c>
      <c r="J28" s="85">
        <f>'5-2 Prim metal'!AA43</f>
        <v>0</v>
      </c>
      <c r="K28" s="219"/>
    </row>
    <row r="29" spans="1:31" ht="26">
      <c r="A29" s="56" t="str">
        <f>'5-3 Other min + mat'!A5</f>
        <v>5.3</v>
      </c>
      <c r="B29" s="56"/>
      <c r="C29" s="57" t="str">
        <f>'5-3 Other min + mat'!C5</f>
        <v>Source category: Production of other minerals and materials with mercury impurities</v>
      </c>
      <c r="D29" s="77"/>
      <c r="E29" s="85"/>
      <c r="F29" s="85"/>
      <c r="G29" s="85"/>
      <c r="H29" s="85"/>
      <c r="I29" s="85"/>
      <c r="J29" s="85"/>
      <c r="K29" s="218"/>
    </row>
    <row r="30" spans="1:31" ht="13">
      <c r="A30" s="56"/>
      <c r="B30" s="113" t="str">
        <f>'5-3 Other min + mat'!B6</f>
        <v>5.3.1</v>
      </c>
      <c r="C30" s="279" t="str">
        <f>'5-3 Other min + mat'!C6</f>
        <v>Cement production</v>
      </c>
      <c r="D30" s="77">
        <f>'5-3 Other min + mat'!D6</f>
        <v>0</v>
      </c>
      <c r="E30" s="85">
        <f>'5-3 Other min + mat'!V6</f>
        <v>0</v>
      </c>
      <c r="F30" s="85">
        <f>'5-3 Other min + mat'!W6</f>
        <v>0</v>
      </c>
      <c r="G30" s="85">
        <f>'5-3 Other min + mat'!X6</f>
        <v>0</v>
      </c>
      <c r="H30" s="85">
        <f>'5-3 Other min + mat'!Y6</f>
        <v>0</v>
      </c>
      <c r="I30" s="85">
        <f>'5-3 Other min + mat'!Z6</f>
        <v>0</v>
      </c>
      <c r="J30" s="85">
        <f>'5-3 Other min + mat'!AA6</f>
        <v>0</v>
      </c>
      <c r="K30" s="218"/>
    </row>
    <row r="31" spans="1:31" ht="13">
      <c r="A31" s="56"/>
      <c r="B31" s="113" t="str">
        <f>'5-3 Other min + mat'!B31</f>
        <v>5.3.2</v>
      </c>
      <c r="C31" s="279" t="str">
        <f>'5-3 Other min + mat'!C31</f>
        <v>Pulp and paper production</v>
      </c>
      <c r="D31" s="77">
        <f>'5-3 Other min + mat'!D31</f>
        <v>0</v>
      </c>
      <c r="E31" s="85">
        <f>'5-3 Other min + mat'!V31</f>
        <v>0</v>
      </c>
      <c r="F31" s="85">
        <f>'5-3 Other min + mat'!W31</f>
        <v>0</v>
      </c>
      <c r="G31" s="85">
        <f>'5-3 Other min + mat'!X31</f>
        <v>0</v>
      </c>
      <c r="H31" s="85">
        <f>'5-3 Other min + mat'!Y31</f>
        <v>0</v>
      </c>
      <c r="I31" s="85">
        <f>'5-3 Other min + mat'!Z31</f>
        <v>0</v>
      </c>
      <c r="J31" s="85">
        <f>'5-3 Other min + mat'!AA31</f>
        <v>0</v>
      </c>
      <c r="K31" s="218"/>
    </row>
    <row r="32" spans="1:31" ht="13">
      <c r="A32" s="56"/>
      <c r="B32" s="113" t="str">
        <f>'5-3 Other min + mat'!B34</f>
        <v>5.3.3</v>
      </c>
      <c r="C32" s="279" t="str">
        <f>'5-3 Other min + mat'!C34</f>
        <v>Production of lime and light weight aggregates</v>
      </c>
      <c r="D32" s="77">
        <f>'5-3 Other min + mat'!D34</f>
        <v>0</v>
      </c>
      <c r="E32" s="85">
        <f>'5-3 Other min + mat'!V34</f>
        <v>0</v>
      </c>
      <c r="F32" s="85">
        <f>'5-3 Other min + mat'!W34</f>
        <v>0</v>
      </c>
      <c r="G32" s="85">
        <f>'5-3 Other min + mat'!X34</f>
        <v>0</v>
      </c>
      <c r="H32" s="85">
        <f>'5-3 Other min + mat'!Y34</f>
        <v>0</v>
      </c>
      <c r="I32" s="85">
        <f>'5-3 Other min + mat'!Z34</f>
        <v>0</v>
      </c>
      <c r="J32" s="85">
        <f>'5-3 Other min + mat'!AA34</f>
        <v>0</v>
      </c>
      <c r="K32" s="218"/>
    </row>
    <row r="33" spans="1:11" ht="26">
      <c r="A33" s="56" t="str">
        <f>'5-4 Int Hg in Industry'!A5</f>
        <v>5.4</v>
      </c>
      <c r="B33" s="56"/>
      <c r="C33" s="57" t="str">
        <f>'5-4 Int Hg in Industry'!C5</f>
        <v>Source category: Intentional use of mercury in industrial processes</v>
      </c>
      <c r="D33" s="77"/>
      <c r="E33" s="85"/>
      <c r="F33" s="85"/>
      <c r="G33" s="85"/>
      <c r="H33" s="85"/>
      <c r="I33" s="85"/>
      <c r="J33" s="85"/>
      <c r="K33" s="218"/>
    </row>
    <row r="34" spans="1:11" ht="13">
      <c r="A34" s="56"/>
      <c r="B34" s="113" t="str">
        <f>'5-4 Int Hg in Industry'!B6</f>
        <v>5.4.1</v>
      </c>
      <c r="C34" s="279" t="str">
        <f>'5-4 Int Hg in Industry'!C6</f>
        <v>Chlor-alkali production with mercury-technology</v>
      </c>
      <c r="D34" s="77">
        <f>'5-4 Int Hg in Industry'!D6</f>
        <v>0</v>
      </c>
      <c r="E34" s="85">
        <f>'5-4 Int Hg in Industry'!V6</f>
        <v>0</v>
      </c>
      <c r="F34" s="85">
        <f>'5-4 Int Hg in Industry'!W6</f>
        <v>0</v>
      </c>
      <c r="G34" s="85">
        <f>'5-4 Int Hg in Industry'!X6</f>
        <v>0</v>
      </c>
      <c r="H34" s="85">
        <f>'5-4 Int Hg in Industry'!Y6</f>
        <v>0</v>
      </c>
      <c r="I34" s="85">
        <f>'5-4 Int Hg in Industry'!Z6</f>
        <v>0</v>
      </c>
      <c r="J34" s="85">
        <f>'5-4 Int Hg in Industry'!AA6</f>
        <v>0</v>
      </c>
      <c r="K34" s="218"/>
    </row>
    <row r="35" spans="1:11" ht="13">
      <c r="A35" s="56"/>
      <c r="B35" s="113" t="str">
        <f>'5-4 Int Hg in Industry'!B10</f>
        <v>5.4.2</v>
      </c>
      <c r="C35" s="279" t="str">
        <f>'5-4 Int Hg in Industry'!C10</f>
        <v>VCM production with mercury catalyst</v>
      </c>
      <c r="D35" s="77">
        <f>'5-4 Int Hg in Industry'!D10</f>
        <v>0</v>
      </c>
      <c r="E35" s="85">
        <f>'5-4 Int Hg in Industry'!V10</f>
        <v>0</v>
      </c>
      <c r="F35" s="85">
        <f>'5-4 Int Hg in Industry'!W10</f>
        <v>0</v>
      </c>
      <c r="G35" s="85">
        <f>'5-4 Int Hg in Industry'!X10</f>
        <v>0</v>
      </c>
      <c r="H35" s="85">
        <f>'5-4 Int Hg in Industry'!Y10</f>
        <v>0</v>
      </c>
      <c r="I35" s="85">
        <f>'5-4 Int Hg in Industry'!Z10</f>
        <v>0</v>
      </c>
      <c r="J35" s="85">
        <f>'5-4 Int Hg in Industry'!AA10</f>
        <v>0</v>
      </c>
      <c r="K35" s="218"/>
    </row>
    <row r="36" spans="1:11" ht="13">
      <c r="A36" s="56"/>
      <c r="B36" s="113" t="str">
        <f>'5-4 Int Hg in Industry'!B12</f>
        <v>5.4.3</v>
      </c>
      <c r="C36" s="279" t="str">
        <f>'5-4 Int Hg in Industry'!C12</f>
        <v>Acetaldehyde production with mercury catalyst</v>
      </c>
      <c r="D36" s="77">
        <f>'5-4 Int Hg in Industry'!D12</f>
        <v>0</v>
      </c>
      <c r="E36" s="85">
        <f>'5-4 Int Hg in Industry'!V12</f>
        <v>0</v>
      </c>
      <c r="F36" s="85">
        <f>'5-4 Int Hg in Industry'!W12</f>
        <v>0</v>
      </c>
      <c r="G36" s="85">
        <f>'5-4 Int Hg in Industry'!X12</f>
        <v>0</v>
      </c>
      <c r="H36" s="85">
        <f>'5-4 Int Hg in Industry'!Y12</f>
        <v>0</v>
      </c>
      <c r="I36" s="85">
        <f>'5-4 Int Hg in Industry'!Z12</f>
        <v>0</v>
      </c>
      <c r="J36" s="85">
        <f>'5-4 Int Hg in Industry'!AA12</f>
        <v>0</v>
      </c>
      <c r="K36" s="218"/>
    </row>
    <row r="37" spans="1:11" ht="13">
      <c r="A37" s="56"/>
      <c r="B37" s="113" t="str">
        <f>'5-4 Int Hg in Industry'!B14</f>
        <v>5.4.4</v>
      </c>
      <c r="C37" s="279" t="str">
        <f>'5-4 Int Hg in Industry'!C14</f>
        <v>Other production of chemicals and polymers with mercury</v>
      </c>
      <c r="D37" s="77">
        <f>'5-4 Int Hg in Industry'!D14</f>
        <v>0</v>
      </c>
      <c r="E37" s="85" t="e">
        <f>'5-4 Int Hg in Industry'!V14</f>
        <v>#VALUE!</v>
      </c>
      <c r="F37" s="85" t="e">
        <f>'5-4 Int Hg in Industry'!W14</f>
        <v>#VALUE!</v>
      </c>
      <c r="G37" s="85" t="e">
        <f>'5-4 Int Hg in Industry'!X14</f>
        <v>#VALUE!</v>
      </c>
      <c r="H37" s="85" t="e">
        <f>'5-4 Int Hg in Industry'!Y14</f>
        <v>#VALUE!</v>
      </c>
      <c r="I37" s="85" t="e">
        <f>'5-4 Int Hg in Industry'!Z14</f>
        <v>#VALUE!</v>
      </c>
      <c r="J37" s="85" t="e">
        <f>'5-4 Int Hg in Industry'!AA14</f>
        <v>#VALUE!</v>
      </c>
      <c r="K37" s="218"/>
    </row>
    <row r="38" spans="1:11" ht="26">
      <c r="A38" s="57" t="str">
        <f>'5-5 Cons prod'!A5</f>
        <v>5.5</v>
      </c>
      <c r="B38" s="57"/>
      <c r="C38" s="57" t="str">
        <f>'5-5 Cons prod'!C5</f>
        <v>Source category: Consumer products with intentional use of mercury</v>
      </c>
      <c r="D38" s="77"/>
      <c r="E38" s="85"/>
      <c r="F38" s="85"/>
      <c r="G38" s="85"/>
      <c r="H38" s="86"/>
      <c r="I38" s="85"/>
      <c r="J38" s="85"/>
      <c r="K38" s="218"/>
    </row>
    <row r="39" spans="1:11" ht="13">
      <c r="A39" s="57"/>
      <c r="B39" s="279" t="str">
        <f>'5-5 Cons prod'!B6</f>
        <v>5.5.1</v>
      </c>
      <c r="C39" s="279" t="str">
        <f>'5-5 Cons prod'!C6</f>
        <v>Thermometers with mercury</v>
      </c>
      <c r="D39" s="77">
        <f>'5-5 Cons prod'!D6</f>
        <v>0</v>
      </c>
      <c r="E39" s="85">
        <f>'5-5 Cons prod'!V6</f>
        <v>0</v>
      </c>
      <c r="F39" s="85">
        <f>'5-5 Cons prod'!W6</f>
        <v>0</v>
      </c>
      <c r="G39" s="85">
        <f>'5-5 Cons prod'!X6</f>
        <v>0</v>
      </c>
      <c r="H39" s="86" t="s">
        <v>273</v>
      </c>
      <c r="I39" s="85">
        <f>'5-5 Cons prod'!Z6</f>
        <v>0</v>
      </c>
      <c r="J39" s="85">
        <f>'5-5 Cons prod'!AA6</f>
        <v>0</v>
      </c>
      <c r="K39" s="218"/>
    </row>
    <row r="40" spans="1:11" ht="13">
      <c r="A40" s="57"/>
      <c r="B40" s="279" t="str">
        <f>'5-5 Cons prod'!B18</f>
        <v>5.5.2</v>
      </c>
      <c r="C40" s="279" t="str">
        <f>'5-5 Cons prod'!C18</f>
        <v>Electrical switches and relays with mercury</v>
      </c>
      <c r="D40" s="77">
        <f>'5-5 Cons prod'!D18</f>
        <v>0</v>
      </c>
      <c r="E40" s="85">
        <f>'5-5 Cons prod'!V18</f>
        <v>0</v>
      </c>
      <c r="F40" s="85">
        <f>'5-5 Cons prod'!W18</f>
        <v>0</v>
      </c>
      <c r="G40" s="85">
        <f>'5-5 Cons prod'!X18</f>
        <v>0</v>
      </c>
      <c r="H40" s="86" t="s">
        <v>273</v>
      </c>
      <c r="I40" s="85">
        <f>'5-5 Cons prod'!Z18</f>
        <v>0</v>
      </c>
      <c r="J40" s="85">
        <f>'5-5 Cons prod'!AA18</f>
        <v>0</v>
      </c>
      <c r="K40" s="218"/>
    </row>
    <row r="41" spans="1:11" ht="13">
      <c r="A41" s="57"/>
      <c r="B41" s="279" t="str">
        <f>'5-5 Cons prod'!B25</f>
        <v>5.5.3</v>
      </c>
      <c r="C41" s="279" t="str">
        <f>'5-5 Cons prod'!C25</f>
        <v>Light sources with mercury</v>
      </c>
      <c r="D41" s="77">
        <f>'5-5 Cons prod'!D25</f>
        <v>0</v>
      </c>
      <c r="E41" s="85">
        <f>'5-5 Cons prod'!V25</f>
        <v>0</v>
      </c>
      <c r="F41" s="85">
        <f>'5-5 Cons prod'!W25</f>
        <v>0</v>
      </c>
      <c r="G41" s="85">
        <f>'5-5 Cons prod'!X25</f>
        <v>0</v>
      </c>
      <c r="H41" s="86" t="s">
        <v>273</v>
      </c>
      <c r="I41" s="85">
        <f>'5-5 Cons prod'!Z25</f>
        <v>0</v>
      </c>
      <c r="J41" s="85">
        <f>'5-5 Cons prod'!AA25</f>
        <v>0</v>
      </c>
      <c r="K41" s="218"/>
    </row>
    <row r="42" spans="1:11" ht="13">
      <c r="A42" s="57"/>
      <c r="B42" s="279" t="str">
        <f>'5-5 Cons prod'!B35</f>
        <v>5.5.4</v>
      </c>
      <c r="C42" s="279" t="str">
        <f>'5-5 Cons prod'!C35</f>
        <v>Batteries with mercury</v>
      </c>
      <c r="D42" s="77">
        <f>'5-5 Cons prod'!D35</f>
        <v>0</v>
      </c>
      <c r="E42" s="85">
        <f>'5-5 Cons prod'!V35</f>
        <v>0</v>
      </c>
      <c r="F42" s="85">
        <f>'5-5 Cons prod'!W35</f>
        <v>0</v>
      </c>
      <c r="G42" s="85">
        <f>'5-5 Cons prod'!X35</f>
        <v>0</v>
      </c>
      <c r="H42" s="86" t="s">
        <v>273</v>
      </c>
      <c r="I42" s="85">
        <f>'5-5 Cons prod'!Z35</f>
        <v>0</v>
      </c>
      <c r="J42" s="85">
        <f>'5-5 Cons prod'!AA35</f>
        <v>0</v>
      </c>
      <c r="K42" s="218"/>
    </row>
    <row r="43" spans="1:11" ht="13">
      <c r="A43" s="57"/>
      <c r="B43" s="279" t="str">
        <f>'5-5 Cons prod'!B55</f>
        <v>5.5.6</v>
      </c>
      <c r="C43" s="279" t="str">
        <f>'5-5 Cons prod'!C55</f>
        <v>Biocides and pesticides with mercury</v>
      </c>
      <c r="D43" s="77">
        <f>'5-5 Cons prod'!D55</f>
        <v>0</v>
      </c>
      <c r="E43" s="85">
        <f>'5-5 Cons prod'!V55</f>
        <v>0</v>
      </c>
      <c r="F43" s="85">
        <f>'5-5 Cons prod'!W55</f>
        <v>0</v>
      </c>
      <c r="G43" s="85">
        <f>'5-5 Cons prod'!X55</f>
        <v>0</v>
      </c>
      <c r="H43" s="86" t="s">
        <v>273</v>
      </c>
      <c r="I43" s="85">
        <f>'5-5 Cons prod'!Z55</f>
        <v>0</v>
      </c>
      <c r="J43" s="85">
        <f>'5-5 Cons prod'!AA55</f>
        <v>0</v>
      </c>
      <c r="K43" s="218"/>
    </row>
    <row r="44" spans="1:11" ht="13">
      <c r="A44" s="57"/>
      <c r="B44" s="279" t="str">
        <f>'5-5 Cons prod'!B59</f>
        <v>5.5.7</v>
      </c>
      <c r="C44" s="279" t="str">
        <f>'5-5 Cons prod'!C59</f>
        <v>Paints with mercury</v>
      </c>
      <c r="D44" s="77">
        <f>'5-5 Cons prod'!D59</f>
        <v>0</v>
      </c>
      <c r="E44" s="85">
        <f>'5-5 Cons prod'!V59</f>
        <v>0</v>
      </c>
      <c r="F44" s="85">
        <f>'5-5 Cons prod'!W59</f>
        <v>0</v>
      </c>
      <c r="G44" s="85">
        <f>'5-5 Cons prod'!X59</f>
        <v>0</v>
      </c>
      <c r="H44" s="86" t="s">
        <v>273</v>
      </c>
      <c r="I44" s="85">
        <f>'5-5 Cons prod'!Z59</f>
        <v>0</v>
      </c>
      <c r="J44" s="85">
        <f>'5-5 Cons prod'!AA59</f>
        <v>0</v>
      </c>
      <c r="K44" s="218"/>
    </row>
    <row r="45" spans="1:11" ht="13">
      <c r="A45" s="57"/>
      <c r="B45" s="279" t="str">
        <f>'5-5 Cons prod'!B63</f>
        <v>5.5.8</v>
      </c>
      <c r="C45" s="279" t="str">
        <f>'5-5 Cons prod'!C63</f>
        <v>Cosmetics and related products with mercury</v>
      </c>
      <c r="D45" s="77">
        <f>'5-5 Cons prod'!D63</f>
        <v>0</v>
      </c>
      <c r="E45" s="85">
        <f>'5-5 Cons prod'!V63</f>
        <v>0</v>
      </c>
      <c r="F45" s="85">
        <f>'5-5 Cons prod'!W63</f>
        <v>0</v>
      </c>
      <c r="G45" s="85">
        <f>'5-5 Cons prod'!X63</f>
        <v>0</v>
      </c>
      <c r="H45" s="86" t="s">
        <v>273</v>
      </c>
      <c r="I45" s="85">
        <f>'5-5 Cons prod'!Z63</f>
        <v>0</v>
      </c>
      <c r="J45" s="85">
        <f>'5-5 Cons prod'!AA63</f>
        <v>0</v>
      </c>
      <c r="K45" s="218"/>
    </row>
    <row r="46" spans="1:11" ht="13">
      <c r="A46" s="57" t="str">
        <f>'5-6 Other int use'!A5</f>
        <v>5.6</v>
      </c>
      <c r="B46" s="57"/>
      <c r="C46" s="57" t="str">
        <f>'5-6 Other int use'!C5</f>
        <v>Source category: Other intentional product/process use</v>
      </c>
      <c r="D46" s="77"/>
      <c r="E46" s="85"/>
      <c r="F46" s="85"/>
      <c r="G46" s="85"/>
      <c r="H46" s="85"/>
      <c r="I46" s="85"/>
      <c r="J46" s="85"/>
      <c r="K46" s="218"/>
    </row>
    <row r="47" spans="1:11" ht="13">
      <c r="A47" s="57"/>
      <c r="B47" s="279" t="str">
        <f>'5-6 Other int use'!B6</f>
        <v>5.6.1</v>
      </c>
      <c r="C47" s="279" t="str">
        <f>'5-6 Other int use'!C6</f>
        <v>Dental mercury-amalgam fillings (b</v>
      </c>
      <c r="D47" s="77">
        <f>'5-6 Other int use'!D6</f>
        <v>0</v>
      </c>
      <c r="E47" s="85">
        <f>'5-6 Other int use'!V6</f>
        <v>0</v>
      </c>
      <c r="F47" s="85">
        <f>'5-6 Other int use'!W6</f>
        <v>0</v>
      </c>
      <c r="G47" s="85">
        <f>'5-6 Other int use'!X6</f>
        <v>0</v>
      </c>
      <c r="H47" s="85">
        <f>'5-6 Other int use'!Y6</f>
        <v>0</v>
      </c>
      <c r="I47" s="85">
        <f>'5-6 Other int use'!Z6</f>
        <v>0</v>
      </c>
      <c r="J47" s="85">
        <f>'5-6 Other int use'!AA6</f>
        <v>0</v>
      </c>
      <c r="K47" s="218"/>
    </row>
    <row r="48" spans="1:11" ht="13">
      <c r="A48" s="57"/>
      <c r="B48" s="279" t="str">
        <f>'5-6 Other int use'!B13</f>
        <v>5.6.2</v>
      </c>
      <c r="C48" s="279" t="str">
        <f>'5-6 Other int use'!C13</f>
        <v>Manometers and gauges with mercury</v>
      </c>
      <c r="D48" s="77">
        <f>'5-6 Other int use'!D13</f>
        <v>0</v>
      </c>
      <c r="E48" s="85">
        <f>'5-6 Other int use'!V13</f>
        <v>0</v>
      </c>
      <c r="F48" s="85">
        <f>'5-6 Other int use'!W13</f>
        <v>0</v>
      </c>
      <c r="G48" s="85">
        <f>'5-6 Other int use'!X13</f>
        <v>0</v>
      </c>
      <c r="H48" s="85">
        <f>'5-6 Other int use'!Y13</f>
        <v>0</v>
      </c>
      <c r="I48" s="85">
        <f>'5-6 Other int use'!Z13</f>
        <v>0</v>
      </c>
      <c r="J48" s="85">
        <f>'5-6 Other int use'!AA13</f>
        <v>0</v>
      </c>
      <c r="K48" s="218"/>
    </row>
    <row r="49" spans="1:11" ht="13">
      <c r="A49" s="57"/>
      <c r="B49" s="279" t="str">
        <f>'5-6 Other int use'!B35</f>
        <v>5.6.3</v>
      </c>
      <c r="C49" s="279" t="str">
        <f>'5-6 Other int use'!C35</f>
        <v>Laboratory chemicals and equipment with mercury</v>
      </c>
      <c r="D49" s="77">
        <f>'5-6 Other int use'!D35</f>
        <v>0</v>
      </c>
      <c r="E49" s="85">
        <f>'5-6 Other int use'!V35</f>
        <v>0</v>
      </c>
      <c r="F49" s="85">
        <f>'5-6 Other int use'!W35</f>
        <v>0</v>
      </c>
      <c r="G49" s="85">
        <f>'5-6 Other int use'!X35</f>
        <v>0</v>
      </c>
      <c r="H49" s="85">
        <f>'5-6 Other int use'!Y35</f>
        <v>0</v>
      </c>
      <c r="I49" s="85">
        <f>'5-6 Other int use'!Z35</f>
        <v>0</v>
      </c>
      <c r="J49" s="85">
        <f>'5-6 Other int use'!AA35</f>
        <v>0</v>
      </c>
      <c r="K49" s="218"/>
    </row>
    <row r="50" spans="1:11" ht="13">
      <c r="A50" s="57"/>
      <c r="B50" s="279" t="str">
        <f>'5-6 Other int use'!B51</f>
        <v>5.6.4</v>
      </c>
      <c r="C50" s="279" t="str">
        <f>'5-6 Other int use'!C51</f>
        <v>Mercury metal use in religious rituals and folklore medicine</v>
      </c>
      <c r="D50" s="77">
        <f>'5-6 Other int use'!D51</f>
        <v>0</v>
      </c>
      <c r="E50" s="85">
        <f>'5-6 Other int use'!V51</f>
        <v>0</v>
      </c>
      <c r="F50" s="85">
        <f>'5-6 Other int use'!W51</f>
        <v>0</v>
      </c>
      <c r="G50" s="85">
        <f>'5-6 Other int use'!X51</f>
        <v>0</v>
      </c>
      <c r="H50" s="85">
        <f>'5-6 Other int use'!Y51</f>
        <v>0</v>
      </c>
      <c r="I50" s="85">
        <f>'5-6 Other int use'!Z51</f>
        <v>0</v>
      </c>
      <c r="J50" s="85">
        <f>'5-6 Other int use'!AA51</f>
        <v>0</v>
      </c>
      <c r="K50" s="218"/>
    </row>
    <row r="51" spans="1:11" ht="13">
      <c r="A51" s="57"/>
      <c r="B51" s="279" t="str">
        <f>'5-6 Other int use'!B53</f>
        <v>5.6.5</v>
      </c>
      <c r="C51" s="279" t="str">
        <f>'5-6 Other int use'!C53</f>
        <v>Miscellaneous product uses, mercury metal uses, and other sources</v>
      </c>
      <c r="D51" s="77">
        <f>'5-6 Other int use'!D53</f>
        <v>0</v>
      </c>
      <c r="E51" s="85">
        <f>'5-6 Other int use'!V53</f>
        <v>0</v>
      </c>
      <c r="F51" s="85">
        <f>'5-6 Other int use'!W53</f>
        <v>0</v>
      </c>
      <c r="G51" s="85">
        <f>'5-6 Other int use'!X53</f>
        <v>0</v>
      </c>
      <c r="H51" s="85">
        <f>'5-6 Other int use'!Y53</f>
        <v>0</v>
      </c>
      <c r="I51" s="85">
        <f>'5-6 Other int use'!Z53</f>
        <v>0</v>
      </c>
      <c r="J51" s="85">
        <f>'5-6 Other int use'!AA53</f>
        <v>0</v>
      </c>
      <c r="K51" s="218"/>
    </row>
    <row r="52" spans="1:11" ht="26">
      <c r="A52" s="56" t="str">
        <f>'5-7 Recycl metals'!A5</f>
        <v>5.7</v>
      </c>
      <c r="B52" s="56"/>
      <c r="C52" s="57" t="str">
        <f>'5-7 Recycl metals'!C5</f>
        <v>Source category: Production of recycled metals ("secondary" metal production)</v>
      </c>
      <c r="D52" s="77"/>
      <c r="E52" s="85"/>
      <c r="F52" s="85"/>
      <c r="G52" s="85"/>
      <c r="H52" s="85"/>
      <c r="I52" s="85"/>
      <c r="J52" s="85"/>
      <c r="K52" s="218"/>
    </row>
    <row r="53" spans="1:11" ht="13">
      <c r="A53" s="56"/>
      <c r="B53" s="113" t="str">
        <f>'5-7 Recycl metals'!B6</f>
        <v>5.7.1</v>
      </c>
      <c r="C53" s="279" t="str">
        <f>'5-7 Recycl metals'!C6</f>
        <v>Production of recycled mercury ("secondary production”)</v>
      </c>
      <c r="D53" s="77">
        <f>'5-7 Recycl metals'!D6</f>
        <v>0</v>
      </c>
      <c r="E53" s="85">
        <f>'5-7 Recycl metals'!V6</f>
        <v>0</v>
      </c>
      <c r="F53" s="85">
        <f>'5-7 Recycl metals'!W6</f>
        <v>0</v>
      </c>
      <c r="G53" s="85">
        <f>'5-7 Recycl metals'!X6</f>
        <v>0</v>
      </c>
      <c r="H53" s="85" t="str">
        <f>'5-7 Recycl metals'!Y6</f>
        <v>-</v>
      </c>
      <c r="I53" s="85">
        <f>'5-7 Recycl metals'!Z6</f>
        <v>0</v>
      </c>
      <c r="J53" s="85">
        <f>'5-7 Recycl metals'!AA6</f>
        <v>0</v>
      </c>
      <c r="K53" s="218"/>
    </row>
    <row r="54" spans="1:11" ht="13">
      <c r="A54" s="56"/>
      <c r="B54" s="113" t="str">
        <f>'5-7 Recycl metals'!B8</f>
        <v>5.4.2</v>
      </c>
      <c r="C54" s="279" t="str">
        <f>'5-7 Recycl metals'!C8</f>
        <v>Production of recycled ferrous metals (iron and steel)</v>
      </c>
      <c r="D54" s="77">
        <f>'5-7 Recycl metals'!D8</f>
        <v>0</v>
      </c>
      <c r="E54" s="85">
        <f>'5-7 Recycl metals'!V8</f>
        <v>0</v>
      </c>
      <c r="F54" s="85">
        <f>'5-7 Recycl metals'!W8</f>
        <v>0</v>
      </c>
      <c r="G54" s="85">
        <f>'5-7 Recycl metals'!X8</f>
        <v>0</v>
      </c>
      <c r="H54" s="85">
        <f>'5-7 Recycl metals'!Y8</f>
        <v>0</v>
      </c>
      <c r="I54" s="85">
        <f>'5-7 Recycl metals'!Z8</f>
        <v>0</v>
      </c>
      <c r="J54" s="85">
        <f>'5-7 Recycl metals'!AA8</f>
        <v>0</v>
      </c>
      <c r="K54" s="218"/>
    </row>
    <row r="55" spans="1:11" ht="13">
      <c r="A55" s="56"/>
      <c r="B55" s="113" t="str">
        <f>'5-7 Recycl metals'!B10</f>
        <v>5.4.2</v>
      </c>
      <c r="C55" s="279" t="str">
        <f>'5-7 Recycl metals'!C10</f>
        <v>Production of other recycled metals</v>
      </c>
      <c r="D55" s="77">
        <f>'5-7 Recycl metals'!D10</f>
        <v>0</v>
      </c>
      <c r="E55" s="85">
        <f>'5-7 Recycl metals'!V10</f>
        <v>0</v>
      </c>
      <c r="F55" s="85">
        <f>'5-7 Recycl metals'!W10</f>
        <v>0</v>
      </c>
      <c r="G55" s="85">
        <f>'5-7 Recycl metals'!X10</f>
        <v>0</v>
      </c>
      <c r="H55" s="85">
        <f>'5-7 Recycl metals'!Y10</f>
        <v>0</v>
      </c>
      <c r="I55" s="85">
        <f>'5-7 Recycl metals'!Z10</f>
        <v>0</v>
      </c>
      <c r="J55" s="85">
        <f>'5-7 Recycl metals'!AA10</f>
        <v>0</v>
      </c>
      <c r="K55" s="218"/>
    </row>
    <row r="56" spans="1:11" ht="13">
      <c r="A56" s="56" t="str">
        <f>'5-8 Waste incin'!A5</f>
        <v>5.8</v>
      </c>
      <c r="B56" s="56"/>
      <c r="C56" s="56" t="str">
        <f>'5-8 Waste incin'!C5</f>
        <v>Source category: Waste incineration</v>
      </c>
      <c r="D56" s="77"/>
      <c r="E56" s="85"/>
      <c r="F56" s="85"/>
      <c r="G56" s="85"/>
      <c r="H56" s="85"/>
      <c r="I56" s="85"/>
      <c r="J56" s="85"/>
      <c r="K56" s="218"/>
    </row>
    <row r="57" spans="1:11" ht="13">
      <c r="A57" s="56"/>
      <c r="B57" s="113" t="str">
        <f>'5-8 Waste incin'!B6</f>
        <v>5.8.1</v>
      </c>
      <c r="C57" s="113" t="str">
        <f>'5-8 Waste incin'!C6</f>
        <v>Incineration of municipal/general waste</v>
      </c>
      <c r="D57" s="77">
        <f>'5-8 Waste incin'!D6</f>
        <v>0</v>
      </c>
      <c r="E57" s="85">
        <f>'5-8 Waste incin'!V6</f>
        <v>0</v>
      </c>
      <c r="F57" s="85">
        <f>'5-8 Waste incin'!W6</f>
        <v>0</v>
      </c>
      <c r="G57" s="85">
        <f>'5-8 Waste incin'!X6</f>
        <v>0</v>
      </c>
      <c r="H57" s="85">
        <f>'5-8 Waste incin'!Y6</f>
        <v>0</v>
      </c>
      <c r="I57" s="85">
        <f>'5-8 Waste incin'!Z6</f>
        <v>0</v>
      </c>
      <c r="J57" s="85">
        <f>'5-8 Waste incin'!AA6</f>
        <v>0</v>
      </c>
      <c r="K57" s="218"/>
    </row>
    <row r="58" spans="1:11" ht="13">
      <c r="A58" s="56"/>
      <c r="B58" s="113" t="str">
        <f>'5-8 Waste incin'!B12</f>
        <v>5.8.2</v>
      </c>
      <c r="C58" s="113" t="str">
        <f>'5-8 Waste incin'!C12</f>
        <v>Incineration of hazardous waste</v>
      </c>
      <c r="D58" s="77">
        <f>'5-8 Waste incin'!D12</f>
        <v>0</v>
      </c>
      <c r="E58" s="85">
        <f>'5-8 Waste incin'!V12</f>
        <v>0</v>
      </c>
      <c r="F58" s="85">
        <f>'5-8 Waste incin'!W12</f>
        <v>0</v>
      </c>
      <c r="G58" s="85">
        <f>'5-8 Waste incin'!X12</f>
        <v>0</v>
      </c>
      <c r="H58" s="85">
        <f>'5-8 Waste incin'!Y12</f>
        <v>0</v>
      </c>
      <c r="I58" s="85">
        <f>'5-8 Waste incin'!Z12</f>
        <v>0</v>
      </c>
      <c r="J58" s="85">
        <f>'5-8 Waste incin'!AA12</f>
        <v>0</v>
      </c>
      <c r="K58" s="218"/>
    </row>
    <row r="59" spans="1:11" ht="13">
      <c r="A59" s="56"/>
      <c r="B59" s="113" t="str">
        <f>'5-8 Waste incin'!B18</f>
        <v>5.8.3</v>
      </c>
      <c r="C59" s="113" t="str">
        <f>'5-8 Waste incin'!C18</f>
        <v>Incineration of medical waste</v>
      </c>
      <c r="D59" s="77">
        <f>'5-8 Waste incin'!D18</f>
        <v>0</v>
      </c>
      <c r="E59" s="85">
        <f>'5-8 Waste incin'!V18</f>
        <v>0</v>
      </c>
      <c r="F59" s="85">
        <f>'5-8 Waste incin'!W18</f>
        <v>0</v>
      </c>
      <c r="G59" s="85">
        <f>'5-8 Waste incin'!X18</f>
        <v>0</v>
      </c>
      <c r="H59" s="85">
        <f>'5-8 Waste incin'!Y18</f>
        <v>0</v>
      </c>
      <c r="I59" s="85">
        <f>'5-8 Waste incin'!Z18</f>
        <v>0</v>
      </c>
      <c r="J59" s="85">
        <f>'5-8 Waste incin'!AA18</f>
        <v>0</v>
      </c>
      <c r="K59" s="218"/>
    </row>
    <row r="60" spans="1:11" ht="13">
      <c r="A60" s="56"/>
      <c r="B60" s="113" t="str">
        <f>'5-8 Waste incin'!B24</f>
        <v>5.8.4</v>
      </c>
      <c r="C60" s="113" t="str">
        <f>'5-8 Waste incin'!C24</f>
        <v>Sewage sludge incineration</v>
      </c>
      <c r="D60" s="77">
        <f>'5-8 Waste incin'!D24</f>
        <v>0</v>
      </c>
      <c r="E60" s="85">
        <f>'5-8 Waste incin'!V24</f>
        <v>0</v>
      </c>
      <c r="F60" s="85">
        <f>'5-8 Waste incin'!W24</f>
        <v>0</v>
      </c>
      <c r="G60" s="85">
        <f>'5-8 Waste incin'!X24</f>
        <v>0</v>
      </c>
      <c r="H60" s="85">
        <f>'5-8 Waste incin'!Y24</f>
        <v>0</v>
      </c>
      <c r="I60" s="85">
        <f>'5-8 Waste incin'!Z24</f>
        <v>0</v>
      </c>
      <c r="J60" s="85">
        <f>'5-8 Waste incin'!AA24</f>
        <v>0</v>
      </c>
      <c r="K60" s="218"/>
    </row>
    <row r="61" spans="1:11" ht="13">
      <c r="A61" s="56"/>
      <c r="B61" s="113" t="str">
        <f>'5-8 Waste incin'!B26</f>
        <v>5.8.5</v>
      </c>
      <c r="C61" s="113" t="str">
        <f>'5-8 Waste incin'!C26</f>
        <v>Informal waste burning (open fire waste burning on landfills and informally)</v>
      </c>
      <c r="D61" s="77">
        <f>'5-8 Waste incin'!D26</f>
        <v>0</v>
      </c>
      <c r="E61" s="85">
        <f>'5-8 Waste incin'!V26</f>
        <v>0</v>
      </c>
      <c r="F61" s="85">
        <f>'5-8 Waste incin'!W26</f>
        <v>0</v>
      </c>
      <c r="G61" s="85">
        <f>'5-8 Waste incin'!X26</f>
        <v>0</v>
      </c>
      <c r="H61" s="85">
        <f>'5-8 Waste incin'!Y26</f>
        <v>0</v>
      </c>
      <c r="I61" s="85">
        <f>'5-8 Waste incin'!Z26</f>
        <v>0</v>
      </c>
      <c r="J61" s="85">
        <f>'5-8 Waste incin'!AA26</f>
        <v>0</v>
      </c>
      <c r="K61" s="218"/>
    </row>
    <row r="62" spans="1:11" ht="26">
      <c r="A62" s="57" t="str">
        <f>'5-9 Waste depo and water treatm'!A5</f>
        <v>5.9</v>
      </c>
      <c r="B62" s="57"/>
      <c r="C62" s="57" t="str">
        <f>'5-9 Waste depo and water treatm'!C5</f>
        <v>Source category: Waste deposition/landfilling and waste water treatment</v>
      </c>
      <c r="D62" s="77"/>
      <c r="E62" s="85"/>
      <c r="F62" s="85"/>
      <c r="G62" s="85"/>
      <c r="H62" s="85"/>
      <c r="I62" s="85"/>
      <c r="J62" s="85"/>
      <c r="K62" s="218"/>
    </row>
    <row r="63" spans="1:11" ht="13">
      <c r="A63" s="57"/>
      <c r="B63" s="279" t="str">
        <f>'5-9 Waste depo and water treatm'!B6</f>
        <v>5.9.1</v>
      </c>
      <c r="C63" s="279" t="str">
        <f>'5-9 Waste depo and water treatm'!C6</f>
        <v>Controlled landfills/deposits (a</v>
      </c>
      <c r="D63" s="77">
        <f>'5-9 Waste depo and water treatm'!D6</f>
        <v>0</v>
      </c>
      <c r="E63" s="85">
        <f>'5-9 Waste depo and water treatm'!V6</f>
        <v>0</v>
      </c>
      <c r="F63" s="85">
        <f>'5-9 Waste depo and water treatm'!W6</f>
        <v>0</v>
      </c>
      <c r="G63" s="85">
        <f>'5-9 Waste depo and water treatm'!X6</f>
        <v>0</v>
      </c>
      <c r="H63" s="85" t="str">
        <f>'5-9 Waste depo and water treatm'!Y6</f>
        <v>-</v>
      </c>
      <c r="I63" s="85" t="str">
        <f>'5-9 Waste depo and water treatm'!Z6</f>
        <v>-</v>
      </c>
      <c r="J63" s="85" t="str">
        <f>'5-9 Waste depo and water treatm'!AA6</f>
        <v>-</v>
      </c>
      <c r="K63" s="218"/>
    </row>
    <row r="64" spans="1:11" ht="25.5">
      <c r="A64" s="57"/>
      <c r="B64" s="279" t="str">
        <f>'5-9 Waste depo and water treatm'!B8</f>
        <v>5.9.2</v>
      </c>
      <c r="C64" s="279" t="str">
        <f>'5-9 Waste depo and water treatm'!C8</f>
        <v>Diffuse disposal under some control</v>
      </c>
      <c r="D64" s="77" t="str">
        <f>'5-9 Waste depo and water treatm'!D8</f>
        <v>-</v>
      </c>
      <c r="E64" s="85" t="str">
        <f>'5-9 Waste depo and water treatm'!V8</f>
        <v>-</v>
      </c>
      <c r="F64" s="85" t="str">
        <f>'5-9 Waste depo and water treatm'!W8</f>
        <v>-</v>
      </c>
      <c r="G64" s="85" t="str">
        <f>'5-9 Waste depo and water treatm'!X8</f>
        <v>-</v>
      </c>
      <c r="H64" s="85" t="str">
        <f>'5-9 Waste depo and water treatm'!Y8</f>
        <v>-</v>
      </c>
      <c r="I64" s="85" t="str">
        <f>'5-9 Waste depo and water treatm'!Z8</f>
        <v>-</v>
      </c>
      <c r="J64" s="85" t="str">
        <f>'5-9 Waste depo and water treatm'!AA8</f>
        <v>-</v>
      </c>
      <c r="K64" s="218" t="str">
        <f>'5-9 Waste depo and water treatm'!C9</f>
        <v>This source category is expected covered under the original sources of the mercury containing material, under det output path "sector specific treatment/disposal accompanied by a descriptive note; e.g. solid residues from waste incineration or metal extraction.</v>
      </c>
    </row>
    <row r="65" spans="1:11" ht="13">
      <c r="A65" s="57"/>
      <c r="B65" s="279" t="str">
        <f>'5-9 Waste depo and water treatm'!B11</f>
        <v>5.9.3</v>
      </c>
      <c r="C65" s="279" t="str">
        <f>'5-9 Waste depo and water treatm'!C11</f>
        <v>Informal local disposal of industrial production waste</v>
      </c>
      <c r="D65" s="77">
        <f>'5-9 Waste depo and water treatm'!D11</f>
        <v>0</v>
      </c>
      <c r="E65" s="85" t="e">
        <f>'5-9 Waste depo and water treatm'!V11</f>
        <v>#VALUE!</v>
      </c>
      <c r="F65" s="85" t="e">
        <f>'5-9 Waste depo and water treatm'!W11</f>
        <v>#VALUE!</v>
      </c>
      <c r="G65" s="85" t="e">
        <f>'5-9 Waste depo and water treatm'!X11</f>
        <v>#VALUE!</v>
      </c>
      <c r="H65" s="85" t="str">
        <f>'5-9 Waste depo and water treatm'!Y11</f>
        <v>-</v>
      </c>
      <c r="I65" s="85" t="str">
        <f>'5-9 Waste depo and water treatm'!Z11</f>
        <v>-</v>
      </c>
      <c r="J65" s="85" t="str">
        <f>'5-9 Waste depo and water treatm'!AA11</f>
        <v>-</v>
      </c>
      <c r="K65" s="218"/>
    </row>
    <row r="66" spans="1:11" ht="13">
      <c r="A66" s="57"/>
      <c r="B66" s="279" t="str">
        <f>'5-9 Waste depo and water treatm'!B13</f>
        <v>5.9.4</v>
      </c>
      <c r="C66" s="279" t="str">
        <f>'5-9 Waste depo and water treatm'!C13</f>
        <v>Informal dumping of general waste (b</v>
      </c>
      <c r="D66" s="77">
        <f>'5-9 Waste depo and water treatm'!D13</f>
        <v>0</v>
      </c>
      <c r="E66" s="85">
        <f>'5-9 Waste depo and water treatm'!V13</f>
        <v>0</v>
      </c>
      <c r="F66" s="85">
        <f>'5-9 Waste depo and water treatm'!W13</f>
        <v>0</v>
      </c>
      <c r="G66" s="85">
        <f>'5-9 Waste depo and water treatm'!X13</f>
        <v>0</v>
      </c>
      <c r="H66" s="85" t="str">
        <f>'5-9 Waste depo and water treatm'!Y13</f>
        <v>-</v>
      </c>
      <c r="I66" s="85" t="str">
        <f>'5-9 Waste depo and water treatm'!Z13</f>
        <v>-</v>
      </c>
      <c r="J66" s="85" t="str">
        <f>'5-9 Waste depo and water treatm'!AA13</f>
        <v>-</v>
      </c>
      <c r="K66" s="218"/>
    </row>
    <row r="67" spans="1:11" ht="13">
      <c r="A67" s="57"/>
      <c r="B67" s="279" t="str">
        <f>'5-9 Waste depo and water treatm'!B15</f>
        <v>5.9.5</v>
      </c>
      <c r="C67" s="279" t="str">
        <f>'5-9 Waste depo and water treatm'!C15</f>
        <v>Waste water system/treatment</v>
      </c>
      <c r="D67" s="77">
        <f>'5-9 Waste depo and water treatm'!D15</f>
        <v>0</v>
      </c>
      <c r="E67" s="85">
        <f>'5-9 Waste depo and water treatm'!V15</f>
        <v>0</v>
      </c>
      <c r="F67" s="85">
        <f>'5-9 Waste depo and water treatm'!W15</f>
        <v>0</v>
      </c>
      <c r="G67" s="85">
        <f>'5-9 Waste depo and water treatm'!X15</f>
        <v>0</v>
      </c>
      <c r="H67" s="85">
        <f>'5-9 Waste depo and water treatm'!Y15</f>
        <v>0</v>
      </c>
      <c r="I67" s="85">
        <f>'5-9 Waste depo and water treatm'!Z15</f>
        <v>0</v>
      </c>
      <c r="J67" s="85">
        <f>'5-9 Waste depo and water treatm'!AA15</f>
        <v>0</v>
      </c>
      <c r="K67" s="218"/>
    </row>
    <row r="68" spans="1:11" ht="13">
      <c r="A68" s="56" t="str">
        <f>'5-10 Cremat and cem'!A5</f>
        <v>5.10</v>
      </c>
      <c r="B68" s="56"/>
      <c r="C68" s="56" t="str">
        <f>'5-10 Cremat and cem'!C5</f>
        <v>Source category: Crematoria and cemetaries</v>
      </c>
      <c r="D68" s="77"/>
      <c r="E68" s="85"/>
      <c r="F68" s="85"/>
      <c r="G68" s="85"/>
      <c r="H68" s="85"/>
      <c r="I68" s="85"/>
      <c r="J68" s="85"/>
      <c r="K68" s="218"/>
    </row>
    <row r="69" spans="1:11" ht="13">
      <c r="A69" s="56"/>
      <c r="B69" s="113" t="str">
        <f>'5-10 Cremat and cem'!B6</f>
        <v>5.10.1</v>
      </c>
      <c r="C69" s="113" t="str">
        <f>'5-10 Cremat and cem'!C6</f>
        <v>Crematoria</v>
      </c>
      <c r="D69" s="77">
        <f>'5-10 Cremat and cem'!D6</f>
        <v>0</v>
      </c>
      <c r="E69" s="85">
        <f>'5-10 Cremat and cem'!V6</f>
        <v>0</v>
      </c>
      <c r="F69" s="85">
        <f>'5-10 Cremat and cem'!W6</f>
        <v>0</v>
      </c>
      <c r="G69" s="85">
        <f>'5-10 Cremat and cem'!X6</f>
        <v>0</v>
      </c>
      <c r="H69" s="85" t="str">
        <f>'5-10 Cremat and cem'!Y6</f>
        <v>-</v>
      </c>
      <c r="I69" s="85">
        <f>'5-10 Cremat and cem'!Z6</f>
        <v>0</v>
      </c>
      <c r="J69" s="85">
        <f>'5-10 Cremat and cem'!AA6</f>
        <v>0</v>
      </c>
      <c r="K69" s="218"/>
    </row>
    <row r="70" spans="1:11" s="228" customFormat="1" ht="13.5" thickBot="1">
      <c r="A70" s="220"/>
      <c r="B70" s="280" t="str">
        <f>'5-10 Cremat and cem'!B8</f>
        <v>5.10.2</v>
      </c>
      <c r="C70" s="280" t="str">
        <f>'5-10 Cremat and cem'!C8</f>
        <v>Cemeteries</v>
      </c>
      <c r="D70" s="226">
        <f>'5-10 Cremat and cem'!D8</f>
        <v>0</v>
      </c>
      <c r="E70" s="226">
        <f>'5-10 Cremat and cem'!V8</f>
        <v>0</v>
      </c>
      <c r="F70" s="226">
        <f>'5-10 Cremat and cem'!W8</f>
        <v>0</v>
      </c>
      <c r="G70" s="226">
        <f>'5-10 Cremat and cem'!X8</f>
        <v>0</v>
      </c>
      <c r="H70" s="226" t="str">
        <f>'5-10 Cremat and cem'!Y8</f>
        <v>-</v>
      </c>
      <c r="I70" s="226">
        <f>'5-10 Cremat and cem'!Z8</f>
        <v>0</v>
      </c>
      <c r="J70" s="226">
        <f>'5-10 Cremat and cem'!AA8</f>
        <v>0</v>
      </c>
      <c r="K70" s="227"/>
    </row>
    <row r="71" spans="1:11" s="221" customFormat="1" ht="13.5" thickBot="1">
      <c r="A71" s="222" t="s">
        <v>31</v>
      </c>
      <c r="B71" s="223"/>
      <c r="C71" s="223"/>
      <c r="D71" s="229" t="s">
        <v>33</v>
      </c>
      <c r="E71" s="224" t="e">
        <f t="shared" ref="E71:J71" si="0">SUM(E11:E70)</f>
        <v>#VALUE!</v>
      </c>
      <c r="F71" s="224" t="e">
        <f t="shared" si="0"/>
        <v>#VALUE!</v>
      </c>
      <c r="G71" s="224" t="e">
        <f t="shared" si="0"/>
        <v>#VALUE!</v>
      </c>
      <c r="H71" s="224" t="e">
        <f t="shared" si="0"/>
        <v>#VALUE!</v>
      </c>
      <c r="I71" s="224" t="e">
        <f t="shared" si="0"/>
        <v>#VALUE!</v>
      </c>
      <c r="J71" s="224" t="e">
        <f t="shared" si="0"/>
        <v>#VALUE!</v>
      </c>
      <c r="K71" s="225"/>
    </row>
    <row r="73" spans="1:11">
      <c r="B73" t="s">
        <v>56</v>
      </c>
      <c r="C73" t="s">
        <v>32</v>
      </c>
    </row>
    <row r="74" spans="1:11">
      <c r="C74" s="230"/>
    </row>
  </sheetData>
  <sheetProtection password="83AF"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R91"/>
  <sheetViews>
    <sheetView zoomScale="80" zoomScaleNormal="80" workbookViewId="0"/>
  </sheetViews>
  <sheetFormatPr defaultColWidth="8.81640625" defaultRowHeight="12.5"/>
  <cols>
    <col min="1" max="1" width="34.1796875" style="698" customWidth="1"/>
    <col min="2" max="2" width="10.6328125" style="262" customWidth="1"/>
    <col min="3" max="3" width="27.453125" style="9" customWidth="1"/>
    <col min="4" max="4" width="28" style="9" customWidth="1"/>
    <col min="5" max="6" width="27.453125" style="9" customWidth="1"/>
    <col min="7" max="7" width="27.81640625" style="9" customWidth="1"/>
    <col min="8" max="8" width="27.6328125" style="9" customWidth="1"/>
    <col min="9" max="9" width="9.1796875" style="9"/>
    <col min="10" max="18" width="9.1796875" style="262"/>
  </cols>
  <sheetData>
    <row r="1" spans="1:9" s="262" customFormat="1" ht="13">
      <c r="A1" s="696" t="s">
        <v>829</v>
      </c>
      <c r="C1" s="698"/>
      <c r="D1" s="698"/>
      <c r="E1" s="698"/>
      <c r="F1" s="698"/>
      <c r="G1" s="698"/>
      <c r="H1" s="698"/>
      <c r="I1" s="698"/>
    </row>
    <row r="2" spans="1:9" s="262" customFormat="1" ht="13">
      <c r="A2" s="697" t="s">
        <v>830</v>
      </c>
      <c r="C2" s="698"/>
      <c r="D2" s="698"/>
      <c r="E2" s="698"/>
      <c r="F2" s="698"/>
      <c r="G2" s="698"/>
      <c r="H2" s="698"/>
      <c r="I2" s="698"/>
    </row>
    <row r="3" spans="1:9" s="262" customFormat="1">
      <c r="A3" s="698"/>
      <c r="C3" s="698"/>
      <c r="D3" s="698"/>
      <c r="E3" s="698"/>
      <c r="F3" s="698"/>
      <c r="G3" s="698"/>
      <c r="H3" s="698"/>
      <c r="I3" s="698" t="s">
        <v>359</v>
      </c>
    </row>
    <row r="4" spans="1:9" s="262" customFormat="1">
      <c r="A4" s="263" t="s">
        <v>47</v>
      </c>
      <c r="B4" s="270"/>
      <c r="C4" s="263"/>
      <c r="D4" s="263"/>
      <c r="E4" s="263"/>
      <c r="F4" s="263"/>
      <c r="G4" s="263"/>
      <c r="H4" s="263"/>
      <c r="I4" s="263" t="s">
        <v>45</v>
      </c>
    </row>
    <row r="5" spans="1:9">
      <c r="A5" s="263"/>
      <c r="B5" s="270" t="s">
        <v>780</v>
      </c>
      <c r="C5" s="699" t="s">
        <v>773</v>
      </c>
      <c r="D5" s="699" t="s">
        <v>774</v>
      </c>
      <c r="E5" s="699" t="s">
        <v>775</v>
      </c>
      <c r="F5" s="699" t="s">
        <v>776</v>
      </c>
      <c r="G5" s="699" t="s">
        <v>777</v>
      </c>
      <c r="H5" s="699" t="s">
        <v>778</v>
      </c>
      <c r="I5" s="263"/>
    </row>
    <row r="6" spans="1:9" ht="13">
      <c r="A6" s="263"/>
      <c r="B6" s="270" t="s">
        <v>779</v>
      </c>
      <c r="C6" s="700">
        <v>0</v>
      </c>
      <c r="D6" s="700">
        <v>100</v>
      </c>
      <c r="E6" s="700">
        <v>0</v>
      </c>
      <c r="F6" s="700">
        <v>0</v>
      </c>
      <c r="G6" s="700">
        <v>0</v>
      </c>
      <c r="H6" s="700">
        <v>0</v>
      </c>
      <c r="I6" s="263"/>
    </row>
    <row r="7" spans="1:9" s="262" customFormat="1" ht="25">
      <c r="A7" s="263" t="s">
        <v>731</v>
      </c>
      <c r="B7" s="270"/>
      <c r="C7" s="263"/>
      <c r="D7" s="263"/>
      <c r="E7" s="263"/>
      <c r="F7" s="263"/>
      <c r="G7" s="263"/>
      <c r="H7" s="263"/>
      <c r="I7" s="263" t="s">
        <v>732</v>
      </c>
    </row>
    <row r="8" spans="1:9">
      <c r="A8" s="263"/>
      <c r="B8" s="270" t="s">
        <v>780</v>
      </c>
      <c r="C8" s="699" t="s">
        <v>773</v>
      </c>
      <c r="D8" s="699" t="s">
        <v>774</v>
      </c>
      <c r="E8" s="699" t="s">
        <v>775</v>
      </c>
      <c r="F8" s="699" t="s">
        <v>776</v>
      </c>
      <c r="G8" s="699" t="s">
        <v>777</v>
      </c>
      <c r="H8" s="699" t="s">
        <v>778</v>
      </c>
      <c r="I8" s="263"/>
    </row>
    <row r="9" spans="1:9" ht="13">
      <c r="A9" s="263"/>
      <c r="B9" s="270" t="s">
        <v>779</v>
      </c>
      <c r="C9" s="700">
        <v>100</v>
      </c>
      <c r="D9" s="700">
        <v>0</v>
      </c>
      <c r="E9" s="700">
        <v>0</v>
      </c>
      <c r="F9" s="700">
        <v>0</v>
      </c>
      <c r="G9" s="700">
        <v>0</v>
      </c>
      <c r="H9" s="700">
        <v>0</v>
      </c>
      <c r="I9" s="263"/>
    </row>
    <row r="10" spans="1:9" s="262" customFormat="1" ht="25">
      <c r="A10" s="263" t="s">
        <v>410</v>
      </c>
      <c r="B10" s="270"/>
      <c r="C10" s="263"/>
      <c r="D10" s="263"/>
      <c r="E10" s="263"/>
      <c r="F10" s="263"/>
      <c r="G10" s="263"/>
      <c r="H10" s="263"/>
      <c r="I10" s="263" t="s">
        <v>65</v>
      </c>
    </row>
    <row r="11" spans="1:9">
      <c r="A11" s="263"/>
      <c r="B11" s="270" t="s">
        <v>780</v>
      </c>
      <c r="C11" s="699" t="s">
        <v>783</v>
      </c>
      <c r="D11" s="699" t="s">
        <v>781</v>
      </c>
      <c r="E11" s="699" t="s">
        <v>782</v>
      </c>
      <c r="F11" s="263"/>
      <c r="G11" s="263"/>
      <c r="H11" s="263"/>
      <c r="I11" s="263"/>
    </row>
    <row r="12" spans="1:9" ht="13">
      <c r="A12" s="263"/>
      <c r="B12" s="270" t="s">
        <v>779</v>
      </c>
      <c r="C12" s="700">
        <v>100</v>
      </c>
      <c r="D12" s="700">
        <v>0</v>
      </c>
      <c r="E12" s="700">
        <v>0</v>
      </c>
      <c r="F12" s="263"/>
      <c r="G12" s="263"/>
      <c r="H12" s="263"/>
      <c r="I12" s="263"/>
    </row>
    <row r="13" spans="1:9" s="262" customFormat="1" ht="37.5">
      <c r="A13" s="263" t="s">
        <v>723</v>
      </c>
      <c r="B13" s="270"/>
      <c r="C13" s="263"/>
      <c r="D13" s="263"/>
      <c r="E13" s="263"/>
      <c r="F13" s="263"/>
      <c r="G13" s="263"/>
      <c r="H13" s="263"/>
      <c r="I13" s="263" t="s">
        <v>65</v>
      </c>
    </row>
    <row r="14" spans="1:9">
      <c r="A14" s="263"/>
      <c r="B14" s="270" t="s">
        <v>780</v>
      </c>
      <c r="C14" s="699" t="s">
        <v>783</v>
      </c>
      <c r="D14" s="699" t="s">
        <v>781</v>
      </c>
      <c r="E14" s="699" t="s">
        <v>782</v>
      </c>
      <c r="F14" s="263"/>
      <c r="G14" s="263"/>
      <c r="H14" s="263"/>
      <c r="I14" s="263"/>
    </row>
    <row r="15" spans="1:9" ht="13">
      <c r="A15" s="263"/>
      <c r="B15" s="270" t="s">
        <v>779</v>
      </c>
      <c r="C15" s="700">
        <v>100</v>
      </c>
      <c r="D15" s="700">
        <v>0</v>
      </c>
      <c r="E15" s="700">
        <v>0</v>
      </c>
      <c r="F15" s="263"/>
      <c r="G15" s="263"/>
      <c r="H15" s="263"/>
      <c r="I15" s="263"/>
    </row>
    <row r="16" spans="1:9" s="262" customFormat="1">
      <c r="A16" s="263" t="s">
        <v>360</v>
      </c>
      <c r="B16" s="270"/>
      <c r="C16" s="263"/>
      <c r="D16" s="263"/>
      <c r="E16" s="263"/>
      <c r="F16" s="263"/>
      <c r="G16" s="263"/>
      <c r="H16" s="263"/>
      <c r="I16" s="263" t="s">
        <v>71</v>
      </c>
    </row>
    <row r="17" spans="1:9">
      <c r="A17" s="263"/>
      <c r="B17" s="270" t="s">
        <v>780</v>
      </c>
      <c r="C17" s="699" t="s">
        <v>784</v>
      </c>
      <c r="D17" s="699" t="s">
        <v>785</v>
      </c>
      <c r="E17" s="263"/>
      <c r="F17" s="263"/>
      <c r="G17" s="263"/>
      <c r="H17" s="263"/>
      <c r="I17" s="263"/>
    </row>
    <row r="18" spans="1:9" ht="13">
      <c r="A18" s="263"/>
      <c r="B18" s="270" t="s">
        <v>779</v>
      </c>
      <c r="C18" s="700">
        <v>50</v>
      </c>
      <c r="D18" s="700">
        <v>50</v>
      </c>
      <c r="E18" s="263"/>
      <c r="F18" s="263"/>
      <c r="G18" s="263"/>
      <c r="H18" s="263"/>
      <c r="I18" s="263"/>
    </row>
    <row r="19" spans="1:9" s="262" customFormat="1">
      <c r="A19" s="263" t="s">
        <v>362</v>
      </c>
      <c r="B19" s="270"/>
      <c r="C19" s="263"/>
      <c r="D19" s="263"/>
      <c r="E19" s="263"/>
      <c r="F19" s="263"/>
      <c r="G19" s="263"/>
      <c r="H19" s="263"/>
      <c r="I19" s="263" t="s">
        <v>365</v>
      </c>
    </row>
    <row r="20" spans="1:9" ht="25">
      <c r="A20" s="263"/>
      <c r="B20" s="270" t="s">
        <v>780</v>
      </c>
      <c r="C20" s="699" t="s">
        <v>786</v>
      </c>
      <c r="D20" s="699" t="s">
        <v>787</v>
      </c>
      <c r="E20" s="699" t="s">
        <v>788</v>
      </c>
      <c r="F20" s="699" t="s">
        <v>789</v>
      </c>
      <c r="G20" s="263"/>
      <c r="H20" s="263"/>
      <c r="I20" s="263"/>
    </row>
    <row r="21" spans="1:9" ht="13">
      <c r="A21" s="263"/>
      <c r="B21" s="270" t="s">
        <v>779</v>
      </c>
      <c r="C21" s="700">
        <v>0</v>
      </c>
      <c r="D21" s="700">
        <v>0</v>
      </c>
      <c r="E21" s="700">
        <v>100</v>
      </c>
      <c r="F21" s="700">
        <v>0</v>
      </c>
      <c r="G21" s="263"/>
      <c r="H21" s="263"/>
      <c r="I21" s="263"/>
    </row>
    <row r="22" spans="1:9" s="262" customFormat="1">
      <c r="A22" s="263" t="s">
        <v>363</v>
      </c>
      <c r="B22" s="270"/>
      <c r="C22" s="263"/>
      <c r="D22" s="263"/>
      <c r="E22" s="263"/>
      <c r="F22" s="263"/>
      <c r="G22" s="263"/>
      <c r="H22" s="263"/>
      <c r="I22" s="263" t="s">
        <v>366</v>
      </c>
    </row>
    <row r="23" spans="1:9" ht="25">
      <c r="A23" s="263"/>
      <c r="B23" s="270" t="s">
        <v>780</v>
      </c>
      <c r="C23" s="699" t="s">
        <v>786</v>
      </c>
      <c r="D23" s="699" t="s">
        <v>787</v>
      </c>
      <c r="E23" s="699" t="s">
        <v>788</v>
      </c>
      <c r="F23" s="699" t="s">
        <v>789</v>
      </c>
      <c r="G23" s="263"/>
      <c r="H23" s="263"/>
      <c r="I23" s="263"/>
    </row>
    <row r="24" spans="1:9" ht="13">
      <c r="A24" s="263"/>
      <c r="B24" s="270" t="s">
        <v>779</v>
      </c>
      <c r="C24" s="700">
        <v>0</v>
      </c>
      <c r="D24" s="700">
        <v>0</v>
      </c>
      <c r="E24" s="700">
        <v>100</v>
      </c>
      <c r="F24" s="700">
        <v>0</v>
      </c>
      <c r="G24" s="263"/>
      <c r="H24" s="263"/>
      <c r="I24" s="263"/>
    </row>
    <row r="25" spans="1:9" s="262" customFormat="1">
      <c r="A25" s="263" t="s">
        <v>364</v>
      </c>
      <c r="B25" s="270"/>
      <c r="C25" s="263"/>
      <c r="D25" s="263"/>
      <c r="E25" s="263"/>
      <c r="F25" s="263"/>
      <c r="G25" s="263"/>
      <c r="H25" s="263"/>
      <c r="I25" s="263" t="s">
        <v>367</v>
      </c>
    </row>
    <row r="26" spans="1:9" ht="25">
      <c r="A26" s="263"/>
      <c r="B26" s="270" t="s">
        <v>780</v>
      </c>
      <c r="C26" s="699" t="s">
        <v>786</v>
      </c>
      <c r="D26" s="699" t="s">
        <v>787</v>
      </c>
      <c r="E26" s="699" t="s">
        <v>788</v>
      </c>
      <c r="F26" s="699" t="s">
        <v>789</v>
      </c>
      <c r="G26" s="263"/>
      <c r="H26" s="263"/>
      <c r="I26" s="263"/>
    </row>
    <row r="27" spans="1:9" ht="13">
      <c r="A27" s="263"/>
      <c r="B27" s="270" t="s">
        <v>779</v>
      </c>
      <c r="C27" s="700">
        <v>0</v>
      </c>
      <c r="D27" s="700">
        <v>0</v>
      </c>
      <c r="E27" s="700">
        <v>100</v>
      </c>
      <c r="F27" s="700">
        <v>0</v>
      </c>
      <c r="G27" s="263"/>
      <c r="H27" s="263"/>
      <c r="I27" s="263"/>
    </row>
    <row r="28" spans="1:9" s="262" customFormat="1" ht="25">
      <c r="A28" s="665" t="s">
        <v>790</v>
      </c>
      <c r="B28" s="270"/>
      <c r="C28" s="263"/>
      <c r="D28" s="263"/>
      <c r="E28" s="263"/>
      <c r="F28" s="263"/>
      <c r="G28" s="263"/>
      <c r="H28" s="263"/>
      <c r="I28" s="263" t="s">
        <v>158</v>
      </c>
    </row>
    <row r="29" spans="1:9">
      <c r="A29" s="263"/>
      <c r="B29" s="270" t="s">
        <v>780</v>
      </c>
      <c r="C29" s="699" t="s">
        <v>797</v>
      </c>
      <c r="D29" s="699" t="s">
        <v>791</v>
      </c>
      <c r="E29" s="263"/>
      <c r="F29" s="263"/>
      <c r="G29" s="263"/>
      <c r="H29" s="263"/>
      <c r="I29" s="263"/>
    </row>
    <row r="30" spans="1:9" ht="13">
      <c r="A30" s="263"/>
      <c r="B30" s="270" t="s">
        <v>779</v>
      </c>
      <c r="C30" s="700">
        <v>100</v>
      </c>
      <c r="D30" s="700">
        <v>0</v>
      </c>
      <c r="E30" s="263"/>
      <c r="F30" s="263"/>
      <c r="G30" s="263"/>
      <c r="H30" s="263"/>
      <c r="I30" s="263"/>
    </row>
    <row r="31" spans="1:9" s="262" customFormat="1" ht="25">
      <c r="A31" s="263" t="s">
        <v>792</v>
      </c>
      <c r="B31" s="270"/>
      <c r="C31" s="263"/>
      <c r="D31" s="263"/>
      <c r="E31" s="263"/>
      <c r="F31" s="263"/>
      <c r="G31" s="263"/>
      <c r="H31" s="263"/>
      <c r="I31" s="263" t="s">
        <v>158</v>
      </c>
    </row>
    <row r="32" spans="1:9">
      <c r="A32" s="263"/>
      <c r="B32" s="270" t="s">
        <v>780</v>
      </c>
      <c r="C32" s="699" t="s">
        <v>797</v>
      </c>
      <c r="D32" s="699" t="s">
        <v>791</v>
      </c>
      <c r="E32" s="263"/>
      <c r="F32" s="263"/>
      <c r="G32" s="263"/>
      <c r="H32" s="263"/>
      <c r="I32" s="263"/>
    </row>
    <row r="33" spans="1:9" ht="13">
      <c r="A33" s="263"/>
      <c r="B33" s="270" t="s">
        <v>779</v>
      </c>
      <c r="C33" s="700">
        <v>100</v>
      </c>
      <c r="D33" s="700">
        <v>0</v>
      </c>
      <c r="E33" s="263"/>
      <c r="F33" s="263"/>
      <c r="G33" s="263"/>
      <c r="H33" s="263"/>
      <c r="I33" s="263"/>
    </row>
    <row r="34" spans="1:9" s="262" customFormat="1">
      <c r="A34" s="263" t="s">
        <v>371</v>
      </c>
      <c r="B34" s="270"/>
      <c r="C34" s="263"/>
      <c r="D34" s="263"/>
      <c r="E34" s="263"/>
      <c r="F34" s="263"/>
      <c r="G34" s="263"/>
      <c r="H34" s="263"/>
      <c r="I34" s="263" t="s">
        <v>188</v>
      </c>
    </row>
    <row r="35" spans="1:9" ht="37.5">
      <c r="A35" s="263"/>
      <c r="B35" s="270" t="s">
        <v>803</v>
      </c>
      <c r="C35" s="699" t="s">
        <v>434</v>
      </c>
      <c r="D35" s="699" t="s">
        <v>743</v>
      </c>
      <c r="E35" s="699" t="s">
        <v>744</v>
      </c>
      <c r="F35" s="699" t="s">
        <v>804</v>
      </c>
      <c r="G35" s="699" t="s">
        <v>746</v>
      </c>
      <c r="H35" s="263"/>
      <c r="I35" s="263"/>
    </row>
    <row r="36" spans="1:9" ht="13">
      <c r="A36" s="263"/>
      <c r="B36" s="270" t="s">
        <v>779</v>
      </c>
      <c r="C36" s="700">
        <v>25</v>
      </c>
      <c r="D36" s="700">
        <v>25</v>
      </c>
      <c r="E36" s="700">
        <v>0</v>
      </c>
      <c r="F36" s="700">
        <v>0</v>
      </c>
      <c r="G36" s="699">
        <v>0</v>
      </c>
      <c r="H36" s="263"/>
      <c r="I36" s="263"/>
    </row>
    <row r="37" spans="1:9" ht="37.5">
      <c r="A37" s="263"/>
      <c r="B37" s="270" t="s">
        <v>796</v>
      </c>
      <c r="C37" s="699" t="s">
        <v>434</v>
      </c>
      <c r="D37" s="699" t="s">
        <v>743</v>
      </c>
      <c r="E37" s="699" t="s">
        <v>744</v>
      </c>
      <c r="F37" s="699" t="s">
        <v>804</v>
      </c>
      <c r="G37" s="699" t="s">
        <v>746</v>
      </c>
      <c r="H37" s="263"/>
      <c r="I37" s="263"/>
    </row>
    <row r="38" spans="1:9" ht="13">
      <c r="A38" s="263"/>
      <c r="B38" s="270" t="s">
        <v>779</v>
      </c>
      <c r="C38" s="700">
        <v>25</v>
      </c>
      <c r="D38" s="700">
        <v>25</v>
      </c>
      <c r="E38" s="700">
        <v>0</v>
      </c>
      <c r="F38" s="700">
        <v>0</v>
      </c>
      <c r="G38" s="699">
        <v>0</v>
      </c>
      <c r="H38" s="263"/>
      <c r="I38" s="263"/>
    </row>
    <row r="39" spans="1:9" s="262" customFormat="1">
      <c r="A39" s="263" t="s">
        <v>190</v>
      </c>
      <c r="B39" s="270"/>
      <c r="C39" s="263"/>
      <c r="D39" s="263"/>
      <c r="E39" s="263"/>
      <c r="F39" s="263"/>
      <c r="G39" s="263"/>
      <c r="H39" s="263"/>
      <c r="I39" s="263" t="s">
        <v>189</v>
      </c>
    </row>
    <row r="40" spans="1:9" ht="25">
      <c r="A40" s="263"/>
      <c r="B40" s="270" t="s">
        <v>780</v>
      </c>
      <c r="C40" s="699" t="s">
        <v>806</v>
      </c>
      <c r="D40" s="699" t="s">
        <v>404</v>
      </c>
      <c r="E40" s="263"/>
      <c r="F40" s="263"/>
      <c r="G40" s="263"/>
      <c r="H40" s="263"/>
      <c r="I40" s="263"/>
    </row>
    <row r="41" spans="1:9" ht="13">
      <c r="A41" s="263"/>
      <c r="B41" s="270" t="s">
        <v>779</v>
      </c>
      <c r="C41" s="700">
        <v>100</v>
      </c>
      <c r="D41" s="700">
        <v>0</v>
      </c>
      <c r="E41" s="263"/>
      <c r="F41" s="263"/>
      <c r="G41" s="263"/>
      <c r="H41" s="263"/>
      <c r="I41" s="263"/>
    </row>
    <row r="42" spans="1:9" s="262" customFormat="1">
      <c r="A42" s="263" t="s">
        <v>197</v>
      </c>
      <c r="B42" s="270"/>
      <c r="C42" s="263"/>
      <c r="D42" s="263"/>
      <c r="E42" s="263"/>
      <c r="F42" s="263"/>
      <c r="G42" s="263"/>
      <c r="H42" s="263"/>
      <c r="I42" s="263" t="s">
        <v>196</v>
      </c>
    </row>
    <row r="43" spans="1:9" ht="37.5">
      <c r="A43" s="263"/>
      <c r="B43" s="270" t="s">
        <v>780</v>
      </c>
      <c r="C43" s="699" t="s">
        <v>201</v>
      </c>
      <c r="D43" s="699" t="s">
        <v>805</v>
      </c>
      <c r="E43" s="699" t="s">
        <v>801</v>
      </c>
      <c r="F43" s="699" t="s">
        <v>802</v>
      </c>
      <c r="G43" s="263"/>
      <c r="H43" s="263"/>
      <c r="I43" s="263"/>
    </row>
    <row r="44" spans="1:9" ht="13">
      <c r="A44" s="263"/>
      <c r="B44" s="270" t="s">
        <v>779</v>
      </c>
      <c r="C44" s="700">
        <v>0</v>
      </c>
      <c r="D44" s="700">
        <v>100</v>
      </c>
      <c r="E44" s="700">
        <v>0</v>
      </c>
      <c r="F44" s="700">
        <v>0</v>
      </c>
      <c r="G44" s="263"/>
      <c r="H44" s="263"/>
      <c r="I44" s="263"/>
    </row>
    <row r="45" spans="1:9" s="262" customFormat="1">
      <c r="A45" s="263" t="s">
        <v>203</v>
      </c>
      <c r="B45" s="270"/>
      <c r="C45" s="263"/>
      <c r="D45" s="263"/>
      <c r="E45" s="263"/>
      <c r="F45" s="263"/>
      <c r="G45" s="263"/>
      <c r="H45" s="263"/>
      <c r="I45" s="263" t="s">
        <v>200</v>
      </c>
    </row>
    <row r="46" spans="1:9" ht="37.5">
      <c r="A46" s="263"/>
      <c r="B46" s="270" t="s">
        <v>780</v>
      </c>
      <c r="C46" s="699" t="s">
        <v>201</v>
      </c>
      <c r="D46" s="699" t="s">
        <v>805</v>
      </c>
      <c r="E46" s="699" t="s">
        <v>801</v>
      </c>
      <c r="F46" s="699" t="s">
        <v>802</v>
      </c>
      <c r="G46" s="263"/>
      <c r="H46" s="263"/>
      <c r="I46" s="263"/>
    </row>
    <row r="47" spans="1:9" ht="13">
      <c r="A47" s="263"/>
      <c r="B47" s="270" t="s">
        <v>779</v>
      </c>
      <c r="C47" s="700">
        <v>0</v>
      </c>
      <c r="D47" s="700">
        <v>100</v>
      </c>
      <c r="E47" s="700">
        <v>0</v>
      </c>
      <c r="F47" s="700">
        <v>0</v>
      </c>
      <c r="G47" s="263"/>
      <c r="H47" s="263"/>
      <c r="I47" s="263"/>
    </row>
    <row r="48" spans="1:9" s="262" customFormat="1" ht="25">
      <c r="A48" s="263" t="s">
        <v>688</v>
      </c>
      <c r="B48" s="270"/>
      <c r="C48" s="263"/>
      <c r="D48" s="263"/>
      <c r="E48" s="263"/>
      <c r="F48" s="263"/>
      <c r="G48" s="263"/>
      <c r="H48" s="263"/>
      <c r="I48" s="263" t="s">
        <v>205</v>
      </c>
    </row>
    <row r="49" spans="1:9" ht="37.5">
      <c r="A49" s="263"/>
      <c r="B49" s="270" t="s">
        <v>780</v>
      </c>
      <c r="C49" s="699" t="s">
        <v>201</v>
      </c>
      <c r="D49" s="699" t="s">
        <v>805</v>
      </c>
      <c r="E49" s="699" t="s">
        <v>801</v>
      </c>
      <c r="F49" s="699" t="s">
        <v>802</v>
      </c>
      <c r="G49" s="263"/>
      <c r="H49" s="263"/>
      <c r="I49" s="263"/>
    </row>
    <row r="50" spans="1:9" ht="13">
      <c r="A50" s="263"/>
      <c r="B50" s="270" t="s">
        <v>779</v>
      </c>
      <c r="C50" s="700">
        <v>100</v>
      </c>
      <c r="D50" s="700">
        <v>0</v>
      </c>
      <c r="E50" s="700">
        <v>0</v>
      </c>
      <c r="F50" s="700">
        <v>0</v>
      </c>
      <c r="G50" s="263"/>
      <c r="H50" s="263"/>
      <c r="I50" s="263"/>
    </row>
    <row r="51" spans="1:9" s="262" customFormat="1">
      <c r="A51" s="263" t="s">
        <v>287</v>
      </c>
      <c r="B51" s="270"/>
      <c r="C51" s="263"/>
      <c r="D51" s="263"/>
      <c r="E51" s="263"/>
      <c r="F51" s="263"/>
      <c r="G51" s="263"/>
      <c r="H51" s="263"/>
      <c r="I51" s="263" t="s">
        <v>295</v>
      </c>
    </row>
    <row r="52" spans="1:9" ht="37.5">
      <c r="A52" s="263"/>
      <c r="B52" s="270" t="s">
        <v>780</v>
      </c>
      <c r="C52" s="699" t="s">
        <v>794</v>
      </c>
      <c r="D52" s="699" t="s">
        <v>297</v>
      </c>
      <c r="E52" s="699" t="s">
        <v>795</v>
      </c>
      <c r="F52" s="699" t="s">
        <v>809</v>
      </c>
      <c r="G52" s="263"/>
      <c r="H52" s="263"/>
      <c r="I52" s="263"/>
    </row>
    <row r="53" spans="1:9" ht="13">
      <c r="A53" s="263"/>
      <c r="B53" s="270" t="s">
        <v>779</v>
      </c>
      <c r="C53" s="700">
        <v>0</v>
      </c>
      <c r="D53" s="700">
        <v>100</v>
      </c>
      <c r="E53" s="700">
        <v>0</v>
      </c>
      <c r="F53" s="700">
        <v>0</v>
      </c>
      <c r="G53" s="263"/>
      <c r="H53" s="263"/>
      <c r="I53" s="263"/>
    </row>
    <row r="54" spans="1:9" s="262" customFormat="1">
      <c r="A54" s="263" t="s">
        <v>838</v>
      </c>
      <c r="B54" s="270"/>
      <c r="C54" s="263"/>
      <c r="D54" s="263"/>
      <c r="E54" s="263"/>
      <c r="F54" s="263"/>
      <c r="G54" s="263"/>
      <c r="H54" s="263"/>
      <c r="I54" s="271" t="s">
        <v>212</v>
      </c>
    </row>
    <row r="55" spans="1:9" ht="25">
      <c r="A55" s="263"/>
      <c r="B55" s="707" t="s">
        <v>780</v>
      </c>
      <c r="C55" s="699" t="s">
        <v>837</v>
      </c>
      <c r="D55" s="699" t="s">
        <v>836</v>
      </c>
      <c r="E55" s="263"/>
      <c r="F55" s="263"/>
      <c r="G55" s="263"/>
      <c r="H55" s="263"/>
      <c r="I55" s="263"/>
    </row>
    <row r="56" spans="1:9" ht="13">
      <c r="A56" s="263"/>
      <c r="B56" s="708" t="s">
        <v>779</v>
      </c>
      <c r="C56" s="700">
        <v>100</v>
      </c>
      <c r="D56" s="700">
        <v>0</v>
      </c>
      <c r="E56" s="263"/>
      <c r="F56" s="263"/>
      <c r="G56" s="263"/>
      <c r="H56" s="263"/>
      <c r="I56" s="263"/>
    </row>
    <row r="57" spans="1:9">
      <c r="C57" s="262"/>
      <c r="D57" s="262"/>
      <c r="E57" s="262"/>
      <c r="F57" s="262"/>
      <c r="G57" s="262"/>
      <c r="H57" s="262"/>
      <c r="I57" s="262"/>
    </row>
    <row r="58" spans="1:9">
      <c r="C58" s="262"/>
      <c r="D58" s="262"/>
      <c r="E58" s="262"/>
      <c r="F58" s="262"/>
      <c r="G58" s="262"/>
      <c r="H58" s="262"/>
      <c r="I58" s="262"/>
    </row>
    <row r="59" spans="1:9">
      <c r="C59" s="262"/>
      <c r="D59" s="262"/>
      <c r="E59" s="262"/>
      <c r="F59" s="262"/>
      <c r="G59" s="262"/>
      <c r="H59" s="262"/>
      <c r="I59" s="262"/>
    </row>
    <row r="60" spans="1:9">
      <c r="C60" s="262"/>
      <c r="D60" s="262"/>
      <c r="E60" s="262"/>
      <c r="F60" s="262"/>
      <c r="G60" s="262"/>
      <c r="H60" s="262"/>
      <c r="I60" s="262"/>
    </row>
    <row r="61" spans="1:9">
      <c r="C61" s="262"/>
      <c r="D61" s="262"/>
      <c r="E61" s="262"/>
      <c r="F61" s="262"/>
      <c r="G61" s="262"/>
      <c r="H61" s="262"/>
      <c r="I61" s="262"/>
    </row>
    <row r="62" spans="1:9">
      <c r="C62" s="262"/>
      <c r="D62" s="262"/>
      <c r="E62" s="262"/>
      <c r="F62" s="262"/>
      <c r="G62" s="262"/>
      <c r="H62" s="262"/>
      <c r="I62" s="262"/>
    </row>
    <row r="63" spans="1:9">
      <c r="C63" s="262"/>
      <c r="D63" s="262"/>
      <c r="E63" s="262"/>
      <c r="F63" s="262"/>
      <c r="G63" s="262"/>
      <c r="H63" s="262"/>
      <c r="I63" s="262"/>
    </row>
    <row r="64" spans="1:9">
      <c r="C64" s="262"/>
      <c r="D64" s="262"/>
      <c r="E64" s="262"/>
      <c r="F64" s="262"/>
      <c r="G64" s="262"/>
      <c r="H64" s="262"/>
      <c r="I64" s="262"/>
    </row>
    <row r="65" spans="3:9">
      <c r="C65" s="262"/>
      <c r="D65" s="262"/>
      <c r="E65" s="262"/>
      <c r="F65" s="262"/>
      <c r="G65" s="262"/>
      <c r="H65" s="262"/>
      <c r="I65" s="262"/>
    </row>
    <row r="66" spans="3:9">
      <c r="C66" s="262"/>
      <c r="D66" s="262"/>
      <c r="E66" s="262"/>
      <c r="F66" s="262"/>
      <c r="G66" s="262"/>
      <c r="H66" s="262"/>
      <c r="I66" s="262"/>
    </row>
    <row r="67" spans="3:9">
      <c r="C67" s="262"/>
      <c r="D67" s="262"/>
      <c r="E67" s="262"/>
      <c r="F67" s="262"/>
      <c r="G67" s="262"/>
      <c r="H67" s="262"/>
      <c r="I67" s="262"/>
    </row>
    <row r="68" spans="3:9">
      <c r="C68" s="262"/>
      <c r="D68" s="262"/>
      <c r="E68" s="262"/>
      <c r="F68" s="262"/>
      <c r="G68" s="262"/>
      <c r="H68" s="262"/>
      <c r="I68" s="262"/>
    </row>
    <row r="69" spans="3:9">
      <c r="C69" s="262"/>
      <c r="D69" s="262"/>
      <c r="E69" s="262"/>
      <c r="F69" s="262"/>
      <c r="G69" s="262"/>
      <c r="H69" s="262"/>
      <c r="I69" s="262"/>
    </row>
    <row r="70" spans="3:9">
      <c r="C70" s="262"/>
      <c r="D70" s="262"/>
      <c r="E70" s="262"/>
      <c r="F70" s="262"/>
      <c r="G70" s="262"/>
      <c r="H70" s="262"/>
      <c r="I70" s="262"/>
    </row>
    <row r="71" spans="3:9">
      <c r="C71" s="262"/>
      <c r="D71" s="262"/>
      <c r="E71" s="262"/>
      <c r="F71" s="262"/>
      <c r="G71" s="262"/>
      <c r="H71" s="262"/>
      <c r="I71" s="262"/>
    </row>
    <row r="72" spans="3:9">
      <c r="C72" s="262"/>
      <c r="D72" s="262"/>
      <c r="E72" s="262"/>
      <c r="F72" s="262"/>
      <c r="G72" s="262"/>
      <c r="H72" s="262"/>
      <c r="I72" s="262"/>
    </row>
    <row r="73" spans="3:9">
      <c r="C73" s="262"/>
      <c r="D73" s="262"/>
      <c r="E73" s="262"/>
      <c r="F73" s="262"/>
      <c r="G73" s="262"/>
      <c r="H73" s="262"/>
      <c r="I73" s="262"/>
    </row>
    <row r="74" spans="3:9">
      <c r="C74" s="262"/>
      <c r="D74" s="262"/>
      <c r="E74" s="262"/>
      <c r="F74" s="262"/>
      <c r="G74" s="262"/>
      <c r="H74" s="262"/>
      <c r="I74" s="262"/>
    </row>
    <row r="75" spans="3:9">
      <c r="C75" s="262"/>
      <c r="D75" s="262"/>
      <c r="E75" s="262"/>
      <c r="F75" s="262"/>
      <c r="G75" s="262"/>
      <c r="H75" s="262"/>
      <c r="I75" s="262"/>
    </row>
    <row r="76" spans="3:9">
      <c r="C76" s="262"/>
      <c r="D76" s="262"/>
      <c r="E76" s="262"/>
      <c r="F76" s="262"/>
      <c r="G76" s="262"/>
      <c r="H76" s="262"/>
      <c r="I76" s="262"/>
    </row>
    <row r="77" spans="3:9">
      <c r="C77" s="262"/>
      <c r="D77" s="262"/>
      <c r="E77" s="262"/>
      <c r="F77" s="262"/>
      <c r="G77" s="262"/>
      <c r="H77" s="262"/>
      <c r="I77" s="262"/>
    </row>
    <row r="78" spans="3:9">
      <c r="C78" s="262"/>
      <c r="D78" s="262"/>
      <c r="E78" s="262"/>
      <c r="F78" s="262"/>
      <c r="G78" s="262"/>
      <c r="H78" s="262"/>
      <c r="I78" s="262"/>
    </row>
    <row r="79" spans="3:9">
      <c r="C79" s="262"/>
      <c r="D79" s="262"/>
      <c r="E79" s="262"/>
      <c r="F79" s="262"/>
      <c r="G79" s="262"/>
      <c r="H79" s="262"/>
      <c r="I79" s="262"/>
    </row>
    <row r="80" spans="3:9">
      <c r="C80" s="262"/>
      <c r="D80" s="262"/>
      <c r="E80" s="262"/>
      <c r="F80" s="262"/>
      <c r="G80" s="262"/>
      <c r="H80" s="262"/>
      <c r="I80" s="262"/>
    </row>
    <row r="81" spans="3:9">
      <c r="C81" s="262"/>
      <c r="D81" s="262"/>
      <c r="E81" s="262"/>
      <c r="F81" s="262"/>
      <c r="G81" s="262"/>
      <c r="H81" s="262"/>
      <c r="I81" s="262"/>
    </row>
    <row r="82" spans="3:9">
      <c r="C82" s="262"/>
      <c r="D82" s="262"/>
      <c r="E82" s="262"/>
      <c r="F82" s="262"/>
      <c r="G82" s="262"/>
      <c r="H82" s="262"/>
      <c r="I82" s="262"/>
    </row>
    <row r="83" spans="3:9">
      <c r="C83" s="262"/>
      <c r="D83" s="262"/>
      <c r="E83" s="262"/>
      <c r="F83" s="262"/>
      <c r="G83" s="262"/>
      <c r="H83" s="262"/>
      <c r="I83" s="262"/>
    </row>
    <row r="84" spans="3:9">
      <c r="C84" s="262"/>
      <c r="D84" s="262"/>
      <c r="E84" s="262"/>
      <c r="F84" s="262"/>
      <c r="G84" s="262"/>
      <c r="H84" s="262"/>
      <c r="I84" s="262"/>
    </row>
    <row r="85" spans="3:9">
      <c r="C85" s="262"/>
      <c r="D85" s="262"/>
      <c r="E85" s="262"/>
      <c r="F85" s="262"/>
      <c r="G85" s="262"/>
      <c r="H85" s="262"/>
      <c r="I85" s="262"/>
    </row>
    <row r="86" spans="3:9">
      <c r="C86" s="262"/>
      <c r="D86" s="262"/>
      <c r="E86" s="262"/>
      <c r="F86" s="262"/>
      <c r="G86" s="262"/>
      <c r="H86" s="262"/>
      <c r="I86" s="262"/>
    </row>
    <row r="87" spans="3:9">
      <c r="C87" s="262"/>
      <c r="D87" s="262"/>
      <c r="E87" s="262"/>
      <c r="F87" s="262"/>
      <c r="G87" s="262"/>
      <c r="H87" s="262"/>
      <c r="I87" s="262"/>
    </row>
    <row r="88" spans="3:9">
      <c r="C88" s="262"/>
      <c r="D88" s="262"/>
      <c r="E88" s="262"/>
      <c r="F88" s="262"/>
      <c r="G88" s="262"/>
      <c r="H88" s="262"/>
      <c r="I88" s="262"/>
    </row>
    <row r="89" spans="3:9">
      <c r="C89" s="262"/>
      <c r="D89" s="262"/>
      <c r="E89" s="262"/>
      <c r="F89" s="262"/>
      <c r="G89" s="262"/>
      <c r="H89" s="262"/>
      <c r="I89" s="262"/>
    </row>
    <row r="90" spans="3:9">
      <c r="C90" s="262"/>
      <c r="D90" s="262"/>
      <c r="E90" s="262"/>
      <c r="F90" s="262"/>
      <c r="G90" s="262"/>
      <c r="H90" s="262"/>
      <c r="I90" s="262"/>
    </row>
    <row r="91" spans="3:9">
      <c r="C91" s="262"/>
      <c r="D91" s="262"/>
      <c r="E91" s="262"/>
      <c r="F91" s="262"/>
      <c r="G91" s="262"/>
      <c r="H91" s="262"/>
      <c r="I91" s="262"/>
    </row>
  </sheetData>
  <sheetProtection algorithmName="SHA-512" hashValue="02TLIXxyME6JfL8S4YNM1EJ9sUJlzHDaPbzDw61R/fJ8Ln9ee0FhFOwKNFDzpm3YkDMTJ8TvqUmJD/e/GrQV1Q==" saltValue="PjqyJ/LY7Vitls/1XJtDcg==" spinCount="100000" sheet="1" objects="1" scenarios="1"/>
  <conditionalFormatting sqref="B55:B56">
    <cfRule type="expression" dxfId="2" priority="3">
      <formula>$E$7="y"</formula>
    </cfRule>
  </conditionalFormatting>
  <dataValidations count="1">
    <dataValidation allowBlank="1" showInputMessage="1" showErrorMessage="1" promptTitle="Controls" sqref="C56:D56" xr:uid="{00000000-0002-0000-1D00-000000000000}"/>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L24"/>
  <sheetViews>
    <sheetView workbookViewId="0">
      <selection activeCell="A15" sqref="A15"/>
    </sheetView>
  </sheetViews>
  <sheetFormatPr defaultColWidth="8.81640625" defaultRowHeight="12.5"/>
  <cols>
    <col min="1" max="1" width="40" style="9" customWidth="1"/>
    <col min="2" max="2" width="40.453125" style="9" customWidth="1"/>
    <col min="8" max="8" width="10.453125" customWidth="1"/>
  </cols>
  <sheetData>
    <row r="1" spans="1:12">
      <c r="A1" s="816"/>
      <c r="B1" s="816"/>
    </row>
    <row r="2" spans="1:12" ht="25">
      <c r="A2" s="817" t="s">
        <v>1173</v>
      </c>
      <c r="B2" s="817" t="s">
        <v>1174</v>
      </c>
    </row>
    <row r="3" spans="1:12">
      <c r="A3" s="450" t="s">
        <v>444</v>
      </c>
      <c r="B3" s="758" t="s">
        <v>886</v>
      </c>
    </row>
    <row r="4" spans="1:12" ht="12.75" customHeight="1">
      <c r="A4" s="450" t="s">
        <v>439</v>
      </c>
      <c r="B4" s="730" t="s">
        <v>885</v>
      </c>
      <c r="C4" s="917"/>
      <c r="D4" s="918"/>
      <c r="E4" s="918"/>
      <c r="F4" s="918"/>
      <c r="G4" s="918"/>
      <c r="H4" s="918"/>
      <c r="I4" s="918"/>
      <c r="J4" s="918"/>
      <c r="K4" s="918"/>
      <c r="L4" s="918"/>
    </row>
    <row r="5" spans="1:12">
      <c r="A5" s="450" t="s">
        <v>443</v>
      </c>
      <c r="B5" s="758" t="s">
        <v>887</v>
      </c>
      <c r="C5" s="917"/>
      <c r="D5" s="918"/>
      <c r="E5" s="918"/>
      <c r="F5" s="918"/>
      <c r="G5" s="918"/>
      <c r="H5" s="918"/>
      <c r="I5" s="918"/>
      <c r="J5" s="918"/>
      <c r="K5" s="918"/>
      <c r="L5" s="918"/>
    </row>
    <row r="6" spans="1:12">
      <c r="A6" s="450" t="s">
        <v>43</v>
      </c>
      <c r="B6" s="758" t="s">
        <v>43</v>
      </c>
    </row>
    <row r="7" spans="1:12">
      <c r="A7" s="450" t="s">
        <v>361</v>
      </c>
      <c r="B7" s="449" t="str">
        <f>yes&amp;"/"&amp;no&amp;"/"&amp;que</f>
        <v>Да/Нет/?</v>
      </c>
    </row>
    <row r="8" spans="1:12">
      <c r="A8" s="450" t="s">
        <v>445</v>
      </c>
      <c r="B8" s="449" t="str">
        <f>yes&amp;"/"&amp;no</f>
        <v>Да/Нет</v>
      </c>
    </row>
    <row r="9" spans="1:12">
      <c r="A9" s="449"/>
      <c r="B9" s="449"/>
    </row>
    <row r="10" spans="1:12" ht="50">
      <c r="A10" s="450" t="s">
        <v>690</v>
      </c>
      <c r="B10" s="371" t="s">
        <v>888</v>
      </c>
      <c r="E10" s="8"/>
      <c r="F10">
        <v>0</v>
      </c>
    </row>
    <row r="11" spans="1:12" ht="50">
      <c r="A11" s="450" t="s">
        <v>691</v>
      </c>
      <c r="B11" s="371" t="s">
        <v>889</v>
      </c>
      <c r="E11" s="8"/>
    </row>
    <row r="12" spans="1:12" ht="37.5">
      <c r="A12" s="686" t="s">
        <v>812</v>
      </c>
      <c r="B12" s="687" t="s">
        <v>890</v>
      </c>
    </row>
    <row r="13" spans="1:12" ht="37.5">
      <c r="A13" s="686" t="s">
        <v>810</v>
      </c>
      <c r="B13" s="729" t="s">
        <v>1233</v>
      </c>
      <c r="E13" s="8"/>
    </row>
    <row r="14" spans="1:12" ht="37.5">
      <c r="A14" s="686" t="s">
        <v>811</v>
      </c>
      <c r="B14" s="729" t="s">
        <v>1232</v>
      </c>
      <c r="E14" s="8"/>
    </row>
    <row r="15" spans="1:12" ht="77.25" customHeight="1">
      <c r="A15" s="686" t="s">
        <v>839</v>
      </c>
      <c r="B15" s="729" t="s">
        <v>1189</v>
      </c>
      <c r="E15" s="8"/>
    </row>
    <row r="16" spans="1:12">
      <c r="A16" s="686" t="s">
        <v>813</v>
      </c>
      <c r="B16" s="758" t="s">
        <v>891</v>
      </c>
    </row>
    <row r="18" spans="1:2" ht="26">
      <c r="A18" s="760" t="s">
        <v>894</v>
      </c>
    </row>
    <row r="19" spans="1:2" ht="25">
      <c r="A19" s="759" t="s">
        <v>1175</v>
      </c>
      <c r="B19" s="759" t="s">
        <v>892</v>
      </c>
    </row>
    <row r="20" spans="1:2">
      <c r="A20" s="759" t="s">
        <v>1176</v>
      </c>
      <c r="B20" s="759" t="s">
        <v>893</v>
      </c>
    </row>
    <row r="22" spans="1:2" ht="25.5" customHeight="1">
      <c r="A22" s="915" t="s">
        <v>895</v>
      </c>
      <c r="B22" s="916"/>
    </row>
    <row r="24" spans="1:2" ht="54" customHeight="1">
      <c r="A24" s="761" t="s">
        <v>896</v>
      </c>
    </row>
  </sheetData>
  <sheetProtection algorithmName="SHA-512" hashValue="AugcscwzEDifrngqufa4FMialxHn+7rN2R6U4/3OH/bn9aPYxsGm+RdTW+xjvxNTmEiFaANmRq8ZKjCp8PLk7A==" saltValue="O8+PvNWO+ijbJSyhX3Bh1g==" spinCount="100000" sheet="1" objects="1" scenarios="1"/>
  <mergeCells count="2">
    <mergeCell ref="A22:B22"/>
    <mergeCell ref="C4:L5"/>
  </mergeCells>
  <conditionalFormatting sqref="F11">
    <cfRule type="expression" dxfId="1" priority="2">
      <formula>$F$11=1</formula>
    </cfRule>
  </conditionalFormatting>
  <conditionalFormatting sqref="F12">
    <cfRule type="expression" dxfId="0" priority="1">
      <formula>$F$12=0</formula>
    </cfRule>
  </conditionalFormatting>
  <dataValidations count="1">
    <dataValidation type="list" showInputMessage="1" showErrorMessage="1" sqref="F10" xr:uid="{00000000-0002-0000-2000-000000000000}">
      <formula1>$F$11:$F$12</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AB12"/>
  <sheetViews>
    <sheetView zoomScale="135" zoomScaleNormal="70" workbookViewId="0">
      <selection activeCell="K9" sqref="K9"/>
    </sheetView>
  </sheetViews>
  <sheetFormatPr defaultColWidth="8.81640625" defaultRowHeight="12.5"/>
  <cols>
    <col min="1" max="1" width="3" customWidth="1"/>
    <col min="2" max="2" width="6.1796875" customWidth="1"/>
    <col min="3" max="3" width="23.36328125" customWidth="1"/>
    <col min="4" max="4" width="8.453125" customWidth="1"/>
    <col min="5" max="5" width="10.453125" customWidth="1"/>
    <col min="6" max="6" width="12" customWidth="1"/>
    <col min="7" max="7" width="8.36328125" customWidth="1"/>
    <col min="8" max="8" width="13.453125" customWidth="1"/>
    <col min="9" max="9" width="18.453125" customWidth="1"/>
    <col min="10" max="10" width="19" customWidth="1"/>
    <col min="11" max="11" width="11.36328125" customWidth="1"/>
    <col min="12" max="12" width="11.453125" customWidth="1"/>
    <col min="13" max="13" width="15" style="13" customWidth="1"/>
    <col min="15" max="15" width="10.81640625" customWidth="1"/>
    <col min="16" max="16" width="4.453125" customWidth="1"/>
    <col min="17" max="17" width="5.36328125" customWidth="1"/>
    <col min="18" max="18" width="5" customWidth="1"/>
    <col min="19" max="19" width="8.453125" customWidth="1"/>
    <col min="21" max="21" width="15.453125" customWidth="1"/>
    <col min="22" max="22" width="12.453125" customWidth="1"/>
    <col min="24" max="24" width="9.6328125" customWidth="1"/>
    <col min="25" max="25" width="11.1796875" customWidth="1"/>
    <col min="26" max="26" width="11.453125" customWidth="1"/>
    <col min="27" max="27" width="17" customWidth="1"/>
    <col min="28" max="28" width="49.81640625" customWidth="1"/>
  </cols>
  <sheetData>
    <row r="1" spans="1:28" ht="18">
      <c r="A1" s="1" t="s">
        <v>34</v>
      </c>
    </row>
    <row r="2" spans="1:28" ht="14">
      <c r="A2" s="54" t="s">
        <v>313</v>
      </c>
    </row>
    <row r="3" spans="1:28" s="5" customFormat="1" ht="13">
      <c r="C3" s="7"/>
      <c r="D3" s="7"/>
      <c r="E3" s="7"/>
      <c r="F3" s="7"/>
      <c r="G3" s="7"/>
      <c r="H3" s="7"/>
      <c r="I3" s="7"/>
      <c r="J3" s="7"/>
      <c r="K3" s="7"/>
      <c r="L3" s="7"/>
      <c r="M3" s="64"/>
      <c r="N3" s="7"/>
      <c r="O3" s="7"/>
      <c r="P3" s="111" t="s">
        <v>55</v>
      </c>
      <c r="Q3" s="111"/>
      <c r="R3" s="111"/>
      <c r="S3" s="111"/>
      <c r="T3" s="111"/>
      <c r="U3" s="111"/>
      <c r="V3" s="191" t="s">
        <v>54</v>
      </c>
      <c r="W3" s="56"/>
      <c r="X3" s="56"/>
      <c r="Y3" s="56"/>
      <c r="Z3" s="56"/>
      <c r="AA3" s="56"/>
      <c r="AB3" s="111"/>
    </row>
    <row r="4" spans="1:28" s="144" customFormat="1" ht="39">
      <c r="A4" s="144" t="s">
        <v>52</v>
      </c>
      <c r="B4" s="144" t="s">
        <v>50</v>
      </c>
      <c r="C4" s="134" t="s">
        <v>59</v>
      </c>
      <c r="D4" s="112" t="s">
        <v>153</v>
      </c>
      <c r="E4" s="134" t="s">
        <v>49</v>
      </c>
      <c r="F4" s="143" t="s">
        <v>35</v>
      </c>
      <c r="G4" s="112" t="s">
        <v>37</v>
      </c>
      <c r="H4" s="143" t="s">
        <v>35</v>
      </c>
      <c r="I4" s="112" t="s">
        <v>51</v>
      </c>
      <c r="J4" s="144" t="s">
        <v>35</v>
      </c>
      <c r="K4" s="84" t="s">
        <v>61</v>
      </c>
      <c r="L4" s="143" t="s">
        <v>35</v>
      </c>
      <c r="M4" s="146" t="s">
        <v>280</v>
      </c>
      <c r="N4" s="112" t="s">
        <v>92</v>
      </c>
      <c r="O4" s="143" t="s">
        <v>35</v>
      </c>
      <c r="P4" s="147" t="s">
        <v>38</v>
      </c>
      <c r="Q4" s="147" t="s">
        <v>39</v>
      </c>
      <c r="R4" s="147" t="s">
        <v>40</v>
      </c>
      <c r="S4" s="147" t="s">
        <v>396</v>
      </c>
      <c r="T4" s="148" t="s">
        <v>42</v>
      </c>
      <c r="U4" s="148" t="s">
        <v>228</v>
      </c>
      <c r="V4" s="56" t="s">
        <v>38</v>
      </c>
      <c r="W4" s="56" t="s">
        <v>39</v>
      </c>
      <c r="X4" s="56" t="s">
        <v>40</v>
      </c>
      <c r="Y4" s="56" t="s">
        <v>396</v>
      </c>
      <c r="Z4" s="57" t="s">
        <v>42</v>
      </c>
      <c r="AA4" s="57" t="s">
        <v>228</v>
      </c>
      <c r="AB4" s="111" t="s">
        <v>87</v>
      </c>
    </row>
    <row r="5" spans="1:28" s="129" customFormat="1" ht="39">
      <c r="A5" s="129" t="s">
        <v>310</v>
      </c>
      <c r="C5" s="134" t="s">
        <v>304</v>
      </c>
      <c r="D5" s="111"/>
      <c r="F5" s="128"/>
      <c r="G5" s="76"/>
      <c r="H5" s="128"/>
      <c r="I5" s="253"/>
      <c r="K5" s="113"/>
      <c r="L5" s="128"/>
      <c r="M5" s="135"/>
      <c r="N5" s="253"/>
      <c r="O5" s="128"/>
      <c r="P5" s="127"/>
      <c r="Q5" s="127"/>
      <c r="R5" s="127"/>
      <c r="S5" s="127"/>
      <c r="T5" s="127"/>
      <c r="U5" s="127"/>
      <c r="V5" s="58"/>
      <c r="W5" s="58"/>
      <c r="X5" s="58"/>
      <c r="Y5" s="58"/>
      <c r="Z5" s="58"/>
      <c r="AA5" s="58"/>
      <c r="AB5" s="76"/>
    </row>
    <row r="6" spans="1:28" ht="13">
      <c r="B6" s="3" t="s">
        <v>311</v>
      </c>
      <c r="C6" s="26" t="s">
        <v>305</v>
      </c>
      <c r="D6" s="111"/>
      <c r="E6" s="11" t="s">
        <v>306</v>
      </c>
      <c r="F6" s="3" t="s">
        <v>307</v>
      </c>
      <c r="G6" s="76">
        <v>4</v>
      </c>
      <c r="H6" s="3" t="s">
        <v>307</v>
      </c>
      <c r="I6" s="254">
        <f>'Этап 7 - Крематории-кладбища'!C5</f>
        <v>0</v>
      </c>
      <c r="J6" s="3" t="s">
        <v>308</v>
      </c>
      <c r="K6" s="113">
        <f>G6*I6/1000*('Этап 6-Hg-продукция - вещ-ва'!C11/Countrydata!$D$57)</f>
        <v>0</v>
      </c>
      <c r="L6" s="3" t="s">
        <v>36</v>
      </c>
      <c r="M6" s="33"/>
      <c r="N6" s="253">
        <f>K6</f>
        <v>0</v>
      </c>
      <c r="O6" s="3" t="s">
        <v>36</v>
      </c>
      <c r="P6" s="76">
        <v>1</v>
      </c>
      <c r="Q6" s="76"/>
      <c r="R6" s="76"/>
      <c r="S6" s="275"/>
      <c r="T6" s="76"/>
      <c r="U6" s="76"/>
      <c r="V6" s="114">
        <f t="shared" ref="V6:AA6" si="0">$N6*P6</f>
        <v>0</v>
      </c>
      <c r="W6" s="114">
        <f t="shared" si="0"/>
        <v>0</v>
      </c>
      <c r="X6" s="114">
        <f t="shared" si="0"/>
        <v>0</v>
      </c>
      <c r="Y6" s="244" t="s">
        <v>273</v>
      </c>
      <c r="Z6" s="114">
        <f t="shared" si="0"/>
        <v>0</v>
      </c>
      <c r="AA6" s="114">
        <f t="shared" si="0"/>
        <v>0</v>
      </c>
      <c r="AB6" s="76"/>
    </row>
    <row r="7" spans="1:28" s="55" customFormat="1" ht="13">
      <c r="B7" s="104"/>
      <c r="C7" s="137"/>
      <c r="D7" s="76"/>
      <c r="E7" s="106"/>
      <c r="F7" s="104"/>
      <c r="G7" s="76"/>
      <c r="H7" s="104"/>
      <c r="I7" s="254"/>
      <c r="K7" s="169"/>
      <c r="L7" s="104"/>
      <c r="M7" s="138"/>
      <c r="N7" s="254"/>
      <c r="O7" s="104"/>
      <c r="P7" s="130"/>
      <c r="Q7" s="130"/>
      <c r="R7" s="130"/>
      <c r="S7" s="130"/>
      <c r="T7" s="130"/>
      <c r="U7" s="127"/>
      <c r="V7" s="116"/>
      <c r="W7" s="116"/>
      <c r="X7" s="116"/>
      <c r="Y7" s="116"/>
      <c r="Z7" s="116"/>
      <c r="AA7" s="116"/>
      <c r="AB7" s="76"/>
    </row>
    <row r="8" spans="1:28" ht="13">
      <c r="B8" s="3" t="s">
        <v>312</v>
      </c>
      <c r="C8" s="26" t="s">
        <v>380</v>
      </c>
      <c r="D8" s="111"/>
      <c r="E8" s="11" t="s">
        <v>306</v>
      </c>
      <c r="F8" s="3" t="s">
        <v>307</v>
      </c>
      <c r="G8" s="76">
        <v>4</v>
      </c>
      <c r="H8" s="3" t="s">
        <v>307</v>
      </c>
      <c r="I8" s="254">
        <f>'Этап 7 - Крематории-кладбища'!C6</f>
        <v>0</v>
      </c>
      <c r="J8" s="3" t="s">
        <v>309</v>
      </c>
      <c r="K8" s="113">
        <f>G8*I8/1000*('Этап 6-Hg-продукция - вещ-ва'!C11/Countrydata!$D$57)</f>
        <v>0</v>
      </c>
      <c r="L8" s="3" t="s">
        <v>36</v>
      </c>
      <c r="M8" s="33"/>
      <c r="N8" s="253">
        <f>K8</f>
        <v>0</v>
      </c>
      <c r="O8" s="3" t="s">
        <v>36</v>
      </c>
      <c r="P8" s="76"/>
      <c r="Q8" s="76"/>
      <c r="R8" s="76">
        <v>1</v>
      </c>
      <c r="S8" s="275"/>
      <c r="T8" s="76"/>
      <c r="U8" s="76"/>
      <c r="V8" s="114">
        <f t="shared" ref="V8:AA8" si="1">$N8*P8</f>
        <v>0</v>
      </c>
      <c r="W8" s="114">
        <f t="shared" si="1"/>
        <v>0</v>
      </c>
      <c r="X8" s="114">
        <f t="shared" si="1"/>
        <v>0</v>
      </c>
      <c r="Y8" s="244" t="s">
        <v>273</v>
      </c>
      <c r="Z8" s="114">
        <f t="shared" si="1"/>
        <v>0</v>
      </c>
      <c r="AA8" s="114">
        <f t="shared" si="1"/>
        <v>0</v>
      </c>
      <c r="AB8" s="76"/>
    </row>
    <row r="9" spans="1:28" s="55" customFormat="1">
      <c r="D9" s="76"/>
      <c r="G9" s="76"/>
      <c r="I9" s="253"/>
      <c r="K9" s="113"/>
      <c r="M9" s="162"/>
      <c r="N9" s="253"/>
      <c r="O9" s="104"/>
      <c r="P9" s="76"/>
      <c r="Q9" s="76"/>
      <c r="R9" s="76"/>
      <c r="S9" s="76"/>
      <c r="T9" s="76"/>
      <c r="U9" s="76"/>
      <c r="V9" s="58"/>
      <c r="W9" s="58"/>
      <c r="X9" s="58"/>
      <c r="Y9" s="58"/>
      <c r="Z9" s="58"/>
      <c r="AA9" s="58"/>
      <c r="AB9" s="76"/>
    </row>
    <row r="10" spans="1:28">
      <c r="D10" s="3"/>
      <c r="E10" s="3"/>
      <c r="F10" s="3"/>
      <c r="G10" s="3"/>
      <c r="H10" s="3"/>
      <c r="I10" s="3"/>
      <c r="J10" s="3"/>
      <c r="K10" s="36"/>
      <c r="L10" s="3"/>
      <c r="M10" s="63"/>
      <c r="N10" s="3"/>
      <c r="O10" s="3"/>
      <c r="P10" s="3"/>
      <c r="Q10" s="3"/>
      <c r="R10" s="3"/>
      <c r="S10" s="3"/>
      <c r="T10" s="3"/>
      <c r="U10" s="3"/>
      <c r="V10" s="3"/>
      <c r="W10" s="3"/>
      <c r="X10" s="3"/>
      <c r="Y10" s="3"/>
      <c r="Z10" s="3"/>
      <c r="AA10" s="3"/>
      <c r="AB10" s="3"/>
    </row>
    <row r="11" spans="1:28" ht="13">
      <c r="C11" s="5"/>
      <c r="D11" s="8"/>
    </row>
    <row r="12" spans="1:28">
      <c r="D12" s="6"/>
    </row>
  </sheetData>
  <sheetProtection algorithmName="SHA-512" hashValue="5Jn2fJAqWqYbSwSzmo2FT6jwGGifS4C0GfJv8ZORRp1B5DUDFl3Oh+yxwmx835M+IfYKfArRmWf/m5owMvh/Wg==" saltValue="/aEj0NJN7CNAKL8KspCj7A==" spinCount="100000"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37"/>
  <sheetViews>
    <sheetView zoomScaleNormal="100" zoomScaleSheetLayoutView="80" workbookViewId="0">
      <selection activeCell="B32" sqref="B32"/>
    </sheetView>
  </sheetViews>
  <sheetFormatPr defaultColWidth="9.1796875" defaultRowHeight="12.5"/>
  <cols>
    <col min="1" max="1" width="38" style="337" customWidth="1"/>
    <col min="2" max="2" width="10" style="357" customWidth="1"/>
    <col min="3" max="3" width="14.1796875" style="337" customWidth="1"/>
    <col min="4" max="4" width="21.453125" style="337" customWidth="1"/>
    <col min="5" max="5" width="22.6328125" style="337" customWidth="1"/>
    <col min="6" max="10" width="16.81640625" style="337" customWidth="1"/>
    <col min="11" max="11" width="14.81640625" style="337" customWidth="1"/>
    <col min="12" max="12" width="15.453125" style="337" customWidth="1"/>
    <col min="13" max="13" width="5.36328125" style="337" customWidth="1"/>
    <col min="14" max="14" width="9.1796875" style="337"/>
    <col min="15" max="15" width="0" style="337" hidden="1" customWidth="1"/>
    <col min="16" max="16" width="28.81640625" style="337" customWidth="1"/>
    <col min="17" max="16384" width="9.1796875" style="337"/>
  </cols>
  <sheetData>
    <row r="1" spans="1:16" ht="13">
      <c r="A1" s="749" t="s">
        <v>918</v>
      </c>
      <c r="B1" s="354"/>
    </row>
    <row r="2" spans="1:16" ht="30" customHeight="1">
      <c r="A2" s="884" t="str">
        <f>IF(ISNA(MATCH("n",O5:O31,0)),"",trans_warning)</f>
        <v/>
      </c>
      <c r="B2" s="885"/>
      <c r="C2" s="885"/>
      <c r="D2" s="885"/>
      <c r="E2" s="885"/>
      <c r="F2" s="885"/>
      <c r="G2" s="885"/>
      <c r="H2" s="885"/>
      <c r="I2" s="885"/>
      <c r="J2" s="885"/>
      <c r="K2" s="885"/>
      <c r="L2" s="885"/>
      <c r="M2" s="886"/>
    </row>
    <row r="3" spans="1:16" s="358" customFormat="1" ht="52">
      <c r="A3" s="717" t="s">
        <v>868</v>
      </c>
      <c r="B3" s="718" t="s">
        <v>869</v>
      </c>
      <c r="C3" s="719" t="s">
        <v>870</v>
      </c>
      <c r="D3" s="717"/>
      <c r="E3" s="720"/>
      <c r="F3" s="731" t="s">
        <v>871</v>
      </c>
      <c r="G3" s="881" t="s">
        <v>872</v>
      </c>
      <c r="H3" s="882"/>
      <c r="I3" s="882"/>
      <c r="J3" s="882"/>
      <c r="K3" s="882"/>
      <c r="L3" s="883"/>
      <c r="M3" s="717"/>
    </row>
    <row r="4" spans="1:16" ht="65">
      <c r="A4" s="715"/>
      <c r="B4" s="716" t="str">
        <f>quest</f>
        <v>Да/Нет/?</v>
      </c>
      <c r="C4" s="719" t="s">
        <v>874</v>
      </c>
      <c r="D4" s="719" t="s">
        <v>875</v>
      </c>
      <c r="E4" s="722" t="s">
        <v>1187</v>
      </c>
      <c r="F4" s="733" t="s">
        <v>876</v>
      </c>
      <c r="G4" s="723" t="s">
        <v>877</v>
      </c>
      <c r="H4" s="723" t="s">
        <v>878</v>
      </c>
      <c r="I4" s="723" t="s">
        <v>879</v>
      </c>
      <c r="J4" s="733" t="s">
        <v>880</v>
      </c>
      <c r="K4" s="733" t="s">
        <v>881</v>
      </c>
      <c r="L4" s="733" t="s">
        <v>882</v>
      </c>
      <c r="M4" s="717" t="s">
        <v>883</v>
      </c>
      <c r="N4" s="321" t="s">
        <v>884</v>
      </c>
    </row>
    <row r="5" spans="1:16" ht="13.5" thickBot="1">
      <c r="A5" s="735" t="s">
        <v>919</v>
      </c>
      <c r="B5" s="473"/>
      <c r="C5" s="266"/>
      <c r="D5" s="270"/>
      <c r="E5" s="270"/>
      <c r="F5" s="349"/>
      <c r="G5" s="350"/>
      <c r="H5" s="350"/>
      <c r="I5" s="350"/>
      <c r="J5" s="351"/>
      <c r="K5" s="351"/>
      <c r="L5" s="351"/>
      <c r="M5" s="263"/>
      <c r="N5" s="458"/>
    </row>
    <row r="6" spans="1:16" ht="29.25" customHeight="1" thickBot="1">
      <c r="A6" s="737" t="s">
        <v>920</v>
      </c>
      <c r="B6" s="363"/>
      <c r="C6" s="376"/>
      <c r="D6" s="765" t="s">
        <v>930</v>
      </c>
      <c r="E6" s="343"/>
      <c r="F6" s="456" t="str">
        <f>IF(OR($B6=yes,$B6=yes),'5-2 Prim metal'!K6, IF(OR($B6=no,$B6=no),"-", IF($B6=que,que, pres)))</f>
        <v>Присутствует?</v>
      </c>
      <c r="G6" s="278" t="str">
        <f>IF(OR($B6=yes,$B6=yes),'5-2 Prim metal'!V6, IF(OR($B6=no,$B6=no),"-", IF($B6=que,que, pres)))</f>
        <v>Присутствует?</v>
      </c>
      <c r="H6" s="278" t="str">
        <f>IF(OR($B6=yes,$B6=yes),'5-2 Prim metal'!W6, IF(OR($B6=no,$B6=no),"-", IF($B6=que,que, pres)))</f>
        <v>Присутствует?</v>
      </c>
      <c r="I6" s="278" t="str">
        <f>IF(OR($B6=yes,$B6=yes),'5-2 Prim metal'!X6, IF(OR($B6=no,$B6=no),"-", IF($B6=que,que, pres)))</f>
        <v>Присутствует?</v>
      </c>
      <c r="J6" s="278" t="str">
        <f>IF(OR($B6=yes,$B6=yes),'5-2 Prim metal'!Y6, IF(OR($B6=no,$B6=no),"-", IF($B6=que,que, pres)))</f>
        <v>Присутствует?</v>
      </c>
      <c r="K6" s="278" t="str">
        <f>IF(OR($B6=yes,$B6=yes),'5-2 Prim metal'!Z6, IF(OR($B6=no,$B6=no),"-", IF($B6=que,que, pres)))</f>
        <v>Присутствует?</v>
      </c>
      <c r="L6" s="278" t="str">
        <f>IF(OR($B6=yes,$B6=yes),'5-2 Prim metal'!AA6, IF(OR($B6=no,$B6=no),"-", IF($B6=que,que, pres)))</f>
        <v>Присутствует?</v>
      </c>
      <c r="M6" s="271" t="s">
        <v>157</v>
      </c>
      <c r="N6" s="458"/>
    </row>
    <row r="7" spans="1:16" ht="38" thickBot="1">
      <c r="A7" s="737" t="s">
        <v>921</v>
      </c>
      <c r="B7" s="364"/>
      <c r="C7" s="397"/>
      <c r="D7" s="765" t="s">
        <v>931</v>
      </c>
      <c r="E7" s="668"/>
      <c r="F7" s="456" t="str">
        <f>IF(OR($B7=yes,$B7=yes),'5-2 Prim metal'!K16, IF(OR($B7=no,$B7=no),"-", IF($B7=que,que, pres)))</f>
        <v>Присутствует?</v>
      </c>
      <c r="G7" s="278" t="str">
        <f>IF(OR($B7=yes,$B7=yes),SUM('5-2 Prim metal'!V16:V19), IF(OR($B7=no,$B7=no),"-", IF($B7=que,que, pres)))</f>
        <v>Присутствует?</v>
      </c>
      <c r="H7" s="278" t="str">
        <f>IF(OR($B7=yes,$B7=yes),SUM('5-2 Prim metal'!W16:W19), IF(OR($B7=no,$B7=no),"-", IF($B7=que,que, pres)))</f>
        <v>Присутствует?</v>
      </c>
      <c r="I7" s="278" t="str">
        <f>IF(OR($B7=yes,$B7=yes),SUM('5-2 Prim metal'!X16:X19), IF(OR($B7=no,$B7=no),"-", IF($B7=que,que, pres)))</f>
        <v>Присутствует?</v>
      </c>
      <c r="J7" s="278" t="str">
        <f>IF(OR($B7=yes,$B7=yes),SUM('5-2 Prim metal'!Y16:Y19), IF(OR($B7=no,$B7=no),"-", IF($B7=que,que, pres)))</f>
        <v>Присутствует?</v>
      </c>
      <c r="K7" s="278" t="str">
        <f>IF(OR($B7=yes,$B7=yes),SUM('5-2 Prim metal'!Z16:Z19), IF(OR($B7=no,$B7=no),"-", IF($B7=que,que, pres)))</f>
        <v>Присутствует?</v>
      </c>
      <c r="L7" s="278" t="str">
        <f>IF(OR($B7=yes,$B7=yes),SUM('5-2 Prim metal'!AA16:AA19), IF(OR($B7=no,$B7=no),"-", IF($B7=que,que, pres)))</f>
        <v>Присутствует?</v>
      </c>
      <c r="M7" s="271" t="s">
        <v>365</v>
      </c>
      <c r="N7" s="458"/>
    </row>
    <row r="8" spans="1:16" ht="75">
      <c r="A8" s="268"/>
      <c r="B8" s="709"/>
      <c r="C8" s="713"/>
      <c r="D8" s="271"/>
      <c r="E8" s="676" t="s">
        <v>1190</v>
      </c>
      <c r="F8" s="655"/>
      <c r="G8" s="655" t="s">
        <v>1205</v>
      </c>
      <c r="H8" s="655" t="s">
        <v>1206</v>
      </c>
      <c r="I8" s="655" t="s">
        <v>1207</v>
      </c>
      <c r="J8" s="655" t="s">
        <v>1208</v>
      </c>
      <c r="K8" s="278"/>
      <c r="L8" s="278"/>
      <c r="M8" s="271"/>
      <c r="N8" s="458"/>
    </row>
    <row r="9" spans="1:16" ht="38" thickBot="1">
      <c r="A9" s="268"/>
      <c r="B9" s="710"/>
      <c r="C9" s="710"/>
      <c r="D9" s="656" t="s">
        <v>1198</v>
      </c>
      <c r="E9" s="655" t="s">
        <v>1191</v>
      </c>
      <c r="F9" s="655"/>
      <c r="G9" s="658">
        <f>100-H9-I9-J9-K9-L9</f>
        <v>0</v>
      </c>
      <c r="H9" s="662"/>
      <c r="I9" s="662">
        <v>100</v>
      </c>
      <c r="J9" s="662"/>
      <c r="K9" s="278"/>
      <c r="L9" s="278"/>
      <c r="M9" s="701" t="s">
        <v>1257</v>
      </c>
      <c r="N9" s="459"/>
      <c r="P9" s="702"/>
    </row>
    <row r="10" spans="1:16" ht="38" thickBot="1">
      <c r="A10" s="737" t="s">
        <v>922</v>
      </c>
      <c r="B10" s="711"/>
      <c r="C10" s="400"/>
      <c r="D10" s="765" t="s">
        <v>931</v>
      </c>
      <c r="E10" s="668"/>
      <c r="F10" s="456" t="str">
        <f>IF(OR($B10=yes,$B10=yes),'5-2 Prim metal'!K23, IF(OR($B10=no,$B10=no),"-", IF($B10=que,que, pres)))</f>
        <v>Присутствует?</v>
      </c>
      <c r="G10" s="278" t="str">
        <f>IF(OR($B10=yes,$B10=yes),SUM('5-2 Prim metal'!V23:V26), IF(OR($B10=no,$B10=no),"-", IF($B10=que,que, pres)))</f>
        <v>Присутствует?</v>
      </c>
      <c r="H10" s="278" t="str">
        <f>IF(OR($B10=yes,$B10=yes),SUM('5-2 Prim metal'!W23:W26), IF(OR($B10=no,$B10=no),"-", IF($B10=que,que, pres)))</f>
        <v>Присутствует?</v>
      </c>
      <c r="I10" s="278" t="str">
        <f>IF(OR($B10=yes,$B10=yes),SUM('5-2 Prim metal'!X23:X26), IF(OR($B10=no,$B10=no),"-", IF($B10=que,que, pres)))</f>
        <v>Присутствует?</v>
      </c>
      <c r="J10" s="278" t="str">
        <f>IF(OR($B10=yes,$B10=yes),SUM('5-2 Prim metal'!Y23:Y26), IF(OR($B10=no,$B10=no),"-", IF($B10=que,que, pres)))</f>
        <v>Присутствует?</v>
      </c>
      <c r="K10" s="278" t="str">
        <f>IF(OR($B10=yes,$B10=yes),SUM('5-2 Prim metal'!Z23:Z26), IF(OR($B10=no,$B10=no),"-", IF($B10=que,que, pres)))</f>
        <v>Присутствует?</v>
      </c>
      <c r="L10" s="278" t="str">
        <f>IF(OR($B10=yes,$B10=yes),SUM('5-2 Prim metal'!AA23:AA26), IF(OR($B10=no,$B10=no),"-", IF($B10=que,que, pres)))</f>
        <v>Присутствует?</v>
      </c>
      <c r="M10" s="271" t="s">
        <v>366</v>
      </c>
      <c r="N10" s="458"/>
    </row>
    <row r="11" spans="1:16" ht="93" customHeight="1">
      <c r="A11" s="268"/>
      <c r="B11" s="709"/>
      <c r="C11" s="709"/>
      <c r="D11" s="271"/>
      <c r="E11" s="676" t="s">
        <v>1190</v>
      </c>
      <c r="F11" s="655"/>
      <c r="G11" s="655" t="s">
        <v>1205</v>
      </c>
      <c r="H11" s="655" t="s">
        <v>1206</v>
      </c>
      <c r="I11" s="655" t="s">
        <v>1207</v>
      </c>
      <c r="J11" s="655" t="s">
        <v>1208</v>
      </c>
      <c r="K11" s="278"/>
      <c r="L11" s="278"/>
      <c r="M11" s="271"/>
      <c r="N11" s="458"/>
    </row>
    <row r="12" spans="1:16" ht="38" thickBot="1">
      <c r="A12" s="268"/>
      <c r="B12" s="710"/>
      <c r="C12" s="710"/>
      <c r="D12" s="656" t="s">
        <v>1198</v>
      </c>
      <c r="E12" s="655" t="s">
        <v>1191</v>
      </c>
      <c r="F12" s="655"/>
      <c r="G12" s="658">
        <f>100-H12-I12-J12-K12-L12</f>
        <v>0</v>
      </c>
      <c r="H12" s="662"/>
      <c r="I12" s="662">
        <v>100</v>
      </c>
      <c r="J12" s="662"/>
      <c r="K12" s="278"/>
      <c r="L12" s="278"/>
      <c r="M12" s="701" t="s">
        <v>1257</v>
      </c>
      <c r="N12" s="459"/>
    </row>
    <row r="13" spans="1:16" ht="38" thickBot="1">
      <c r="A13" s="737" t="s">
        <v>923</v>
      </c>
      <c r="B13" s="711"/>
      <c r="C13" s="400"/>
      <c r="D13" s="765" t="s">
        <v>931</v>
      </c>
      <c r="E13" s="668"/>
      <c r="F13" s="456" t="str">
        <f>IF(OR($B13=yes,$B13=yes),'5-2 Prim metal'!K30, IF(OR($B13=no,$B13=no),"-", IF($B13=que,que, pres)))</f>
        <v>Присутствует?</v>
      </c>
      <c r="G13" s="278" t="str">
        <f>IF(OR($B13=yes,$B13=yes),'5-2 Prim metal'!V28, IF(OR($B13=no,$B13=no),"-", IF($B13=que,que, pres)))</f>
        <v>Присутствует?</v>
      </c>
      <c r="H13" s="278" t="str">
        <f>IF(OR($B13=yes,$B13=yes),'5-2 Prim metal'!W28, IF(OR($B13=no,$B13=no),"-", IF($B13=que,que, pres)))</f>
        <v>Присутствует?</v>
      </c>
      <c r="I13" s="278" t="str">
        <f>IF(OR($B13=yes,$B13=yes),'5-2 Prim metal'!X28, IF(OR($B13=no,$B13=no),"-", IF($B13=que,que, pres)))</f>
        <v>Присутствует?</v>
      </c>
      <c r="J13" s="278" t="str">
        <f>IF(OR($B13=yes,$B13=yes),'5-2 Prim metal'!Y28, IF(OR($B13=no,$B13=no),"-", IF($B13=que,que, pres)))</f>
        <v>Присутствует?</v>
      </c>
      <c r="K13" s="278" t="str">
        <f>IF(OR($B13=yes,$B13=yes),'5-2 Prim metal'!Z28, IF(OR($B13=no,$B13=no),"-", IF($B13=que,que, pres)))</f>
        <v>Присутствует?</v>
      </c>
      <c r="L13" s="278" t="str">
        <f>IF(OR($B13=yes,$B13=yes),'5-2 Prim metal'!AA28, IF(OR($B13=no,$B13=no),"-", IF($B13=que,que, pres)))</f>
        <v>Присутствует?</v>
      </c>
      <c r="M13" s="271" t="s">
        <v>367</v>
      </c>
      <c r="N13" s="458"/>
    </row>
    <row r="14" spans="1:16" ht="93.75" customHeight="1">
      <c r="A14" s="268"/>
      <c r="B14" s="709"/>
      <c r="C14" s="709"/>
      <c r="D14" s="271"/>
      <c r="E14" s="676" t="s">
        <v>1190</v>
      </c>
      <c r="F14" s="655"/>
      <c r="G14" s="655" t="s">
        <v>1205</v>
      </c>
      <c r="H14" s="655" t="s">
        <v>1206</v>
      </c>
      <c r="I14" s="655" t="s">
        <v>1207</v>
      </c>
      <c r="J14" s="655" t="s">
        <v>1208</v>
      </c>
      <c r="K14" s="278"/>
      <c r="L14" s="278"/>
      <c r="M14" s="271"/>
      <c r="N14" s="458"/>
    </row>
    <row r="15" spans="1:16" ht="38" thickBot="1">
      <c r="A15" s="268"/>
      <c r="B15" s="710"/>
      <c r="C15" s="710"/>
      <c r="D15" s="656" t="s">
        <v>1198</v>
      </c>
      <c r="E15" s="655" t="s">
        <v>1191</v>
      </c>
      <c r="F15" s="655"/>
      <c r="G15" s="658">
        <f>100-H15-I15-J15-K15-L15</f>
        <v>0</v>
      </c>
      <c r="H15" s="662"/>
      <c r="I15" s="662">
        <v>100</v>
      </c>
      <c r="J15" s="662"/>
      <c r="K15" s="278"/>
      <c r="L15" s="278"/>
      <c r="M15" s="701" t="s">
        <v>1257</v>
      </c>
      <c r="N15" s="459"/>
    </row>
    <row r="16" spans="1:16" ht="37.5">
      <c r="A16" s="737" t="s">
        <v>924</v>
      </c>
      <c r="B16" s="363"/>
      <c r="C16" s="376"/>
      <c r="D16" s="765" t="s">
        <v>932</v>
      </c>
      <c r="E16" s="343"/>
      <c r="F16" s="456" t="str">
        <f>IF(OR($B16=yes,$B16=yes),'5-2 Prim metal'!K35, IF(OR($B16=no,$B16=no),"-", IF($B16=que,que, pres)))</f>
        <v>Присутствует?</v>
      </c>
      <c r="G16" s="278" t="str">
        <f>IF(OR($B16=yes,$B16=yes),'5-2 Prim metal'!V35, IF(OR($B16=no,$B16=no),"-", IF($B16=que,que, pres)))</f>
        <v>Присутствует?</v>
      </c>
      <c r="H16" s="278" t="str">
        <f>IF(OR($B16=yes,$B16=yes),'5-2 Prim metal'!W35, IF(OR($B16=no,$B16=no),"-", IF($B16=que,que, pres)))</f>
        <v>Присутствует?</v>
      </c>
      <c r="I16" s="278" t="str">
        <f>IF(OR($B16=yes,$B16=yes),'5-2 Prim metal'!X35, IF(OR($B16=no,$B16=no),"-", IF($B16=que,que, pres)))</f>
        <v>Присутствует?</v>
      </c>
      <c r="J16" s="278" t="str">
        <f>IF(OR($B16=yes,$B16=yes),'5-2 Prim metal'!Y35, IF(OR($B16=no,$B16=no),"-", IF($B16=que,que, pres)))</f>
        <v>Присутствует?</v>
      </c>
      <c r="K16" s="278" t="str">
        <f>IF(OR($B16=yes,$B16=yes),'5-2 Prim metal'!Z35, IF(OR($B16=no,$B16=no),"-", IF($B16=que,que, pres)))</f>
        <v>Присутствует?</v>
      </c>
      <c r="L16" s="278" t="str">
        <f>IF(OR($B16=yes,$B16=yes),'5-2 Prim metal'!AA35, IF(OR($B16=no,$B16=no),"-", IF($B16=que,que, pres)))</f>
        <v>Присутствует?</v>
      </c>
      <c r="M16" s="271" t="s">
        <v>368</v>
      </c>
      <c r="N16" s="458"/>
    </row>
    <row r="17" spans="1:18" ht="25">
      <c r="A17" s="737" t="s">
        <v>925</v>
      </c>
      <c r="B17" s="388"/>
      <c r="C17" s="378"/>
      <c r="D17" s="765" t="s">
        <v>933</v>
      </c>
      <c r="E17" s="343"/>
      <c r="F17" s="456" t="str">
        <f>IF(OR($B17=yes,$B17=yes),'5-2 Prim metal'!K38, IF(OR($B17=no,$B17=no),"-", IF($B17=que,que, pres)))</f>
        <v>Присутствует?</v>
      </c>
      <c r="G17" s="278" t="str">
        <f>IF(OR($B17=yes,$B17=yes),'5-2 Prim metal'!V38, IF(OR($B17=no,$B17=no),"-", IF($B17=que,que, pres)))</f>
        <v>Присутствует?</v>
      </c>
      <c r="H17" s="278" t="str">
        <f>IF(OR($B17=yes,$B17=yes),'5-2 Prim metal'!W38, IF(OR($B17=no,$B17=no),"-", IF($B17=que,que, pres)))</f>
        <v>Присутствует?</v>
      </c>
      <c r="I17" s="278" t="str">
        <f>IF(OR($B17=yes,$B17=yes),'5-2 Prim metal'!X38, IF(OR($B17=no,$B17=no),"-", IF($B17=que,que, pres)))</f>
        <v>Присутствует?</v>
      </c>
      <c r="J17" s="278" t="str">
        <f>IF(OR($B17=yes,$B17=yes),'5-2 Prim metal'!Y38, IF(OR($B17=no,$B17=no),"-", IF($B17=que,que, pres)))</f>
        <v>Присутствует?</v>
      </c>
      <c r="K17" s="278" t="str">
        <f>IF(OR($B17=yes,$B17=yes),'5-2 Prim metal'!Z38, IF(OR($B17=no,$B17=no),"-", IF($B17=que,que, pres)))</f>
        <v>Присутствует?</v>
      </c>
      <c r="L17" s="278" t="str">
        <f>IF(OR($B17=yes,$B17=yes),'5-2 Prim metal'!AA38, IF(OR($B17=no,$B17=no),"-", IF($B17=que,que, pres)))</f>
        <v>Присутствует?</v>
      </c>
      <c r="M17" s="271" t="s">
        <v>369</v>
      </c>
      <c r="N17" s="458"/>
    </row>
    <row r="18" spans="1:18" ht="25.5" thickBot="1">
      <c r="A18" s="737" t="s">
        <v>926</v>
      </c>
      <c r="B18" s="388"/>
      <c r="C18" s="378"/>
      <c r="D18" s="765" t="s">
        <v>934</v>
      </c>
      <c r="E18" s="352"/>
      <c r="F18" s="456" t="str">
        <f>IF(OR($B18=yes,$B18=yes),'5-2 Prim metal'!K43, IF(OR($B18=no,$B18=no),"-", IF($B18=que,que, pres)))</f>
        <v>Присутствует?</v>
      </c>
      <c r="G18" s="278" t="str">
        <f>IF(OR($B18=yes,$B18=yes),'5-2 Prim metal'!V43, IF(OR($B18=no,$B18=no),"-", IF($B18=que,que, pres)))</f>
        <v>Присутствует?</v>
      </c>
      <c r="H18" s="278" t="str">
        <f>IF(OR($B18=yes,$B18=yes),'5-2 Prim metal'!W43, IF(OR($B18=no,$B18=no),"-", IF($B18=que,que, pres)))</f>
        <v>Присутствует?</v>
      </c>
      <c r="I18" s="278" t="str">
        <f>IF(OR($B18=yes,$B18=yes),'5-2 Prim metal'!X43, IF(OR($B18=no,$B18=no),"-", IF($B18=que,que, pres)))</f>
        <v>Присутствует?</v>
      </c>
      <c r="J18" s="278" t="str">
        <f>IF(OR($B18=yes,$B18=yes),'5-2 Prim metal'!Y43, IF(OR($B18=no,$B18=no),"-", IF($B18=que,que, pres)))</f>
        <v>Присутствует?</v>
      </c>
      <c r="K18" s="278" t="str">
        <f>IF(OR($B18=yes,$B18=yes),'5-2 Prim metal'!Z43, IF(OR($B18=no,$B18=no),"-", IF($B18=que,que, pres)))</f>
        <v>Присутствует?</v>
      </c>
      <c r="L18" s="278" t="str">
        <f>IF(OR($B18=yes,$B18=yes),'5-2 Prim metal'!AA43, IF(OR($B18=no,$B18=no),"-", IF($B18=que,que, pres)))</f>
        <v>Присутствует?</v>
      </c>
      <c r="M18" s="271" t="s">
        <v>370</v>
      </c>
      <c r="N18" s="458"/>
    </row>
    <row r="19" spans="1:18" ht="38" thickBot="1">
      <c r="A19" s="596" t="s">
        <v>1237</v>
      </c>
      <c r="B19" s="620"/>
      <c r="C19" s="397"/>
      <c r="D19" s="765" t="s">
        <v>935</v>
      </c>
      <c r="E19" s="668"/>
      <c r="F19" s="456" t="str">
        <f>IF(OR($B19=yes,$B19=yes),SUM('5-2 Prim metal'!K9:K10), IF(OR($B19=no,$B19=no),"-", IF($B19=que,que, pres)))</f>
        <v>Присутствует?</v>
      </c>
      <c r="G19" s="278" t="str">
        <f>IF(OR($B19=yes,$B19=yes),SUM('5-2 Prim metal'!V9:V10), IF(OR($B19=no,$B19=no),"-", IF($B19=que,que, pres)))</f>
        <v>Присутствует?</v>
      </c>
      <c r="H19" s="278" t="str">
        <f>IF(OR($B19=yes,$B19=yes),SUM('5-2 Prim metal'!W9:W10), IF(OR($B19=no,$B19=no),"-", IF($B19=que,que, pres)))</f>
        <v>Присутствует?</v>
      </c>
      <c r="I19" s="278" t="str">
        <f>IF(OR($B19=yes,$B19=yes),SUM('5-2 Prim metal'!X9:X10), IF(OR($B19=no,$B19=no),"-", IF($B19=que,que, pres)))</f>
        <v>Присутствует?</v>
      </c>
      <c r="J19" s="278" t="str">
        <f>IF(OR($B19=yes,$B19=yes),SUM('5-2 Prim metal'!Y9:Y10), IF(OR($B19=no,$B19=no),"-", IF($B19=que,que, pres)))</f>
        <v>Присутствует?</v>
      </c>
      <c r="K19" s="278" t="str">
        <f>IF(OR($B19=yes,$B19=yes),SUM('5-2 Prim metal'!Z9:Z10), IF(OR($B19=no,$B19=no),"-", IF($B19=que,que, pres)))</f>
        <v>Присутствует?</v>
      </c>
      <c r="L19" s="278" t="str">
        <f>IF(OR($B19=yes,$B19=yes),SUM('5-2 Prim metal'!AA9:AA10), IF(OR($B19=no,$B19=no),"-", IF($B19=que,que, pres)))</f>
        <v>Присутствует?</v>
      </c>
      <c r="M19" s="271" t="s">
        <v>158</v>
      </c>
      <c r="N19" s="458"/>
    </row>
    <row r="20" spans="1:18" ht="62.5">
      <c r="A20" s="596"/>
      <c r="B20" s="596"/>
      <c r="C20" s="596"/>
      <c r="D20" s="271"/>
      <c r="E20" s="676" t="s">
        <v>1190</v>
      </c>
      <c r="F20" s="655"/>
      <c r="G20" s="834" t="s">
        <v>1210</v>
      </c>
      <c r="H20" s="655" t="s">
        <v>1209</v>
      </c>
      <c r="I20" s="278"/>
      <c r="J20" s="278"/>
      <c r="K20" s="278"/>
      <c r="L20" s="278"/>
      <c r="M20" s="271"/>
      <c r="N20" s="458"/>
    </row>
    <row r="21" spans="1:18" ht="38" thickBot="1">
      <c r="A21" s="596"/>
      <c r="B21" s="712"/>
      <c r="C21" s="712"/>
      <c r="D21" s="656" t="s">
        <v>1198</v>
      </c>
      <c r="E21" s="655" t="s">
        <v>1191</v>
      </c>
      <c r="F21" s="655"/>
      <c r="G21" s="663">
        <f>100-H21-I21-J21-K21-L21</f>
        <v>100</v>
      </c>
      <c r="H21" s="662"/>
      <c r="I21" s="278"/>
      <c r="J21" s="278"/>
      <c r="K21" s="278"/>
      <c r="L21" s="278"/>
      <c r="M21" s="701" t="s">
        <v>1257</v>
      </c>
      <c r="N21" s="459"/>
    </row>
    <row r="22" spans="1:18" ht="38" thickBot="1">
      <c r="A22" s="596" t="s">
        <v>1238</v>
      </c>
      <c r="B22" s="711"/>
      <c r="C22" s="400"/>
      <c r="D22" s="765" t="s">
        <v>935</v>
      </c>
      <c r="E22" s="668"/>
      <c r="F22" s="456" t="str">
        <f>IF(OR($B22=yes,$B22=yes),SUM('5-2 Prim metal'!K11:K12), IF(OR($B22=no,$B22=no),"-", IF($B22=que,que, pres)))</f>
        <v>Присутствует?</v>
      </c>
      <c r="G22" s="278" t="str">
        <f>IF(OR($B22=yes,$B22=yes),SUM('5-2 Prim metal'!V11:V12), IF(OR($B22=no,$B22=no),"-", IF($B22=que,que, pres)))</f>
        <v>Присутствует?</v>
      </c>
      <c r="H22" s="278" t="str">
        <f>IF(OR($B22=yes,$B22=yes),SUM('5-2 Prim metal'!W11:W12), IF(OR($B22=no,$B22=no),"-", IF($B22=que,que, pres)))</f>
        <v>Присутствует?</v>
      </c>
      <c r="I22" s="278" t="str">
        <f>IF(OR($B22=yes,$B22=yes),SUM('5-2 Prim metal'!X11:X12), IF(OR($B22=no,$B22=no),"-", IF($B22=que,que, pres)))</f>
        <v>Присутствует?</v>
      </c>
      <c r="J22" s="278" t="str">
        <f>IF(OR($B22=yes,$B22=yes),SUM('5-2 Prim metal'!Y11:Y12), IF(OR($B22=no,$B22=no),"-", IF($B22=que,que, pres)))</f>
        <v>Присутствует?</v>
      </c>
      <c r="K22" s="278" t="str">
        <f>IF(OR($B22=yes,$B22=yes),SUM('5-2 Prim metal'!Z11:Z12), IF(OR($B22=no,$B22=no),"-", IF($B22=que,que, pres)))</f>
        <v>Присутствует?</v>
      </c>
      <c r="L22" s="278" t="str">
        <f>IF(OR($B22=yes,$B22=yes),SUM('5-2 Prim metal'!AA11:AA12), IF(OR($B22=no,$B22=no),"-", IF($B22=que,que, pres)))</f>
        <v>Присутствует?</v>
      </c>
      <c r="M22" s="271" t="s">
        <v>158</v>
      </c>
      <c r="N22" s="458"/>
    </row>
    <row r="23" spans="1:18" ht="62.5">
      <c r="A23" s="273"/>
      <c r="B23" s="273"/>
      <c r="C23" s="273"/>
      <c r="D23" s="271"/>
      <c r="E23" s="676" t="s">
        <v>1190</v>
      </c>
      <c r="F23" s="655"/>
      <c r="G23" s="655" t="s">
        <v>797</v>
      </c>
      <c r="H23" s="655" t="s">
        <v>791</v>
      </c>
      <c r="I23" s="278"/>
      <c r="J23" s="278"/>
      <c r="K23" s="278"/>
      <c r="L23" s="278"/>
      <c r="M23" s="271"/>
      <c r="N23" s="458"/>
    </row>
    <row r="24" spans="1:18" ht="37.5">
      <c r="A24" s="273"/>
      <c r="B24" s="273"/>
      <c r="C24" s="273"/>
      <c r="D24" s="656" t="s">
        <v>1198</v>
      </c>
      <c r="E24" s="655" t="s">
        <v>1191</v>
      </c>
      <c r="F24" s="655"/>
      <c r="G24" s="663">
        <f>100-H24-I24-J24-K24-L24</f>
        <v>100</v>
      </c>
      <c r="H24" s="662"/>
      <c r="I24" s="664"/>
      <c r="J24" s="278"/>
      <c r="K24" s="278"/>
      <c r="L24" s="664"/>
      <c r="M24" s="701" t="s">
        <v>1257</v>
      </c>
      <c r="N24" s="459"/>
    </row>
    <row r="25" spans="1:18" ht="13.5" thickBot="1">
      <c r="A25" s="734" t="s">
        <v>927</v>
      </c>
      <c r="B25" s="273"/>
      <c r="C25" s="273"/>
      <c r="D25" s="270"/>
      <c r="E25" s="352"/>
      <c r="F25" s="456"/>
      <c r="G25" s="278"/>
      <c r="H25" s="278"/>
      <c r="I25" s="278"/>
      <c r="J25" s="278"/>
      <c r="K25" s="278"/>
      <c r="L25" s="664"/>
      <c r="M25" s="270"/>
      <c r="N25" s="458"/>
    </row>
    <row r="26" spans="1:18" ht="25.5" thickBot="1">
      <c r="A26" s="737" t="s">
        <v>928</v>
      </c>
      <c r="B26" s="711"/>
      <c r="C26" s="400"/>
      <c r="D26" s="765" t="s">
        <v>936</v>
      </c>
      <c r="E26" s="668"/>
      <c r="F26" s="456" t="str">
        <f>IF(OR($B26=yes,$B26=yes),'5-3 Other min + mat'!K6, IF(OR($B26=no,$B26=no),"-", IF($B26=que,que, pres)))</f>
        <v>Присутствует?</v>
      </c>
      <c r="G26" s="278" t="str">
        <f>IF(OR($B26=yes,$B26=yes),'5-3 Other min + mat'!V6, IF(OR($B26=no,$B26=no),"-", IF($B26=que,que, pres)))</f>
        <v>Присутствует?</v>
      </c>
      <c r="H26" s="278" t="str">
        <f>IF(OR($B26=yes,$B26=yes),'5-3 Other min + mat'!W6, IF(OR($B26=no,$B26=no),"-", IF($B26=que,que, pres)))</f>
        <v>Присутствует?</v>
      </c>
      <c r="I26" s="278" t="str">
        <f>IF(OR($B26=yes,$B26=yes),'5-3 Other min + mat'!X6, IF(OR($B26=no,$B26=no),"-", IF($B26=que,que, pres)))</f>
        <v>Присутствует?</v>
      </c>
      <c r="J26" s="278" t="str">
        <f>IF(OR($B26=yes,$B26=yes),'5-3 Other min + mat'!Y6, IF(OR($B26=no,$B26=no),"-", IF($B26=que,que, pres)))</f>
        <v>Присутствует?</v>
      </c>
      <c r="K26" s="278" t="str">
        <f>IF(OR($B26=yes,$B26=yes),'5-3 Other min + mat'!Z6, IF(OR($B26=no,$B26=no),"-", IF($B26=que,que, pres)))</f>
        <v>Присутствует?</v>
      </c>
      <c r="L26" s="278" t="str">
        <f>IF(OR($B26=yes,$B26=yes),'5-3 Other min + mat'!AA6, IF(OR($B26=no,$B26=no),"-", IF($B26=que,que, pres)))</f>
        <v>Присутствует?</v>
      </c>
      <c r="M26" s="271" t="s">
        <v>188</v>
      </c>
      <c r="N26" s="458"/>
    </row>
    <row r="27" spans="1:18" ht="101.5">
      <c r="A27" s="273"/>
      <c r="B27" s="273"/>
      <c r="C27" s="273"/>
      <c r="D27" s="271"/>
      <c r="E27" s="676" t="s">
        <v>1211</v>
      </c>
      <c r="F27" s="655"/>
      <c r="G27" s="835" t="s">
        <v>1213</v>
      </c>
      <c r="H27" s="836" t="s">
        <v>1239</v>
      </c>
      <c r="I27" s="837" t="s">
        <v>1241</v>
      </c>
      <c r="J27" s="836" t="s">
        <v>1214</v>
      </c>
      <c r="K27" s="657" t="s">
        <v>1215</v>
      </c>
      <c r="L27" s="278"/>
      <c r="M27" s="271"/>
      <c r="N27" s="458"/>
    </row>
    <row r="28" spans="1:18" ht="25">
      <c r="A28" s="273"/>
      <c r="B28" s="273"/>
      <c r="C28" s="273"/>
      <c r="D28" s="656"/>
      <c r="E28" s="655" t="s">
        <v>1191</v>
      </c>
      <c r="F28" s="655"/>
      <c r="G28" s="662">
        <v>25</v>
      </c>
      <c r="H28" s="662">
        <v>25</v>
      </c>
      <c r="I28" s="662"/>
      <c r="J28" s="662"/>
      <c r="K28" s="662"/>
      <c r="L28" s="278"/>
      <c r="M28" s="271"/>
      <c r="N28" s="458"/>
    </row>
    <row r="29" spans="1:18" ht="108" customHeight="1">
      <c r="A29" s="273"/>
      <c r="B29" s="273"/>
      <c r="C29" s="273"/>
      <c r="D29" s="656" t="s">
        <v>1198</v>
      </c>
      <c r="E29" s="655" t="s">
        <v>1212</v>
      </c>
      <c r="F29" s="655"/>
      <c r="G29" s="655" t="s">
        <v>1213</v>
      </c>
      <c r="H29" s="655" t="s">
        <v>1239</v>
      </c>
      <c r="I29" s="655" t="s">
        <v>1242</v>
      </c>
      <c r="J29" s="655" t="s">
        <v>1214</v>
      </c>
      <c r="K29" s="655" t="s">
        <v>1215</v>
      </c>
      <c r="L29" s="278"/>
      <c r="M29" s="271"/>
      <c r="N29" s="458"/>
    </row>
    <row r="30" spans="1:18" ht="25.5" thickBot="1">
      <c r="A30" s="273"/>
      <c r="B30" s="273"/>
      <c r="C30" s="273"/>
      <c r="D30" s="656"/>
      <c r="E30" s="655" t="s">
        <v>1191</v>
      </c>
      <c r="F30" s="655"/>
      <c r="G30" s="658">
        <f>100-G28-SUM(H28:K30)</f>
        <v>25</v>
      </c>
      <c r="H30" s="662">
        <v>25</v>
      </c>
      <c r="I30" s="662"/>
      <c r="J30" s="662"/>
      <c r="K30" s="662"/>
      <c r="L30" s="278"/>
      <c r="M30" s="701" t="s">
        <v>1257</v>
      </c>
      <c r="N30" s="459"/>
      <c r="P30" s="459"/>
      <c r="R30" s="459"/>
    </row>
    <row r="31" spans="1:18" ht="38" thickBot="1">
      <c r="A31" s="737" t="s">
        <v>929</v>
      </c>
      <c r="B31" s="711"/>
      <c r="C31" s="400"/>
      <c r="D31" s="765" t="s">
        <v>937</v>
      </c>
      <c r="E31" s="668"/>
      <c r="F31" s="647" t="str">
        <f>IF(OR($B31=yes,$B31=yes),'5-3 Other min + mat'!K31, IF(OR($B31=no,$B31=no),"-", IF($B31=que,que, pres)))</f>
        <v>Присутствует?</v>
      </c>
      <c r="G31" s="673" t="str">
        <f>IF(OR($B31=yes,$B31=yes),'5-3 Other min + mat'!V31, IF(OR($B31=no,$B31=no),"-", IF($B31=que,que, pres)))</f>
        <v>Присутствует?</v>
      </c>
      <c r="H31" s="673" t="str">
        <f>IF(OR($B31=yes,$B31=yes),'5-3 Other min + mat'!W31, IF(OR($B31=no,$B31=no),"-", IF($B31=que,que, pres)))</f>
        <v>Присутствует?</v>
      </c>
      <c r="I31" s="673" t="str">
        <f>IF(OR($B31=yes,$B31=yes),'5-3 Other min + mat'!X31, IF(OR($B31=no,$B31=no),"-", IF($B31=que,que, pres)))</f>
        <v>Присутствует?</v>
      </c>
      <c r="J31" s="673" t="str">
        <f>IF(OR($B31=yes,$B31=yes),'5-3 Other min + mat'!Y31, IF(OR($B31=no,$B31=no),"-", IF($B31=que,que, pres)))</f>
        <v>Присутствует?</v>
      </c>
      <c r="K31" s="673" t="str">
        <f>IF(OR($B31=yes,$B31=yes),'5-3 Other min + mat'!Z31, IF(OR($B31=no,$B31=no),"-", IF($B31=que,que, pres)))</f>
        <v>Присутствует?</v>
      </c>
      <c r="L31" s="673" t="str">
        <f>IF(OR($B31=yes,$B31=yes),'5-3 Other min + mat'!AA31, IF(OR($B31=no,$B31=no),"-", IF($B31=que,que, pres)))</f>
        <v>Присутствует?</v>
      </c>
      <c r="M31" s="660" t="s">
        <v>189</v>
      </c>
      <c r="N31" s="458"/>
    </row>
    <row r="32" spans="1:18" ht="133.5" customHeight="1">
      <c r="A32" s="365"/>
      <c r="B32" s="675"/>
      <c r="C32" s="675"/>
      <c r="D32" s="271"/>
      <c r="E32" s="676" t="s">
        <v>1190</v>
      </c>
      <c r="F32" s="655"/>
      <c r="G32" s="655" t="s">
        <v>1216</v>
      </c>
      <c r="H32" s="655" t="s">
        <v>1217</v>
      </c>
      <c r="I32" s="278"/>
      <c r="J32" s="278"/>
      <c r="K32" s="278"/>
      <c r="L32" s="278"/>
      <c r="M32" s="271"/>
      <c r="N32" s="458"/>
    </row>
    <row r="33" spans="1:14" ht="37.5">
      <c r="A33" s="365"/>
      <c r="B33" s="365"/>
      <c r="C33" s="365"/>
      <c r="D33" s="656" t="s">
        <v>1198</v>
      </c>
      <c r="E33" s="655" t="s">
        <v>1191</v>
      </c>
      <c r="F33" s="655"/>
      <c r="G33" s="663">
        <f>100-H33-I33-J33-K33-L33</f>
        <v>100</v>
      </c>
      <c r="H33" s="662">
        <v>0</v>
      </c>
      <c r="I33" s="278"/>
      <c r="J33" s="278"/>
      <c r="K33" s="278"/>
      <c r="L33" s="278"/>
      <c r="M33" s="701" t="s">
        <v>1257</v>
      </c>
      <c r="N33" s="459"/>
    </row>
    <row r="36" spans="1:14">
      <c r="A36" s="593" t="s">
        <v>722</v>
      </c>
    </row>
    <row r="37" spans="1:14">
      <c r="A37" s="593"/>
    </row>
  </sheetData>
  <sheetProtection algorithmName="SHA-512" hashValue="JxAPBKpgqGv50ufxqn4ubFOscTT/oXXDqzffZyUx2JicYnaUYHIyhld3kubCweJ61Y92OZfaOu0T7XYUOYz8Wg==" saltValue="EoOaCr98is2oqv5xHVhluA==" spinCount="100000" sheet="1" objects="1" scenarios="1"/>
  <mergeCells count="2">
    <mergeCell ref="G3:L3"/>
    <mergeCell ref="A2:M2"/>
  </mergeCells>
  <conditionalFormatting sqref="A2">
    <cfRule type="expression" dxfId="89" priority="132" stopIfTrue="1">
      <formula>$A$2&lt;&gt;""</formula>
    </cfRule>
  </conditionalFormatting>
  <conditionalFormatting sqref="F6:F7 F10 F13 F16:F19 F25:F26 F31 F22">
    <cfRule type="expression" dxfId="88" priority="134" stopIfTrue="1">
      <formula>AND(B6="y",O6="n")</formula>
    </cfRule>
  </conditionalFormatting>
  <conditionalFormatting sqref="E9:G9 E8:J8">
    <cfRule type="expression" dxfId="87" priority="124">
      <formula>OR($E$7="y", $E$7="s", $E$7="o", $E$7="Да")</formula>
    </cfRule>
  </conditionalFormatting>
  <conditionalFormatting sqref="H9:J9">
    <cfRule type="expression" dxfId="86" priority="123">
      <formula>OR($E$7="y", $E$7="s", $E$7="o", $E$7="Да")</formula>
    </cfRule>
  </conditionalFormatting>
  <conditionalFormatting sqref="G9">
    <cfRule type="expression" dxfId="85" priority="122">
      <formula>$G$9&lt;0</formula>
    </cfRule>
  </conditionalFormatting>
  <conditionalFormatting sqref="D9">
    <cfRule type="expression" dxfId="84" priority="121">
      <formula>$G$9&lt;0</formula>
    </cfRule>
  </conditionalFormatting>
  <conditionalFormatting sqref="G12">
    <cfRule type="expression" dxfId="83" priority="111">
      <formula>$G$12&lt;0</formula>
    </cfRule>
  </conditionalFormatting>
  <conditionalFormatting sqref="D12">
    <cfRule type="expression" dxfId="82" priority="112">
      <formula>$G$12&lt;0</formula>
    </cfRule>
  </conditionalFormatting>
  <conditionalFormatting sqref="E11:J11 E12:G12">
    <cfRule type="expression" dxfId="81" priority="113">
      <formula>OR($E$10="y", $E$10="s", $E$10="o", $E$10="Да")</formula>
    </cfRule>
  </conditionalFormatting>
  <conditionalFormatting sqref="H15:J15">
    <cfRule type="expression" dxfId="80" priority="100">
      <formula>OR($E$13="y", $E$13="s", $E$13="o", $E$13="Да")</formula>
    </cfRule>
  </conditionalFormatting>
  <conditionalFormatting sqref="G15">
    <cfRule type="expression" dxfId="79" priority="101">
      <formula>$G$15&lt;0</formula>
    </cfRule>
  </conditionalFormatting>
  <conditionalFormatting sqref="D15">
    <cfRule type="expression" dxfId="78" priority="102">
      <formula>$G$15&lt;0</formula>
    </cfRule>
  </conditionalFormatting>
  <conditionalFormatting sqref="E14:J14 E15:G15">
    <cfRule type="expression" dxfId="77" priority="103">
      <formula>OR($E$13="y", $E$13="s", $E$13="o", $E$13="Да")</formula>
    </cfRule>
  </conditionalFormatting>
  <conditionalFormatting sqref="H12:J12">
    <cfRule type="expression" dxfId="76" priority="98">
      <formula>OR($E$10="y", $E$10="s", $E$10="o", $E$10="Да")</formula>
    </cfRule>
  </conditionalFormatting>
  <conditionalFormatting sqref="H24">
    <cfRule type="expression" dxfId="75" priority="89">
      <formula>OR($E$22="y", $E$22="s", $E$22="o", $E$22="Да")</formula>
    </cfRule>
  </conditionalFormatting>
  <conditionalFormatting sqref="G24">
    <cfRule type="expression" dxfId="74" priority="90">
      <formula>$G$24&lt;0</formula>
    </cfRule>
  </conditionalFormatting>
  <conditionalFormatting sqref="D24">
    <cfRule type="expression" dxfId="73" priority="91">
      <formula>$G$24&lt;0</formula>
    </cfRule>
  </conditionalFormatting>
  <conditionalFormatting sqref="E23:H23 E24:G24">
    <cfRule type="expression" dxfId="72" priority="92">
      <formula>OR($E$22="y", $E$22="s", $E$22="o", $E$22="Да")</formula>
    </cfRule>
  </conditionalFormatting>
  <conditionalFormatting sqref="E28:F28">
    <cfRule type="expression" dxfId="71" priority="56">
      <formula>OR($E$26="y", $E$26="s", $E$26="o", $E$26="Да")</formula>
    </cfRule>
  </conditionalFormatting>
  <conditionalFormatting sqref="H28:K28">
    <cfRule type="expression" dxfId="70" priority="55">
      <formula>OR($E$26="y", $E$26="s", $E$26="o", $E$26="Да")</formula>
    </cfRule>
  </conditionalFormatting>
  <conditionalFormatting sqref="H30:K30">
    <cfRule type="expression" dxfId="69" priority="51">
      <formula>OR($E$26="y", $E$26="s", $E$26="o", $E$26="Да")</formula>
    </cfRule>
  </conditionalFormatting>
  <conditionalFormatting sqref="E30:F30">
    <cfRule type="expression" dxfId="68" priority="48">
      <formula>OR($E$26="y", $E$26="s", $E$26="o", $E$26="Да")</formula>
    </cfRule>
  </conditionalFormatting>
  <conditionalFormatting sqref="G28">
    <cfRule type="expression" dxfId="67" priority="44">
      <formula>OR($E$26="y", $E$26="s", $E$26="o", $E$26="Да")</formula>
    </cfRule>
  </conditionalFormatting>
  <conditionalFormatting sqref="D28:D30">
    <cfRule type="expression" dxfId="66" priority="24">
      <formula>$G$30&lt;0</formula>
    </cfRule>
  </conditionalFormatting>
  <conditionalFormatting sqref="E27:K27">
    <cfRule type="expression" dxfId="65" priority="21">
      <formula>OR($E$26="y", $E$26="s", $E$26="o", $E$26="Да")</formula>
    </cfRule>
  </conditionalFormatting>
  <conditionalFormatting sqref="E29:K29">
    <cfRule type="expression" dxfId="64" priority="20">
      <formula>OR($E$26="y", $E$26="s", $E$26="o", $E$26="Да")</formula>
    </cfRule>
  </conditionalFormatting>
  <conditionalFormatting sqref="G30">
    <cfRule type="expression" dxfId="63" priority="16">
      <formula>$G$30&lt;0</formula>
    </cfRule>
  </conditionalFormatting>
  <conditionalFormatting sqref="G30">
    <cfRule type="expression" dxfId="62" priority="17">
      <formula>OR($E$26="y", $E$26="s", $E$26="o", $E$26="Да")</formula>
    </cfRule>
  </conditionalFormatting>
  <conditionalFormatting sqref="H33">
    <cfRule type="expression" dxfId="61" priority="13">
      <formula>OR($E$31="y", $E$31="s", $E$31="o", $E$31="Да")</formula>
    </cfRule>
  </conditionalFormatting>
  <conditionalFormatting sqref="G33">
    <cfRule type="expression" dxfId="60" priority="14">
      <formula>$G$33&lt;0</formula>
    </cfRule>
  </conditionalFormatting>
  <conditionalFormatting sqref="E32:H32 E33:G33">
    <cfRule type="expression" dxfId="59" priority="15">
      <formula>OR($E$31="y", $E$31="s", $E$31="o", $E$31="Да")</formula>
    </cfRule>
  </conditionalFormatting>
  <conditionalFormatting sqref="D33">
    <cfRule type="expression" dxfId="58" priority="12">
      <formula>$G$33&lt;0</formula>
    </cfRule>
  </conditionalFormatting>
  <conditionalFormatting sqref="H21">
    <cfRule type="expression" dxfId="57" priority="2">
      <formula>OR($E$19="y", $E$19="s", $E$19="o", $E$19="Да")</formula>
    </cfRule>
  </conditionalFormatting>
  <conditionalFormatting sqref="G21">
    <cfRule type="expression" dxfId="56" priority="3">
      <formula>$G$24&lt;0</formula>
    </cfRule>
  </conditionalFormatting>
  <conditionalFormatting sqref="D21">
    <cfRule type="expression" dxfId="55" priority="4">
      <formula>$G$21&lt;0</formula>
    </cfRule>
  </conditionalFormatting>
  <conditionalFormatting sqref="E20:H20 E21:G21">
    <cfRule type="expression" dxfId="54" priority="5">
      <formula>OR($E$19="y", $E$19="s", $E$19="o", $E$19="Да")</formula>
    </cfRule>
  </conditionalFormatting>
  <dataValidations xWindow="250" yWindow="535" count="10">
    <dataValidation type="list" allowBlank="1" showInputMessage="1" showErrorMessage="1" sqref="E22 E7 E10 E13 E26 E31 E19" xr:uid="{00000000-0002-0000-0300-000000000000}">
      <formula1>yn</formula1>
    </dataValidation>
    <dataValidation allowBlank="1" showInputMessage="1" showErrorMessage="1" prompt="Укажите процент общего фактора входа, используемый на объектах с вышеуказанной конфигурацией системы контроля." sqref="H24 G28:K28 H30:K30 H33 H12:J12 H15:J15 H21" xr:uid="{00000000-0002-0000-0300-000001000000}"/>
    <dataValidation allowBlank="1" showInputMessage="1" showErrorMessage="1" promptTitle="Controls" prompt="No use of retorts or fume hoods capturing evaporated mercury (automatically calculated)" sqref="G24" xr:uid="{00000000-0002-0000-0300-000002000000}"/>
    <dataValidation allowBlank="1" showInputMessage="1" showErrorMessage="1" prompt="Чтобы вернуться к стандартным настройкам контроля, выберите стандартные настройки во вкладке «Стандартные настройки контроля» для соответствующей подкатегории." sqref="M33 M9 M12 M15 M21 M24 M30" xr:uid="{00000000-0002-0000-0300-000003000000}"/>
    <dataValidation type="list" allowBlank="1" showInputMessage="1" showErrorMessage="1" error="Введите только да или нет" prompt="Впишите только да, нет или ?" sqref="B31 B6:B7 B10 B13 B16:B19 B22 B26" xr:uid="{00000000-0002-0000-0300-000006000000}">
      <formula1>yn?</formula1>
    </dataValidation>
    <dataValidation type="decimal" allowBlank="1" showInputMessage="1" showErrorMessage="1" error="Вы ввели номер?" prompt="Используйте только цифры и десятичную метку" sqref="C26 C31 C6:C7 C10 C13 C16:C19 C22" xr:uid="{00000000-0002-0000-0300-000007000000}">
      <formula1>-9.99999999999999E+22</formula1>
      <formula2>9.99999999999999E+22</formula2>
    </dataValidation>
    <dataValidation allowBlank="1" showInputMessage="1" showErrorMessage="1" prompt="Простые фракционные фильтры с электростатическими осадителями (ESP), Скруббер твердых частиц (PS), Тканевый фильтр (FF)" sqref="H27 H29" xr:uid="{00000000-0002-0000-0300-000008000000}"/>
    <dataValidation allowBlank="1" showInputMessage="1" showErrorMessage="1" prompt="Оптимизированный контроль запыленности (Тканевый фильтр (FF)+Селективное некаталитическое сокращение (SNCR)/FF+мокрая очистка газа (WS)/электростатический пылеуловитель (ESP)+сухая десульфуризация дымовых газов (FGD)/оптимизированный FF)" sqref="I27 I29" xr:uid="{00000000-0002-0000-0300-000009000000}"/>
    <dataValidation allowBlank="1" showInputMessage="1" showErrorMessage="1" prompt="Эффективный контроль загрязнения воздуха (FF+растворенное твердое вещество (DS)/электростатический пылеуловитель (ESP)+растворенное твердое вещество (DS)/ (ESP)+мокрая очистка газа (WS)/(ESP)+Селективное некаталитическое сокращение (SNCR))" sqref="J27 J29" xr:uid="{00000000-0002-0000-0300-00000A000000}"/>
    <dataValidation allowBlank="1" showInputMessage="1" showErrorMessage="1" prompt="Очень эффективный контроль загрязнения ртутью (мокрая десульфуризация дымовых газов (wetFGD)+впрыск активированного угля (ACI)/FF+скруббер+селективное некаталитическое восстановление (SNCR))" sqref="K27 K29" xr:uid="{00000000-0002-0000-0300-00000B000000}"/>
  </dataValidations>
  <pageMargins left="0.39370078740157483" right="0.39370078740157483" top="0.74803149606299213" bottom="0.74803149606299213" header="0.31496062992125984" footer="0.31496062992125984"/>
  <pageSetup paperSize="9" scale="32"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28" id="{A0FFF478-3E03-489F-AA30-8F390A41034B}">
            <xm:f>'Вставьте рез. яч. IL2 '!$K$25&lt;&gt;""</xm:f>
            <x14:dxf>
              <font>
                <color rgb="FFFF0000"/>
              </font>
            </x14:dxf>
          </x14:cfRule>
          <xm:sqref>A36</xm:sqref>
        </x14:conditionalFormatting>
        <x14:conditionalFormatting xmlns:xm="http://schemas.microsoft.com/office/excel/2006/main">
          <x14:cfRule type="expression" priority="11" id="{9B28BD67-6923-4DEB-BBD6-EEAE5D4EBBE4}">
            <xm:f>OR($G$9&lt;&gt;'Controls defaults'!$C$21,$H$9&lt;&gt;'Controls defaults'!$D$21,$I$9&lt;&gt;'Controls defaults'!$E$21,$J$9&lt;&gt;'Controls defaults'!$F$21,$K$9&lt;&gt;'Controls defaults'!$G$21,$L$9&lt;&gt;'Controls defaults'!$H$21)</xm:f>
            <x14:dxf>
              <font>
                <color theme="1"/>
              </font>
              <fill>
                <patternFill>
                  <bgColor theme="8" tint="0.39994506668294322"/>
                </patternFill>
              </fill>
            </x14:dxf>
          </x14:cfRule>
          <xm:sqref>M9</xm:sqref>
        </x14:conditionalFormatting>
        <x14:conditionalFormatting xmlns:xm="http://schemas.microsoft.com/office/excel/2006/main">
          <x14:cfRule type="expression" priority="10" id="{632E9C89-662A-40C4-B47E-22282E971F85}">
            <xm:f>OR($G$12&lt;&gt;'Controls defaults'!$C$24,$H$12&lt;&gt;'Controls defaults'!$D$24,$I$12&lt;&gt;'Controls defaults'!$E$24,$J$12&lt;&gt;'Controls defaults'!$F$24,$K$12&lt;&gt;'Controls defaults'!$G$24,$L$12&lt;&gt;'Controls defaults'!$H$24)</xm:f>
            <x14:dxf>
              <font>
                <color theme="1"/>
              </font>
              <fill>
                <patternFill>
                  <bgColor theme="8" tint="0.39994506668294322"/>
                </patternFill>
              </fill>
            </x14:dxf>
          </x14:cfRule>
          <xm:sqref>M12</xm:sqref>
        </x14:conditionalFormatting>
        <x14:conditionalFormatting xmlns:xm="http://schemas.microsoft.com/office/excel/2006/main">
          <x14:cfRule type="expression" priority="9" id="{904519FF-9C1B-42DD-B176-EAF71AEE46A6}">
            <xm:f>OR($K$15&lt;&gt;'Controls defaults'!$G$27,$L$15&lt;&gt;'Controls defaults'!$H$27,$G$15&lt;&gt;'Controls defaults'!$C$27,$H$15&lt;&gt;'Controls defaults'!$D$27,$H$15&lt;&gt;'Controls defaults'!$D$27,$I$15&lt;&gt;'Controls defaults'!$E$27)</xm:f>
            <x14:dxf>
              <font>
                <color theme="1"/>
              </font>
              <fill>
                <patternFill>
                  <bgColor theme="8" tint="0.39994506668294322"/>
                </patternFill>
              </fill>
            </x14:dxf>
          </x14:cfRule>
          <xm:sqref>M15</xm:sqref>
        </x14:conditionalFormatting>
        <x14:conditionalFormatting xmlns:xm="http://schemas.microsoft.com/office/excel/2006/main">
          <x14:cfRule type="expression" priority="8" id="{76126931-2939-4791-BBD8-A8F43665EDBA}">
            <xm:f>OR($G$24&lt;&gt;'Controls defaults'!$C$33,$H$24&lt;&gt;'Controls defaults'!$D$33,$I$24&lt;&gt;'Controls defaults'!$E$33,$J$24&lt;&gt;'Controls defaults'!$F$33,$K$24&lt;&gt;'Controls defaults'!$G$33,$L$24&lt;&gt;'Controls defaults'!$H$33)</xm:f>
            <x14:dxf>
              <font>
                <color theme="1"/>
              </font>
              <fill>
                <patternFill>
                  <bgColor theme="8" tint="0.39994506668294322"/>
                </patternFill>
              </fill>
            </x14:dxf>
          </x14:cfRule>
          <xm:sqref>M24</xm:sqref>
        </x14:conditionalFormatting>
        <x14:conditionalFormatting xmlns:xm="http://schemas.microsoft.com/office/excel/2006/main">
          <x14:cfRule type="expression" priority="7" id="{EFD37204-6FE7-4B4B-BFE3-E76AC48697CA}">
            <xm:f>OR($G$33&lt;&gt;'Controls defaults'!$C$41,$H$33&lt;&gt;'Controls defaults'!$D$41,$I$33&lt;&gt;'Controls defaults'!$E$41,$J$33&lt;&gt;'Controls defaults'!$F$41,$K$33&lt;&gt;'Controls defaults'!$G$41,$L$33&lt;&gt;'Controls defaults'!$H$41)</xm:f>
            <x14:dxf>
              <font>
                <color theme="1"/>
              </font>
              <fill>
                <patternFill>
                  <bgColor theme="8" tint="0.39994506668294322"/>
                </patternFill>
              </fill>
            </x14:dxf>
          </x14:cfRule>
          <xm:sqref>M33</xm:sqref>
        </x14:conditionalFormatting>
        <x14:conditionalFormatting xmlns:xm="http://schemas.microsoft.com/office/excel/2006/main">
          <x14:cfRule type="expression" priority="6" id="{3C468096-E80E-4AF9-A971-1C81B30AECD4}">
            <xm:f>OR($G$28&lt;&gt;'Controls defaults'!$C$36,$H$28&lt;&gt;'Controls defaults'!$D$36,$I$28&lt;&gt;'Controls defaults'!$E$36,$J$28&lt;&gt;'Controls defaults'!$F$36,$K$28&lt;&gt;'Controls defaults'!$G$36,$L$28&lt;&gt;'Controls defaults'!$H$36,$G$30&lt;&gt;'Controls defaults'!$C$38,$H$30&lt;&gt;'Controls defaults'!$D$38,$I$30&lt;&gt;'Controls defaults'!$E$38,$J$30&lt;&gt;'Controls defaults'!$F$38,$K$30&lt;&gt;'Controls defaults'!$G$38,$L$30&lt;&gt;'Controls defaults'!$H$38)</xm:f>
            <x14:dxf>
              <font>
                <color theme="1"/>
              </font>
              <fill>
                <patternFill>
                  <bgColor theme="8" tint="0.39994506668294322"/>
                </patternFill>
              </fill>
            </x14:dxf>
          </x14:cfRule>
          <xm:sqref>M30</xm:sqref>
        </x14:conditionalFormatting>
        <x14:conditionalFormatting xmlns:xm="http://schemas.microsoft.com/office/excel/2006/main">
          <x14:cfRule type="expression" priority="1" id="{D9C3B02C-9EA8-4882-A670-BA366A0441A1}">
            <xm:f>OR($G$21&lt;&gt;'Controls defaults'!$C$30,$H$21&lt;&gt;'Controls defaults'!$D$30,$I$21&lt;&gt;'Controls defaults'!$E$30,$J$21&lt;&gt;'Controls defaults'!$F$30,$K$21&lt;&gt;'Controls defaults'!$G$30,$L$21&lt;&gt;'Controls defaults'!$H$30)</xm:f>
            <x14:dxf>
              <font>
                <color theme="1"/>
              </font>
              <fill>
                <patternFill>
                  <bgColor theme="8" tint="0.39994506668294322"/>
                </patternFill>
              </fill>
            </x14:dxf>
          </x14:cfRule>
          <xm:sqref>M21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48"/>
  <sheetViews>
    <sheetView zoomScale="70" zoomScaleNormal="70" workbookViewId="0">
      <selection activeCell="G36" sqref="G36"/>
    </sheetView>
  </sheetViews>
  <sheetFormatPr defaultColWidth="8.81640625" defaultRowHeight="12.5"/>
  <cols>
    <col min="1" max="1" width="3" customWidth="1"/>
    <col min="2" max="2" width="6.1796875" customWidth="1"/>
    <col min="3" max="3" width="36.36328125" customWidth="1"/>
    <col min="4" max="4" width="7.36328125" customWidth="1"/>
    <col min="5" max="5" width="9.36328125" customWidth="1"/>
    <col min="6" max="6" width="22.453125" customWidth="1"/>
    <col min="7" max="7" width="10.36328125" customWidth="1"/>
    <col min="8" max="8" width="19.1796875" customWidth="1"/>
    <col min="9" max="9" width="12.453125" style="240" customWidth="1"/>
    <col min="10" max="10" width="17.6328125" customWidth="1"/>
    <col min="11" max="11" width="12.36328125" style="240" customWidth="1"/>
    <col min="12" max="12" width="11.453125" customWidth="1"/>
    <col min="13" max="13" width="17.453125" style="13" customWidth="1"/>
    <col min="14" max="14" width="9.1796875" style="240"/>
    <col min="15" max="15" width="10.81640625" customWidth="1"/>
    <col min="16" max="16" width="6.453125" customWidth="1"/>
    <col min="17" max="18" width="7.453125" customWidth="1"/>
    <col min="19" max="19" width="9.6328125" customWidth="1"/>
    <col min="20" max="20" width="8.453125" customWidth="1"/>
    <col min="21" max="21" width="18.6328125" customWidth="1"/>
    <col min="22" max="22" width="12.453125" customWidth="1"/>
    <col min="24" max="24" width="9.6328125" customWidth="1"/>
    <col min="25" max="25" width="11.1796875" customWidth="1"/>
    <col min="26" max="26" width="11.453125" customWidth="1"/>
    <col min="27" max="27" width="17" customWidth="1"/>
    <col min="28" max="28" width="42.36328125" customWidth="1"/>
  </cols>
  <sheetData>
    <row r="1" spans="1:28" ht="18">
      <c r="A1" s="1" t="s">
        <v>739</v>
      </c>
      <c r="I1" s="231"/>
      <c r="K1" s="231"/>
      <c r="L1" s="48"/>
      <c r="M1" s="48"/>
      <c r="N1" s="231"/>
    </row>
    <row r="2" spans="1:28" ht="14">
      <c r="A2" s="54" t="s">
        <v>313</v>
      </c>
      <c r="I2" s="231"/>
      <c r="K2" s="231"/>
      <c r="L2" s="48"/>
      <c r="M2" s="48"/>
      <c r="N2" s="231"/>
    </row>
    <row r="3" spans="1:28" ht="13">
      <c r="D3" s="3"/>
      <c r="E3" s="3"/>
      <c r="F3" s="3"/>
      <c r="G3" s="3"/>
      <c r="H3" s="3"/>
      <c r="I3" s="232"/>
      <c r="J3" s="3"/>
      <c r="K3" s="232"/>
      <c r="L3" s="104"/>
      <c r="M3" s="104"/>
      <c r="N3" s="232"/>
      <c r="O3" s="3"/>
      <c r="P3" s="65" t="s">
        <v>55</v>
      </c>
      <c r="Q3" s="2"/>
      <c r="R3" s="2"/>
      <c r="S3" s="2"/>
      <c r="T3" s="2"/>
      <c r="U3" s="2"/>
      <c r="V3" s="10" t="s">
        <v>54</v>
      </c>
      <c r="W3" s="4"/>
      <c r="X3" s="4"/>
      <c r="Y3" s="4"/>
      <c r="Z3" s="4"/>
      <c r="AA3" s="4"/>
      <c r="AB3" s="2"/>
    </row>
    <row r="4" spans="1:28" s="123" customFormat="1" ht="39">
      <c r="A4" s="123" t="s">
        <v>52</v>
      </c>
      <c r="B4" s="123" t="s">
        <v>50</v>
      </c>
      <c r="C4" s="140" t="s">
        <v>59</v>
      </c>
      <c r="D4" s="112" t="s">
        <v>153</v>
      </c>
      <c r="E4" s="141" t="s">
        <v>49</v>
      </c>
      <c r="F4" s="142" t="s">
        <v>35</v>
      </c>
      <c r="G4" s="112" t="s">
        <v>37</v>
      </c>
      <c r="H4" s="143" t="s">
        <v>35</v>
      </c>
      <c r="I4" s="245" t="s">
        <v>51</v>
      </c>
      <c r="J4" s="144" t="s">
        <v>35</v>
      </c>
      <c r="K4" s="241" t="s">
        <v>61</v>
      </c>
      <c r="L4" s="155" t="s">
        <v>35</v>
      </c>
      <c r="M4" s="156" t="s">
        <v>280</v>
      </c>
      <c r="N4" s="245" t="s">
        <v>92</v>
      </c>
      <c r="O4" s="145" t="s">
        <v>35</v>
      </c>
      <c r="P4" s="147" t="s">
        <v>38</v>
      </c>
      <c r="Q4" s="147" t="s">
        <v>39</v>
      </c>
      <c r="R4" s="147" t="s">
        <v>40</v>
      </c>
      <c r="S4" s="147" t="s">
        <v>41</v>
      </c>
      <c r="T4" s="148" t="s">
        <v>42</v>
      </c>
      <c r="U4" s="148" t="s">
        <v>228</v>
      </c>
      <c r="V4" s="56" t="s">
        <v>38</v>
      </c>
      <c r="W4" s="56" t="s">
        <v>39</v>
      </c>
      <c r="X4" s="56" t="s">
        <v>40</v>
      </c>
      <c r="Y4" s="56" t="s">
        <v>41</v>
      </c>
      <c r="Z4" s="57" t="s">
        <v>42</v>
      </c>
      <c r="AA4" s="57" t="s">
        <v>228</v>
      </c>
      <c r="AB4" s="111" t="s">
        <v>87</v>
      </c>
    </row>
    <row r="5" spans="1:28" s="129" customFormat="1" ht="26">
      <c r="A5" s="129" t="s">
        <v>156</v>
      </c>
      <c r="C5" s="134" t="s">
        <v>316</v>
      </c>
      <c r="D5" s="111"/>
      <c r="F5" s="128"/>
      <c r="G5" s="76"/>
      <c r="H5" s="128"/>
      <c r="I5" s="247"/>
      <c r="K5" s="235"/>
      <c r="L5" s="128"/>
      <c r="M5" s="135"/>
      <c r="N5" s="247"/>
      <c r="O5" s="128"/>
      <c r="P5" s="127"/>
      <c r="Q5" s="127"/>
      <c r="R5" s="127"/>
      <c r="S5" s="127"/>
      <c r="T5" s="127"/>
      <c r="U5" s="127"/>
      <c r="V5" s="58"/>
      <c r="W5" s="58"/>
      <c r="X5" s="58"/>
      <c r="Y5" s="58"/>
      <c r="Z5" s="58"/>
      <c r="AA5" s="58"/>
      <c r="AB5" s="76"/>
    </row>
    <row r="6" spans="1:28" ht="26">
      <c r="B6" t="s">
        <v>157</v>
      </c>
      <c r="C6" s="12" t="s">
        <v>161</v>
      </c>
      <c r="D6" s="120"/>
      <c r="E6" s="337" t="s">
        <v>437</v>
      </c>
      <c r="F6" s="3" t="s">
        <v>425</v>
      </c>
      <c r="G6" s="336">
        <v>1030</v>
      </c>
      <c r="H6" s="3" t="s">
        <v>425</v>
      </c>
      <c r="I6" s="250">
        <f>'Этап 3 - Металлы - Сырье'!C6</f>
        <v>0</v>
      </c>
      <c r="J6" s="276" t="s">
        <v>384</v>
      </c>
      <c r="K6" s="233">
        <f>I6*G6</f>
        <v>0</v>
      </c>
      <c r="L6" s="3" t="s">
        <v>36</v>
      </c>
      <c r="M6" s="14"/>
      <c r="N6" s="246">
        <f>K6</f>
        <v>0</v>
      </c>
      <c r="O6" s="3" t="s">
        <v>36</v>
      </c>
      <c r="P6" s="341">
        <f>0.25*(G6-1000)/G6</f>
        <v>7.2815533980582527E-3</v>
      </c>
      <c r="Q6" s="341">
        <f>0.06*(G6-1000)/G6</f>
        <v>1.7475728155339804E-3</v>
      </c>
      <c r="R6" s="341">
        <f>0.69*(G6-1000)/G6</f>
        <v>2.0097087378640775E-2</v>
      </c>
      <c r="S6" s="341"/>
      <c r="T6" s="341"/>
      <c r="U6" s="341"/>
      <c r="V6" s="133">
        <f t="shared" ref="V6:AA6" si="0">$N6*P6</f>
        <v>0</v>
      </c>
      <c r="W6" s="133">
        <f t="shared" si="0"/>
        <v>0</v>
      </c>
      <c r="X6" s="133">
        <f t="shared" si="0"/>
        <v>0</v>
      </c>
      <c r="Y6" s="133">
        <f t="shared" si="0"/>
        <v>0</v>
      </c>
      <c r="Z6" s="133">
        <f t="shared" si="0"/>
        <v>0</v>
      </c>
      <c r="AA6" s="133">
        <f t="shared" si="0"/>
        <v>0</v>
      </c>
      <c r="AB6" s="119"/>
    </row>
    <row r="7" spans="1:28" s="55" customFormat="1" ht="13">
      <c r="C7" s="136"/>
      <c r="D7" s="111"/>
      <c r="E7" s="106"/>
      <c r="F7" s="104"/>
      <c r="G7" s="76"/>
      <c r="H7" s="104"/>
      <c r="I7" s="248"/>
      <c r="K7" s="234"/>
      <c r="L7" s="104"/>
      <c r="M7" s="110"/>
      <c r="N7" s="248"/>
      <c r="O7" s="104"/>
      <c r="P7" s="132"/>
      <c r="Q7" s="132"/>
      <c r="R7" s="132"/>
      <c r="S7" s="132"/>
      <c r="T7" s="132"/>
      <c r="U7" s="132"/>
      <c r="V7" s="116"/>
      <c r="W7" s="116"/>
      <c r="X7" s="116"/>
      <c r="Y7" s="116"/>
      <c r="Z7" s="116"/>
      <c r="AA7" s="116"/>
      <c r="AB7" s="76"/>
    </row>
    <row r="8" spans="1:28" ht="26">
      <c r="B8" s="3" t="s">
        <v>158</v>
      </c>
      <c r="C8" s="26" t="s">
        <v>159</v>
      </c>
      <c r="D8" s="120"/>
      <c r="E8" s="6"/>
      <c r="F8" s="3"/>
      <c r="G8" s="119"/>
      <c r="H8" s="3"/>
      <c r="I8" s="250"/>
      <c r="K8" s="242"/>
      <c r="L8" s="3"/>
      <c r="M8" s="33"/>
      <c r="N8" s="250"/>
      <c r="O8" s="3"/>
      <c r="P8" s="132"/>
      <c r="Q8" s="132"/>
      <c r="R8" s="132"/>
      <c r="S8" s="132"/>
      <c r="T8" s="132"/>
      <c r="U8" s="132"/>
      <c r="V8" s="133">
        <f t="shared" ref="V8:AA8" si="1">SUM(V9:V12)</f>
        <v>0</v>
      </c>
      <c r="W8" s="133">
        <f t="shared" si="1"/>
        <v>0</v>
      </c>
      <c r="X8" s="133">
        <f t="shared" si="1"/>
        <v>0</v>
      </c>
      <c r="Y8" s="133">
        <f t="shared" si="1"/>
        <v>0</v>
      </c>
      <c r="Z8" s="133">
        <f t="shared" si="1"/>
        <v>0</v>
      </c>
      <c r="AA8" s="133">
        <f t="shared" si="1"/>
        <v>0</v>
      </c>
      <c r="AB8" s="119"/>
    </row>
    <row r="9" spans="1:28" ht="37.5">
      <c r="B9" s="3"/>
      <c r="C9" s="66" t="s">
        <v>182</v>
      </c>
      <c r="D9" s="76"/>
      <c r="E9" s="11">
        <v>5</v>
      </c>
      <c r="F9" s="3" t="s">
        <v>183</v>
      </c>
      <c r="G9" s="281">
        <v>5</v>
      </c>
      <c r="H9" s="3" t="s">
        <v>183</v>
      </c>
      <c r="I9" s="248">
        <f>'Этап 3 - Металлы - Сырье'!$C$19*'Этап 3 - Металлы - Сырье'!$G$21/100</f>
        <v>0</v>
      </c>
      <c r="J9" s="3" t="s">
        <v>184</v>
      </c>
      <c r="K9" s="235">
        <f>G9*I9</f>
        <v>0</v>
      </c>
      <c r="L9" s="3" t="s">
        <v>36</v>
      </c>
      <c r="M9" s="623" t="s">
        <v>704</v>
      </c>
      <c r="N9" s="275">
        <f>K9</f>
        <v>0</v>
      </c>
      <c r="O9" s="3" t="s">
        <v>36</v>
      </c>
      <c r="P9" s="341">
        <v>0.2</v>
      </c>
      <c r="Q9" s="341">
        <v>0.4</v>
      </c>
      <c r="R9" s="341">
        <v>0.4</v>
      </c>
      <c r="S9" s="132"/>
      <c r="T9" s="132"/>
      <c r="U9" s="132"/>
      <c r="V9" s="116">
        <f t="shared" ref="V9:AA9" si="2">$N9*P9</f>
        <v>0</v>
      </c>
      <c r="W9" s="116">
        <f t="shared" si="2"/>
        <v>0</v>
      </c>
      <c r="X9" s="116">
        <f t="shared" si="2"/>
        <v>0</v>
      </c>
      <c r="Y9" s="116">
        <f t="shared" si="2"/>
        <v>0</v>
      </c>
      <c r="Z9" s="116">
        <f t="shared" si="2"/>
        <v>0</v>
      </c>
      <c r="AA9" s="116">
        <f t="shared" si="2"/>
        <v>0</v>
      </c>
      <c r="AB9" s="76"/>
    </row>
    <row r="10" spans="1:28" ht="55.5" customHeight="1">
      <c r="B10" s="3"/>
      <c r="C10" s="659" t="s">
        <v>832</v>
      </c>
      <c r="D10" s="76"/>
      <c r="E10" s="629" t="s">
        <v>834</v>
      </c>
      <c r="F10" s="3" t="s">
        <v>183</v>
      </c>
      <c r="G10" s="281">
        <v>4.25</v>
      </c>
      <c r="H10" s="3" t="s">
        <v>183</v>
      </c>
      <c r="I10" s="248">
        <f>'Этап 3 - Металлы - Сырье'!$C$19*'Этап 3 - Металлы - Сырье'!$H$21/100</f>
        <v>0</v>
      </c>
      <c r="J10" s="3" t="s">
        <v>184</v>
      </c>
      <c r="K10" s="235">
        <f>G10*I10</f>
        <v>0</v>
      </c>
      <c r="L10" s="3" t="s">
        <v>36</v>
      </c>
      <c r="M10" s="623" t="s">
        <v>793</v>
      </c>
      <c r="N10" s="275">
        <f>K10</f>
        <v>0</v>
      </c>
      <c r="O10" s="3" t="s">
        <v>36</v>
      </c>
      <c r="P10" s="341">
        <v>0.06</v>
      </c>
      <c r="Q10" s="341">
        <v>0.47</v>
      </c>
      <c r="R10" s="341">
        <v>0.47</v>
      </c>
      <c r="S10" s="132"/>
      <c r="T10" s="132"/>
      <c r="U10" s="132"/>
      <c r="V10" s="116">
        <f t="shared" ref="V10:AA10" si="3">$N10*P10</f>
        <v>0</v>
      </c>
      <c r="W10" s="116">
        <f t="shared" si="3"/>
        <v>0</v>
      </c>
      <c r="X10" s="116">
        <f t="shared" si="3"/>
        <v>0</v>
      </c>
      <c r="Y10" s="116">
        <f t="shared" si="3"/>
        <v>0</v>
      </c>
      <c r="Z10" s="116">
        <f t="shared" si="3"/>
        <v>0</v>
      </c>
      <c r="AA10" s="116">
        <f t="shared" si="3"/>
        <v>0</v>
      </c>
      <c r="AB10" s="76"/>
    </row>
    <row r="11" spans="1:28" ht="37.5">
      <c r="B11" s="3"/>
      <c r="C11" s="640" t="s">
        <v>185</v>
      </c>
      <c r="D11" s="76"/>
      <c r="E11" s="541" t="s">
        <v>703</v>
      </c>
      <c r="F11" s="3" t="s">
        <v>183</v>
      </c>
      <c r="G11" s="334">
        <v>1.3</v>
      </c>
      <c r="H11" s="3" t="s">
        <v>183</v>
      </c>
      <c r="I11" s="248">
        <f>'Этап 3 - Металлы - Сырье'!$C$22*'Этап 3 - Металлы - Сырье'!$G$24/100</f>
        <v>0</v>
      </c>
      <c r="J11" s="3" t="s">
        <v>184</v>
      </c>
      <c r="K11" s="235">
        <f>G11*I11</f>
        <v>0</v>
      </c>
      <c r="L11" s="3" t="s">
        <v>36</v>
      </c>
      <c r="M11" s="33" t="s">
        <v>705</v>
      </c>
      <c r="N11" s="275">
        <f>K11</f>
        <v>0</v>
      </c>
      <c r="O11" s="3" t="s">
        <v>36</v>
      </c>
      <c r="P11" s="341">
        <v>0.77</v>
      </c>
      <c r="Q11" s="341">
        <v>0.12</v>
      </c>
      <c r="R11" s="341">
        <v>0.11</v>
      </c>
      <c r="S11" s="132"/>
      <c r="T11" s="132"/>
      <c r="U11" s="132"/>
      <c r="V11" s="116">
        <f t="shared" ref="V11:AA12" si="4">$N11*P11</f>
        <v>0</v>
      </c>
      <c r="W11" s="116">
        <f t="shared" si="4"/>
        <v>0</v>
      </c>
      <c r="X11" s="116">
        <f t="shared" si="4"/>
        <v>0</v>
      </c>
      <c r="Y11" s="116">
        <f t="shared" si="4"/>
        <v>0</v>
      </c>
      <c r="Z11" s="116">
        <f t="shared" si="4"/>
        <v>0</v>
      </c>
      <c r="AA11" s="116">
        <f t="shared" si="4"/>
        <v>0</v>
      </c>
      <c r="AB11" s="76"/>
    </row>
    <row r="12" spans="1:28" ht="62.5">
      <c r="B12" s="3"/>
      <c r="C12" s="640" t="s">
        <v>833</v>
      </c>
      <c r="D12" s="318"/>
      <c r="E12" s="629" t="s">
        <v>835</v>
      </c>
      <c r="F12" s="232" t="s">
        <v>183</v>
      </c>
      <c r="G12" s="631">
        <v>0.55000000000000004</v>
      </c>
      <c r="H12" s="232" t="s">
        <v>183</v>
      </c>
      <c r="I12" s="248">
        <f>'Этап 3 - Металлы - Сырье'!$C$22*'Этап 3 - Металлы - Сырье'!$H$24/100</f>
        <v>0</v>
      </c>
      <c r="J12" s="232" t="s">
        <v>184</v>
      </c>
      <c r="K12" s="173">
        <f>G12*I12</f>
        <v>0</v>
      </c>
      <c r="L12" s="232" t="s">
        <v>36</v>
      </c>
      <c r="M12" s="33" t="s">
        <v>706</v>
      </c>
      <c r="N12" s="275">
        <f>K12</f>
        <v>0</v>
      </c>
      <c r="O12" s="3" t="s">
        <v>36</v>
      </c>
      <c r="P12" s="341">
        <v>0.45</v>
      </c>
      <c r="Q12" s="341">
        <v>0.28000000000000003</v>
      </c>
      <c r="R12" s="341">
        <v>0.27</v>
      </c>
      <c r="S12" s="132"/>
      <c r="T12" s="132"/>
      <c r="U12" s="132"/>
      <c r="V12" s="116">
        <f t="shared" si="4"/>
        <v>0</v>
      </c>
      <c r="W12" s="116">
        <f t="shared" si="4"/>
        <v>0</v>
      </c>
      <c r="X12" s="116">
        <f t="shared" si="4"/>
        <v>0</v>
      </c>
      <c r="Y12" s="116">
        <f t="shared" si="4"/>
        <v>0</v>
      </c>
      <c r="Z12" s="116">
        <f t="shared" si="4"/>
        <v>0</v>
      </c>
      <c r="AA12" s="116">
        <f t="shared" si="4"/>
        <v>0</v>
      </c>
      <c r="AB12" s="76"/>
    </row>
    <row r="13" spans="1:28" s="55" customFormat="1" ht="13">
      <c r="B13" s="104"/>
      <c r="C13" s="137"/>
      <c r="D13" s="76"/>
      <c r="E13" s="106"/>
      <c r="F13" s="104"/>
      <c r="G13" s="76"/>
      <c r="H13" s="104"/>
      <c r="I13" s="248"/>
      <c r="K13" s="234"/>
      <c r="L13" s="104"/>
      <c r="M13" s="138"/>
      <c r="N13" s="248"/>
      <c r="O13" s="104"/>
      <c r="P13" s="132"/>
      <c r="Q13" s="132"/>
      <c r="R13" s="132"/>
      <c r="S13" s="132"/>
      <c r="T13" s="132"/>
      <c r="U13" s="132"/>
      <c r="V13" s="116"/>
      <c r="W13" s="116"/>
      <c r="X13" s="116"/>
      <c r="Y13" s="116"/>
      <c r="Z13" s="116"/>
      <c r="AA13" s="116"/>
      <c r="AB13" s="76"/>
    </row>
    <row r="14" spans="1:28" ht="13">
      <c r="B14" t="s">
        <v>168</v>
      </c>
      <c r="C14" s="12" t="s">
        <v>160</v>
      </c>
      <c r="D14" s="119"/>
      <c r="E14" s="6"/>
      <c r="F14" s="3"/>
      <c r="G14" s="119"/>
      <c r="H14" s="3"/>
      <c r="I14" s="250"/>
      <c r="K14" s="242"/>
      <c r="L14" s="3" t="s">
        <v>36</v>
      </c>
      <c r="M14" s="33"/>
      <c r="N14" s="250"/>
      <c r="O14" s="3"/>
      <c r="P14" s="132"/>
      <c r="Q14" s="132"/>
      <c r="R14" s="132"/>
      <c r="S14" s="132"/>
      <c r="T14" s="132"/>
      <c r="U14" s="132"/>
      <c r="V14" s="133">
        <f t="shared" ref="V14:AA14" si="5">SUM(V15:V19)</f>
        <v>0</v>
      </c>
      <c r="W14" s="133">
        <f t="shared" si="5"/>
        <v>0</v>
      </c>
      <c r="X14" s="133">
        <f t="shared" si="5"/>
        <v>0</v>
      </c>
      <c r="Y14" s="133">
        <f t="shared" si="5"/>
        <v>0</v>
      </c>
      <c r="Z14" s="133">
        <f t="shared" si="5"/>
        <v>0</v>
      </c>
      <c r="AA14" s="133">
        <f t="shared" si="5"/>
        <v>0</v>
      </c>
      <c r="AB14" s="119"/>
    </row>
    <row r="15" spans="1:28" ht="13">
      <c r="C15" s="12" t="s">
        <v>162</v>
      </c>
      <c r="D15" s="76"/>
      <c r="E15" s="35" t="s">
        <v>43</v>
      </c>
      <c r="F15" s="3" t="s">
        <v>43</v>
      </c>
      <c r="G15" s="76" t="s">
        <v>43</v>
      </c>
      <c r="H15" s="3" t="s">
        <v>43</v>
      </c>
      <c r="I15" s="248"/>
      <c r="K15" s="234"/>
      <c r="L15" s="3" t="s">
        <v>36</v>
      </c>
      <c r="M15" s="33"/>
      <c r="N15" s="247"/>
      <c r="O15" s="3" t="s">
        <v>36</v>
      </c>
      <c r="P15" s="132"/>
      <c r="Q15" s="132"/>
      <c r="R15" s="132"/>
      <c r="S15" s="132"/>
      <c r="T15" s="132"/>
      <c r="U15" s="132"/>
      <c r="V15" s="116">
        <f>$N15*P15</f>
        <v>0</v>
      </c>
      <c r="W15" s="116">
        <f t="shared" ref="V15:AA19" si="6">$N15*Q15</f>
        <v>0</v>
      </c>
      <c r="X15" s="116">
        <f t="shared" si="6"/>
        <v>0</v>
      </c>
      <c r="Y15" s="116">
        <f t="shared" si="6"/>
        <v>0</v>
      </c>
      <c r="Z15" s="116">
        <f t="shared" si="6"/>
        <v>0</v>
      </c>
      <c r="AA15" s="116">
        <f t="shared" si="6"/>
        <v>0</v>
      </c>
      <c r="AB15" s="76"/>
    </row>
    <row r="16" spans="1:28" ht="50.5">
      <c r="C16" s="12" t="s">
        <v>163</v>
      </c>
      <c r="D16" s="76"/>
      <c r="E16" s="539" t="s">
        <v>693</v>
      </c>
      <c r="F16" s="3" t="s">
        <v>342</v>
      </c>
      <c r="G16" s="76">
        <v>65</v>
      </c>
      <c r="H16" s="36" t="s">
        <v>385</v>
      </c>
      <c r="I16" s="248">
        <f>'Этап 3 - Металлы - Сырье'!C7</f>
        <v>0</v>
      </c>
      <c r="J16" s="231" t="s">
        <v>348</v>
      </c>
      <c r="K16" s="234">
        <f>G16*I16/1000</f>
        <v>0</v>
      </c>
      <c r="L16" s="3" t="s">
        <v>36</v>
      </c>
      <c r="M16" s="33" t="s">
        <v>736</v>
      </c>
      <c r="N16" s="253">
        <f>$K$16*'Этап 3 - Металлы - Сырье'!G$9/100</f>
        <v>0</v>
      </c>
      <c r="O16" s="3" t="s">
        <v>36</v>
      </c>
      <c r="P16" s="132">
        <v>0.9</v>
      </c>
      <c r="Q16" s="132"/>
      <c r="R16" s="132"/>
      <c r="S16" s="132"/>
      <c r="T16" s="132"/>
      <c r="U16" s="132">
        <v>0.1</v>
      </c>
      <c r="V16" s="116">
        <f t="shared" si="6"/>
        <v>0</v>
      </c>
      <c r="W16" s="116">
        <f t="shared" si="6"/>
        <v>0</v>
      </c>
      <c r="X16" s="116">
        <f t="shared" si="6"/>
        <v>0</v>
      </c>
      <c r="Y16" s="116">
        <f t="shared" si="6"/>
        <v>0</v>
      </c>
      <c r="Z16" s="116">
        <f t="shared" si="6"/>
        <v>0</v>
      </c>
      <c r="AA16" s="116">
        <f t="shared" si="6"/>
        <v>0</v>
      </c>
      <c r="AB16" s="76"/>
    </row>
    <row r="17" spans="1:28" ht="25.5">
      <c r="C17" s="12"/>
      <c r="D17" s="76"/>
      <c r="E17" s="539"/>
      <c r="F17" s="3"/>
      <c r="G17" s="76"/>
      <c r="H17" s="36"/>
      <c r="I17" s="248"/>
      <c r="K17" s="234"/>
      <c r="L17" s="3"/>
      <c r="M17" s="623" t="s">
        <v>737</v>
      </c>
      <c r="N17" s="253">
        <f>$K$16*'Этап 3 - Металлы - Сырье'!H$9/100</f>
        <v>0</v>
      </c>
      <c r="O17" s="3" t="s">
        <v>36</v>
      </c>
      <c r="P17" s="132">
        <v>0.49</v>
      </c>
      <c r="Q17" s="132">
        <v>0.02</v>
      </c>
      <c r="R17" s="132"/>
      <c r="S17" s="132"/>
      <c r="T17" s="132"/>
      <c r="U17" s="132">
        <v>0.49</v>
      </c>
      <c r="V17" s="116">
        <f t="shared" si="6"/>
        <v>0</v>
      </c>
      <c r="W17" s="116">
        <f t="shared" si="6"/>
        <v>0</v>
      </c>
      <c r="X17" s="116">
        <f t="shared" si="6"/>
        <v>0</v>
      </c>
      <c r="Y17" s="116">
        <f t="shared" si="6"/>
        <v>0</v>
      </c>
      <c r="Z17" s="116">
        <f t="shared" si="6"/>
        <v>0</v>
      </c>
      <c r="AA17" s="116">
        <f t="shared" si="6"/>
        <v>0</v>
      </c>
      <c r="AB17" s="76"/>
    </row>
    <row r="18" spans="1:28" ht="38">
      <c r="C18" s="12"/>
      <c r="D18" s="76"/>
      <c r="E18" s="539"/>
      <c r="F18" s="3"/>
      <c r="G18" s="76"/>
      <c r="H18" s="36"/>
      <c r="I18" s="248"/>
      <c r="K18" s="234"/>
      <c r="L18" s="3"/>
      <c r="M18" s="623" t="s">
        <v>694</v>
      </c>
      <c r="N18" s="253">
        <f>$K$16*'Этап 3 - Металлы - Сырье'!I$9/100</f>
        <v>0</v>
      </c>
      <c r="O18" s="3" t="s">
        <v>36</v>
      </c>
      <c r="P18" s="132">
        <v>0.1</v>
      </c>
      <c r="Q18" s="132">
        <v>0.02</v>
      </c>
      <c r="R18" s="132"/>
      <c r="S18" s="132">
        <v>0.42</v>
      </c>
      <c r="T18" s="132"/>
      <c r="U18" s="132">
        <v>0.46</v>
      </c>
      <c r="V18" s="116">
        <f t="shared" si="6"/>
        <v>0</v>
      </c>
      <c r="W18" s="116">
        <f t="shared" si="6"/>
        <v>0</v>
      </c>
      <c r="X18" s="116">
        <f t="shared" si="6"/>
        <v>0</v>
      </c>
      <c r="Y18" s="116">
        <f t="shared" si="6"/>
        <v>0</v>
      </c>
      <c r="Z18" s="116">
        <f t="shared" si="6"/>
        <v>0</v>
      </c>
      <c r="AA18" s="116">
        <f t="shared" si="6"/>
        <v>0</v>
      </c>
      <c r="AB18" s="76"/>
    </row>
    <row r="19" spans="1:28" ht="50.5">
      <c r="C19" s="12"/>
      <c r="D19" s="76"/>
      <c r="E19" s="539"/>
      <c r="F19" s="3"/>
      <c r="G19" s="76"/>
      <c r="H19" s="36"/>
      <c r="I19" s="248"/>
      <c r="K19" s="234"/>
      <c r="L19" s="3"/>
      <c r="M19" s="623" t="s">
        <v>738</v>
      </c>
      <c r="N19" s="253">
        <f>$K$16*'Этап 3 - Металлы - Сырье'!J$9/100</f>
        <v>0</v>
      </c>
      <c r="O19" s="3" t="s">
        <v>36</v>
      </c>
      <c r="P19" s="132">
        <v>0.02</v>
      </c>
      <c r="Q19" s="132">
        <v>0.02</v>
      </c>
      <c r="R19" s="132"/>
      <c r="S19" s="132">
        <v>0.48</v>
      </c>
      <c r="T19" s="132"/>
      <c r="U19" s="132">
        <v>0.48</v>
      </c>
      <c r="V19" s="116">
        <f t="shared" si="6"/>
        <v>0</v>
      </c>
      <c r="W19" s="116">
        <f t="shared" si="6"/>
        <v>0</v>
      </c>
      <c r="X19" s="116">
        <f t="shared" si="6"/>
        <v>0</v>
      </c>
      <c r="Y19" s="116">
        <f t="shared" si="6"/>
        <v>0</v>
      </c>
      <c r="Z19" s="116">
        <f t="shared" si="6"/>
        <v>0</v>
      </c>
      <c r="AA19" s="116">
        <f t="shared" si="6"/>
        <v>0</v>
      </c>
      <c r="AB19" s="76"/>
    </row>
    <row r="20" spans="1:28" s="55" customFormat="1" ht="13">
      <c r="C20" s="105"/>
      <c r="D20" s="76"/>
      <c r="G20" s="76"/>
      <c r="I20" s="247"/>
      <c r="K20" s="235"/>
      <c r="M20" s="107"/>
      <c r="N20" s="248"/>
      <c r="O20" s="104"/>
      <c r="P20" s="132"/>
      <c r="Q20" s="132"/>
      <c r="R20" s="132"/>
      <c r="S20" s="132"/>
      <c r="T20" s="132"/>
      <c r="U20" s="132"/>
      <c r="V20" s="58"/>
      <c r="W20" s="58"/>
      <c r="X20" s="58"/>
      <c r="Y20" s="58"/>
      <c r="Z20" s="58"/>
      <c r="AA20" s="58"/>
      <c r="AB20" s="76"/>
    </row>
    <row r="21" spans="1:28" ht="13">
      <c r="B21" t="s">
        <v>169</v>
      </c>
      <c r="C21" s="12" t="s">
        <v>164</v>
      </c>
      <c r="D21" s="119"/>
      <c r="E21" s="6"/>
      <c r="F21" s="3"/>
      <c r="G21" s="119"/>
      <c r="H21" s="3"/>
      <c r="I21" s="250"/>
      <c r="K21" s="242"/>
      <c r="L21" s="3"/>
      <c r="M21" s="33"/>
      <c r="N21" s="250"/>
      <c r="O21" s="3"/>
      <c r="P21" s="132"/>
      <c r="Q21" s="132"/>
      <c r="R21" s="132"/>
      <c r="S21" s="132"/>
      <c r="T21" s="132"/>
      <c r="U21" s="132"/>
      <c r="V21" s="133">
        <f t="shared" ref="V21:AA21" si="7">SUM(V22:V26)</f>
        <v>0</v>
      </c>
      <c r="W21" s="133">
        <f t="shared" si="7"/>
        <v>0</v>
      </c>
      <c r="X21" s="133">
        <f t="shared" si="7"/>
        <v>0</v>
      </c>
      <c r="Y21" s="133">
        <f t="shared" si="7"/>
        <v>0</v>
      </c>
      <c r="Z21" s="133">
        <f t="shared" si="7"/>
        <v>0</v>
      </c>
      <c r="AA21" s="133">
        <f t="shared" si="7"/>
        <v>0</v>
      </c>
      <c r="AB21" s="119"/>
    </row>
    <row r="22" spans="1:28" ht="13">
      <c r="C22" s="12" t="s">
        <v>162</v>
      </c>
      <c r="D22" s="76"/>
      <c r="E22" s="35" t="s">
        <v>43</v>
      </c>
      <c r="F22" s="3" t="s">
        <v>43</v>
      </c>
      <c r="G22" s="76" t="s">
        <v>43</v>
      </c>
      <c r="H22" s="3" t="s">
        <v>43</v>
      </c>
      <c r="I22" s="248"/>
      <c r="K22" s="234"/>
      <c r="L22" s="3" t="s">
        <v>36</v>
      </c>
      <c r="M22" s="33"/>
      <c r="N22" s="248"/>
      <c r="O22" s="3" t="s">
        <v>36</v>
      </c>
      <c r="P22" s="132"/>
      <c r="Q22" s="132"/>
      <c r="R22" s="132"/>
      <c r="S22" s="132"/>
      <c r="T22" s="132"/>
      <c r="U22" s="132"/>
      <c r="V22" s="116">
        <f>$N22*P22</f>
        <v>0</v>
      </c>
      <c r="W22" s="116">
        <f t="shared" ref="V22:AA26" si="8">$N22*Q22</f>
        <v>0</v>
      </c>
      <c r="X22" s="116">
        <f t="shared" si="8"/>
        <v>0</v>
      </c>
      <c r="Y22" s="116">
        <f t="shared" si="8"/>
        <v>0</v>
      </c>
      <c r="Z22" s="116">
        <f t="shared" si="8"/>
        <v>0</v>
      </c>
      <c r="AA22" s="116">
        <f t="shared" si="8"/>
        <v>0</v>
      </c>
      <c r="AB22" s="76"/>
    </row>
    <row r="23" spans="1:28" ht="50.5">
      <c r="C23" s="12" t="s">
        <v>165</v>
      </c>
      <c r="D23" s="76"/>
      <c r="E23" s="542" t="s">
        <v>695</v>
      </c>
      <c r="F23" s="3" t="s">
        <v>342</v>
      </c>
      <c r="G23" s="76">
        <v>30</v>
      </c>
      <c r="H23" s="36" t="s">
        <v>385</v>
      </c>
      <c r="I23" s="248">
        <f>'Этап 3 - Металлы - Сырье'!C10</f>
        <v>0</v>
      </c>
      <c r="J23" t="s">
        <v>348</v>
      </c>
      <c r="K23" s="234">
        <f>G23*I23/1000</f>
        <v>0</v>
      </c>
      <c r="L23" s="3" t="s">
        <v>36</v>
      </c>
      <c r="M23" s="33" t="s">
        <v>736</v>
      </c>
      <c r="N23" s="253">
        <f>$K$23*'Этап 3 - Металлы - Сырье'!G$12/100</f>
        <v>0</v>
      </c>
      <c r="O23" s="3" t="s">
        <v>36</v>
      </c>
      <c r="P23" s="132">
        <v>0.9</v>
      </c>
      <c r="Q23" s="132"/>
      <c r="R23" s="132"/>
      <c r="S23" s="132"/>
      <c r="T23" s="132"/>
      <c r="U23" s="132">
        <v>0.1</v>
      </c>
      <c r="V23" s="116">
        <f t="shared" si="8"/>
        <v>0</v>
      </c>
      <c r="W23" s="116">
        <f t="shared" si="8"/>
        <v>0</v>
      </c>
      <c r="X23" s="116">
        <f t="shared" si="8"/>
        <v>0</v>
      </c>
      <c r="Y23" s="116">
        <f t="shared" si="8"/>
        <v>0</v>
      </c>
      <c r="Z23" s="116">
        <f t="shared" si="8"/>
        <v>0</v>
      </c>
      <c r="AA23" s="116">
        <f t="shared" si="8"/>
        <v>0</v>
      </c>
      <c r="AB23" s="76"/>
    </row>
    <row r="24" spans="1:28" ht="25.5">
      <c r="C24" s="12"/>
      <c r="D24" s="76"/>
      <c r="E24" s="542"/>
      <c r="F24" s="3"/>
      <c r="G24" s="76"/>
      <c r="H24" s="36"/>
      <c r="I24" s="248"/>
      <c r="K24" s="234"/>
      <c r="L24" s="3"/>
      <c r="M24" s="33" t="s">
        <v>737</v>
      </c>
      <c r="N24" s="253">
        <f>$K$23*'Этап 3 - Металлы - Сырье'!H$12/100</f>
        <v>0</v>
      </c>
      <c r="O24" s="3" t="s">
        <v>36</v>
      </c>
      <c r="P24" s="132">
        <v>0.49</v>
      </c>
      <c r="Q24" s="132">
        <v>0.02</v>
      </c>
      <c r="R24" s="132"/>
      <c r="S24" s="132"/>
      <c r="T24" s="132"/>
      <c r="U24" s="132">
        <v>0.49</v>
      </c>
      <c r="V24" s="116">
        <f t="shared" si="8"/>
        <v>0</v>
      </c>
      <c r="W24" s="116">
        <f t="shared" si="8"/>
        <v>0</v>
      </c>
      <c r="X24" s="116">
        <f t="shared" si="8"/>
        <v>0</v>
      </c>
      <c r="Y24" s="116">
        <f t="shared" si="8"/>
        <v>0</v>
      </c>
      <c r="Z24" s="116">
        <f t="shared" si="8"/>
        <v>0</v>
      </c>
      <c r="AA24" s="116">
        <f t="shared" si="8"/>
        <v>0</v>
      </c>
      <c r="AB24" s="76"/>
    </row>
    <row r="25" spans="1:28" ht="38">
      <c r="C25" s="12"/>
      <c r="D25" s="76"/>
      <c r="E25" s="542"/>
      <c r="F25" s="3"/>
      <c r="G25" s="76"/>
      <c r="H25" s="36"/>
      <c r="I25" s="248"/>
      <c r="K25" s="234"/>
      <c r="L25" s="3"/>
      <c r="M25" s="33" t="s">
        <v>694</v>
      </c>
      <c r="N25" s="253">
        <f>$K$23*'Этап 3 - Металлы - Сырье'!I$12/100</f>
        <v>0</v>
      </c>
      <c r="O25" s="3" t="s">
        <v>36</v>
      </c>
      <c r="P25" s="132">
        <v>0.1</v>
      </c>
      <c r="Q25" s="132">
        <v>0.02</v>
      </c>
      <c r="R25" s="132"/>
      <c r="S25" s="132">
        <v>0.42</v>
      </c>
      <c r="T25" s="132"/>
      <c r="U25" s="132">
        <v>0.46</v>
      </c>
      <c r="V25" s="116">
        <f t="shared" si="8"/>
        <v>0</v>
      </c>
      <c r="W25" s="116">
        <f t="shared" si="8"/>
        <v>0</v>
      </c>
      <c r="X25" s="116">
        <f t="shared" si="8"/>
        <v>0</v>
      </c>
      <c r="Y25" s="116">
        <f t="shared" si="8"/>
        <v>0</v>
      </c>
      <c r="Z25" s="116">
        <f t="shared" si="8"/>
        <v>0</v>
      </c>
      <c r="AA25" s="116">
        <f t="shared" si="8"/>
        <v>0</v>
      </c>
      <c r="AB25" s="76"/>
    </row>
    <row r="26" spans="1:28" ht="50.5">
      <c r="C26" s="12"/>
      <c r="D26" s="76"/>
      <c r="E26" s="542"/>
      <c r="F26" s="3"/>
      <c r="G26" s="76"/>
      <c r="H26" s="36"/>
      <c r="I26" s="248"/>
      <c r="K26" s="234"/>
      <c r="L26" s="3"/>
      <c r="M26" s="33" t="s">
        <v>738</v>
      </c>
      <c r="N26" s="253">
        <f>$K$23*'Этап 3 - Металлы - Сырье'!J$12/100</f>
        <v>0</v>
      </c>
      <c r="O26" s="3" t="s">
        <v>36</v>
      </c>
      <c r="P26" s="132">
        <v>0.02</v>
      </c>
      <c r="Q26" s="132">
        <v>0.02</v>
      </c>
      <c r="R26" s="132"/>
      <c r="S26" s="132">
        <v>0.48</v>
      </c>
      <c r="T26" s="132"/>
      <c r="U26" s="132">
        <v>0.48</v>
      </c>
      <c r="V26" s="116">
        <f t="shared" si="8"/>
        <v>0</v>
      </c>
      <c r="W26" s="116">
        <f t="shared" si="8"/>
        <v>0</v>
      </c>
      <c r="X26" s="116">
        <f t="shared" si="8"/>
        <v>0</v>
      </c>
      <c r="Y26" s="116">
        <f t="shared" si="8"/>
        <v>0</v>
      </c>
      <c r="Z26" s="116">
        <f t="shared" si="8"/>
        <v>0</v>
      </c>
      <c r="AA26" s="116">
        <f t="shared" si="8"/>
        <v>0</v>
      </c>
      <c r="AB26" s="76"/>
    </row>
    <row r="27" spans="1:28" s="55" customFormat="1" ht="13">
      <c r="A27" s="139"/>
      <c r="B27" s="104"/>
      <c r="C27" s="136"/>
      <c r="D27" s="111"/>
      <c r="E27" s="106"/>
      <c r="F27" s="104"/>
      <c r="G27" s="76"/>
      <c r="H27" s="104"/>
      <c r="I27" s="248"/>
      <c r="K27" s="234"/>
      <c r="L27" s="104"/>
      <c r="M27" s="110"/>
      <c r="N27" s="248"/>
      <c r="O27" s="104"/>
      <c r="P27" s="132"/>
      <c r="Q27" s="132"/>
      <c r="R27" s="132"/>
      <c r="S27" s="132"/>
      <c r="T27" s="132"/>
      <c r="U27" s="132"/>
      <c r="V27" s="116"/>
      <c r="W27" s="116"/>
      <c r="X27" s="116"/>
      <c r="Y27" s="116"/>
      <c r="Z27" s="116"/>
      <c r="AA27" s="116"/>
      <c r="AB27" s="76"/>
    </row>
    <row r="28" spans="1:28" ht="13">
      <c r="B28" t="s">
        <v>170</v>
      </c>
      <c r="C28" s="12" t="s">
        <v>166</v>
      </c>
      <c r="D28" s="119"/>
      <c r="E28" s="6"/>
      <c r="F28" s="3"/>
      <c r="G28" s="119"/>
      <c r="H28" s="3"/>
      <c r="I28" s="250"/>
      <c r="K28" s="242"/>
      <c r="L28" s="3"/>
      <c r="M28" s="33"/>
      <c r="N28" s="250"/>
      <c r="O28" s="3"/>
      <c r="P28" s="132"/>
      <c r="Q28" s="132"/>
      <c r="R28" s="132"/>
      <c r="S28" s="132"/>
      <c r="T28" s="132"/>
      <c r="U28" s="132"/>
      <c r="V28" s="133">
        <f t="shared" ref="V28:AA28" si="9">SUM(V29:V33)</f>
        <v>0</v>
      </c>
      <c r="W28" s="133">
        <f t="shared" si="9"/>
        <v>0</v>
      </c>
      <c r="X28" s="133">
        <f t="shared" si="9"/>
        <v>0</v>
      </c>
      <c r="Y28" s="133">
        <f t="shared" si="9"/>
        <v>0</v>
      </c>
      <c r="Z28" s="133">
        <f t="shared" si="9"/>
        <v>0</v>
      </c>
      <c r="AA28" s="133">
        <f t="shared" si="9"/>
        <v>0</v>
      </c>
      <c r="AB28" s="119"/>
    </row>
    <row r="29" spans="1:28" ht="13">
      <c r="C29" s="12" t="s">
        <v>162</v>
      </c>
      <c r="D29" s="76"/>
      <c r="E29" s="35" t="s">
        <v>43</v>
      </c>
      <c r="F29" s="3" t="s">
        <v>43</v>
      </c>
      <c r="G29" s="76" t="s">
        <v>43</v>
      </c>
      <c r="H29" s="3" t="s">
        <v>43</v>
      </c>
      <c r="I29" s="248"/>
      <c r="K29" s="234"/>
      <c r="L29" s="3" t="s">
        <v>36</v>
      </c>
      <c r="M29" s="33"/>
      <c r="N29" s="248"/>
      <c r="O29" s="3" t="s">
        <v>36</v>
      </c>
      <c r="P29" s="132"/>
      <c r="Q29" s="132"/>
      <c r="R29" s="132"/>
      <c r="S29" s="132"/>
      <c r="T29" s="132"/>
      <c r="U29" s="132"/>
      <c r="V29" s="116">
        <f t="shared" ref="V29:AA29" si="10">$N29*P29</f>
        <v>0</v>
      </c>
      <c r="W29" s="116">
        <f t="shared" si="10"/>
        <v>0</v>
      </c>
      <c r="X29" s="116">
        <f t="shared" si="10"/>
        <v>0</v>
      </c>
      <c r="Y29" s="116">
        <f t="shared" si="10"/>
        <v>0</v>
      </c>
      <c r="Z29" s="116">
        <f t="shared" si="10"/>
        <v>0</v>
      </c>
      <c r="AA29" s="116">
        <f t="shared" si="10"/>
        <v>0</v>
      </c>
      <c r="AB29" s="76"/>
    </row>
    <row r="30" spans="1:28" ht="50.5">
      <c r="C30" s="12" t="s">
        <v>167</v>
      </c>
      <c r="D30" s="76"/>
      <c r="E30" s="539" t="s">
        <v>696</v>
      </c>
      <c r="F30" s="3" t="s">
        <v>342</v>
      </c>
      <c r="G30" s="76">
        <v>30</v>
      </c>
      <c r="H30" s="36" t="s">
        <v>385</v>
      </c>
      <c r="I30" s="248">
        <f>'Этап 3 - Металлы - Сырье'!C13</f>
        <v>0</v>
      </c>
      <c r="J30" t="s">
        <v>348</v>
      </c>
      <c r="K30" s="234">
        <f>G30*I30/1000</f>
        <v>0</v>
      </c>
      <c r="L30" s="3" t="s">
        <v>36</v>
      </c>
      <c r="M30" s="33" t="s">
        <v>736</v>
      </c>
      <c r="N30" s="253">
        <f>$K$30*'Этап 3 - Металлы - Сырье'!G$15/100</f>
        <v>0</v>
      </c>
      <c r="O30" s="3" t="s">
        <v>36</v>
      </c>
      <c r="P30" s="132">
        <v>0.9</v>
      </c>
      <c r="Q30" s="132"/>
      <c r="R30" s="132"/>
      <c r="S30" s="132"/>
      <c r="T30" s="132"/>
      <c r="U30" s="132">
        <v>0.1</v>
      </c>
      <c r="V30" s="116">
        <f t="shared" ref="V30:AA33" si="11">$N30*P30</f>
        <v>0</v>
      </c>
      <c r="W30" s="116">
        <f t="shared" si="11"/>
        <v>0</v>
      </c>
      <c r="X30" s="116">
        <f t="shared" si="11"/>
        <v>0</v>
      </c>
      <c r="Y30" s="116">
        <f t="shared" si="11"/>
        <v>0</v>
      </c>
      <c r="Z30" s="116">
        <f t="shared" si="11"/>
        <v>0</v>
      </c>
      <c r="AA30" s="116">
        <f t="shared" si="11"/>
        <v>0</v>
      </c>
      <c r="AB30" s="76"/>
    </row>
    <row r="31" spans="1:28" ht="25.5">
      <c r="C31" s="12"/>
      <c r="D31" s="76"/>
      <c r="E31" s="539"/>
      <c r="F31" s="3"/>
      <c r="G31" s="76"/>
      <c r="H31" s="36"/>
      <c r="I31" s="248"/>
      <c r="K31" s="234"/>
      <c r="L31" s="3"/>
      <c r="M31" s="33" t="s">
        <v>737</v>
      </c>
      <c r="N31" s="253">
        <f>$K$30*'Этап 3 - Металлы - Сырье'!H$15/100</f>
        <v>0</v>
      </c>
      <c r="O31" s="3" t="s">
        <v>36</v>
      </c>
      <c r="P31" s="132">
        <v>0.49</v>
      </c>
      <c r="Q31" s="132">
        <v>0.02</v>
      </c>
      <c r="R31" s="132"/>
      <c r="S31" s="132"/>
      <c r="T31" s="132"/>
      <c r="U31" s="132">
        <v>0.49</v>
      </c>
      <c r="V31" s="116">
        <f t="shared" si="11"/>
        <v>0</v>
      </c>
      <c r="W31" s="116">
        <f t="shared" si="11"/>
        <v>0</v>
      </c>
      <c r="X31" s="116">
        <f t="shared" si="11"/>
        <v>0</v>
      </c>
      <c r="Y31" s="116">
        <f t="shared" si="11"/>
        <v>0</v>
      </c>
      <c r="Z31" s="116">
        <f t="shared" si="11"/>
        <v>0</v>
      </c>
      <c r="AA31" s="116">
        <f t="shared" si="11"/>
        <v>0</v>
      </c>
      <c r="AB31" s="76"/>
    </row>
    <row r="32" spans="1:28" ht="38">
      <c r="C32" s="12"/>
      <c r="D32" s="76"/>
      <c r="E32" s="539"/>
      <c r="F32" s="3"/>
      <c r="G32" s="76"/>
      <c r="H32" s="36"/>
      <c r="I32" s="248"/>
      <c r="K32" s="234"/>
      <c r="L32" s="3"/>
      <c r="M32" s="33" t="s">
        <v>694</v>
      </c>
      <c r="N32" s="253">
        <f>$K$30*'Этап 3 - Металлы - Сырье'!I$15/100</f>
        <v>0</v>
      </c>
      <c r="O32" s="3" t="s">
        <v>36</v>
      </c>
      <c r="P32" s="132">
        <v>0.1</v>
      </c>
      <c r="Q32" s="132">
        <v>0.02</v>
      </c>
      <c r="R32" s="132"/>
      <c r="S32" s="132">
        <v>0.42</v>
      </c>
      <c r="T32" s="132"/>
      <c r="U32" s="132">
        <v>0.46</v>
      </c>
      <c r="V32" s="116">
        <f t="shared" si="11"/>
        <v>0</v>
      </c>
      <c r="W32" s="116">
        <f t="shared" si="11"/>
        <v>0</v>
      </c>
      <c r="X32" s="116">
        <f t="shared" si="11"/>
        <v>0</v>
      </c>
      <c r="Y32" s="116">
        <f t="shared" si="11"/>
        <v>0</v>
      </c>
      <c r="Z32" s="116">
        <f t="shared" si="11"/>
        <v>0</v>
      </c>
      <c r="AA32" s="116">
        <f t="shared" si="11"/>
        <v>0</v>
      </c>
      <c r="AB32" s="76"/>
    </row>
    <row r="33" spans="1:28" ht="50.5">
      <c r="C33" s="12"/>
      <c r="D33" s="76"/>
      <c r="E33" s="539"/>
      <c r="F33" s="3"/>
      <c r="G33" s="76"/>
      <c r="H33" s="36"/>
      <c r="I33" s="248"/>
      <c r="K33" s="234"/>
      <c r="L33" s="3"/>
      <c r="M33" s="33" t="s">
        <v>738</v>
      </c>
      <c r="N33" s="253">
        <f>$K$30*'Этап 3 - Металлы - Сырье'!J$15/100</f>
        <v>0</v>
      </c>
      <c r="O33" s="3" t="s">
        <v>36</v>
      </c>
      <c r="P33" s="132">
        <v>0.02</v>
      </c>
      <c r="Q33" s="132">
        <v>0.02</v>
      </c>
      <c r="R33" s="132"/>
      <c r="S33" s="132">
        <v>0.48</v>
      </c>
      <c r="T33" s="132"/>
      <c r="U33" s="132">
        <v>0.48</v>
      </c>
      <c r="V33" s="116">
        <f t="shared" si="11"/>
        <v>0</v>
      </c>
      <c r="W33" s="116">
        <f t="shared" si="11"/>
        <v>0</v>
      </c>
      <c r="X33" s="116">
        <f t="shared" si="11"/>
        <v>0</v>
      </c>
      <c r="Y33" s="116">
        <f t="shared" si="11"/>
        <v>0</v>
      </c>
      <c r="Z33" s="116">
        <f t="shared" si="11"/>
        <v>0</v>
      </c>
      <c r="AA33" s="116">
        <f t="shared" si="11"/>
        <v>0</v>
      </c>
      <c r="AB33" s="76"/>
    </row>
    <row r="34" spans="1:28" s="55" customFormat="1">
      <c r="A34" s="104"/>
      <c r="B34" s="104"/>
      <c r="C34" s="105"/>
      <c r="D34" s="76"/>
      <c r="E34" s="106"/>
      <c r="F34" s="104"/>
      <c r="G34" s="76"/>
      <c r="H34" s="104"/>
      <c r="I34" s="248"/>
      <c r="K34" s="234"/>
      <c r="L34" s="104"/>
      <c r="M34" s="138"/>
      <c r="N34" s="248"/>
      <c r="O34" s="104"/>
      <c r="P34" s="132"/>
      <c r="Q34" s="132"/>
      <c r="R34" s="132"/>
      <c r="S34" s="132"/>
      <c r="T34" s="132"/>
      <c r="U34" s="132"/>
      <c r="V34" s="116"/>
      <c r="W34" s="116"/>
      <c r="X34" s="116"/>
      <c r="Y34" s="116"/>
      <c r="Z34" s="116"/>
      <c r="AA34" s="116"/>
      <c r="AB34" s="76"/>
    </row>
    <row r="35" spans="1:28" ht="39">
      <c r="B35" t="s">
        <v>171</v>
      </c>
      <c r="C35" s="12" t="s">
        <v>317</v>
      </c>
      <c r="D35" s="119"/>
      <c r="E35" s="541" t="s">
        <v>697</v>
      </c>
      <c r="F35" s="36" t="s">
        <v>426</v>
      </c>
      <c r="G35" s="336">
        <v>5.5</v>
      </c>
      <c r="H35" s="36" t="s">
        <v>436</v>
      </c>
      <c r="I35" s="439">
        <f>'Этап 3 - Металлы - Сырье'!C16</f>
        <v>0</v>
      </c>
      <c r="J35" s="53" t="s">
        <v>435</v>
      </c>
      <c r="K35" s="234">
        <f>G35*I35/1000</f>
        <v>0</v>
      </c>
      <c r="L35" s="3" t="s">
        <v>36</v>
      </c>
      <c r="M35" s="33"/>
      <c r="N35" s="251">
        <f>K35</f>
        <v>0</v>
      </c>
      <c r="O35" s="3" t="s">
        <v>36</v>
      </c>
      <c r="P35" s="132">
        <v>0.04</v>
      </c>
      <c r="Q35" s="132">
        <v>0.02</v>
      </c>
      <c r="R35" s="132">
        <v>0.9</v>
      </c>
      <c r="S35" s="132">
        <v>0.04</v>
      </c>
      <c r="T35" s="132"/>
      <c r="U35" s="132"/>
      <c r="V35" s="133">
        <f t="shared" ref="V35:AA35" si="12">$N35*P35</f>
        <v>0</v>
      </c>
      <c r="W35" s="133">
        <f t="shared" si="12"/>
        <v>0</v>
      </c>
      <c r="X35" s="133">
        <f t="shared" si="12"/>
        <v>0</v>
      </c>
      <c r="Y35" s="133">
        <f t="shared" si="12"/>
        <v>0</v>
      </c>
      <c r="Z35" s="133">
        <f t="shared" si="12"/>
        <v>0</v>
      </c>
      <c r="AA35" s="133">
        <f t="shared" si="12"/>
        <v>0</v>
      </c>
      <c r="AB35" s="119"/>
    </row>
    <row r="36" spans="1:28" s="55" customFormat="1" ht="13">
      <c r="A36" s="104"/>
      <c r="B36" s="104"/>
      <c r="C36" s="136"/>
      <c r="D36" s="111"/>
      <c r="E36" s="106"/>
      <c r="F36" s="104"/>
      <c r="G36" s="76"/>
      <c r="H36" s="104"/>
      <c r="I36" s="248"/>
      <c r="K36" s="234"/>
      <c r="L36" s="104"/>
      <c r="M36" s="107"/>
      <c r="N36" s="248"/>
      <c r="O36" s="104"/>
      <c r="P36" s="132"/>
      <c r="Q36" s="132"/>
      <c r="R36" s="132"/>
      <c r="S36" s="132"/>
      <c r="T36" s="132"/>
      <c r="U36" s="132"/>
      <c r="V36" s="116"/>
      <c r="W36" s="116"/>
      <c r="X36" s="116"/>
      <c r="Y36" s="116"/>
      <c r="Z36" s="116"/>
      <c r="AA36" s="116"/>
      <c r="AB36" s="76"/>
    </row>
    <row r="37" spans="1:28" ht="26">
      <c r="B37" t="s">
        <v>176</v>
      </c>
      <c r="C37" s="12" t="s">
        <v>174</v>
      </c>
      <c r="D37" s="119"/>
      <c r="E37" s="6"/>
      <c r="F37" s="3"/>
      <c r="G37" s="119"/>
      <c r="H37" s="3"/>
      <c r="I37" s="250"/>
      <c r="K37" s="242"/>
      <c r="L37" s="3"/>
      <c r="M37" s="33"/>
      <c r="N37" s="250"/>
      <c r="O37" s="3"/>
      <c r="P37" s="132"/>
      <c r="Q37" s="132"/>
      <c r="R37" s="132"/>
      <c r="S37" s="132"/>
      <c r="T37" s="132"/>
      <c r="U37" s="132"/>
      <c r="V37" s="133">
        <f t="shared" ref="V37:AA37" si="13">SUM(V38:V39)</f>
        <v>0</v>
      </c>
      <c r="W37" s="133">
        <f t="shared" si="13"/>
        <v>0</v>
      </c>
      <c r="X37" s="133">
        <f t="shared" si="13"/>
        <v>0</v>
      </c>
      <c r="Y37" s="133">
        <f t="shared" si="13"/>
        <v>0</v>
      </c>
      <c r="Z37" s="133">
        <f t="shared" si="13"/>
        <v>0</v>
      </c>
      <c r="AA37" s="133">
        <f t="shared" si="13"/>
        <v>0</v>
      </c>
      <c r="AB37" s="119"/>
    </row>
    <row r="38" spans="1:28" ht="13">
      <c r="C38" s="12" t="s">
        <v>409</v>
      </c>
      <c r="D38" s="76"/>
      <c r="E38" s="8" t="s">
        <v>406</v>
      </c>
      <c r="F38" s="36" t="s">
        <v>408</v>
      </c>
      <c r="G38" s="76">
        <v>0.5</v>
      </c>
      <c r="H38" s="36" t="s">
        <v>408</v>
      </c>
      <c r="I38" s="248">
        <f>'Этап 3 - Металлы - Сырье'!C17</f>
        <v>0</v>
      </c>
      <c r="J38" s="8" t="s">
        <v>407</v>
      </c>
      <c r="K38" s="234">
        <f>G38*I38/1000</f>
        <v>0</v>
      </c>
      <c r="L38" s="3" t="s">
        <v>36</v>
      </c>
      <c r="M38" s="33"/>
      <c r="N38" s="248">
        <f>K38</f>
        <v>0</v>
      </c>
      <c r="O38" s="3" t="s">
        <v>36</v>
      </c>
      <c r="P38" s="132">
        <v>0.15</v>
      </c>
      <c r="Q38" s="132">
        <v>0.1</v>
      </c>
      <c r="R38" s="132"/>
      <c r="S38" s="132"/>
      <c r="T38" s="132">
        <v>0.65</v>
      </c>
      <c r="U38" s="132">
        <v>0.1</v>
      </c>
      <c r="V38" s="116">
        <f t="shared" ref="V38:AA39" si="14">$N38*P38</f>
        <v>0</v>
      </c>
      <c r="W38" s="116">
        <f t="shared" si="14"/>
        <v>0</v>
      </c>
      <c r="X38" s="116">
        <f t="shared" si="14"/>
        <v>0</v>
      </c>
      <c r="Y38" s="116">
        <f t="shared" si="14"/>
        <v>0</v>
      </c>
      <c r="Z38" s="116">
        <f t="shared" si="14"/>
        <v>0</v>
      </c>
      <c r="AA38" s="116">
        <f t="shared" si="14"/>
        <v>0</v>
      </c>
      <c r="AB38" s="76"/>
    </row>
    <row r="39" spans="1:28" ht="13">
      <c r="C39" s="12" t="s">
        <v>175</v>
      </c>
      <c r="D39" s="76"/>
      <c r="E39" t="s">
        <v>43</v>
      </c>
      <c r="F39" s="3" t="s">
        <v>43</v>
      </c>
      <c r="G39" s="76" t="s">
        <v>43</v>
      </c>
      <c r="H39" s="3" t="s">
        <v>43</v>
      </c>
      <c r="I39" s="248"/>
      <c r="J39" t="s">
        <v>43</v>
      </c>
      <c r="K39" s="234"/>
      <c r="L39" s="3" t="s">
        <v>36</v>
      </c>
      <c r="M39" s="33"/>
      <c r="N39" s="248"/>
      <c r="O39" s="3" t="s">
        <v>36</v>
      </c>
      <c r="P39" s="132"/>
      <c r="Q39" s="132"/>
      <c r="R39" s="132"/>
      <c r="S39" s="132"/>
      <c r="T39" s="132"/>
      <c r="U39" s="132"/>
      <c r="V39" s="116">
        <f t="shared" si="14"/>
        <v>0</v>
      </c>
      <c r="W39" s="116">
        <f t="shared" si="14"/>
        <v>0</v>
      </c>
      <c r="X39" s="116">
        <f t="shared" si="14"/>
        <v>0</v>
      </c>
      <c r="Y39" s="116">
        <f t="shared" si="14"/>
        <v>0</v>
      </c>
      <c r="Z39" s="116">
        <f t="shared" si="14"/>
        <v>0</v>
      </c>
      <c r="AA39" s="116">
        <f t="shared" si="14"/>
        <v>0</v>
      </c>
      <c r="AB39" s="76"/>
    </row>
    <row r="40" spans="1:28" s="55" customFormat="1">
      <c r="A40" s="104"/>
      <c r="B40" s="104"/>
      <c r="C40" s="105"/>
      <c r="D40" s="76"/>
      <c r="E40" s="106"/>
      <c r="F40" s="104"/>
      <c r="G40" s="76"/>
      <c r="H40" s="104"/>
      <c r="I40" s="248"/>
      <c r="K40" s="237"/>
      <c r="L40" s="104"/>
      <c r="M40" s="138"/>
      <c r="N40" s="248"/>
      <c r="O40" s="104"/>
      <c r="P40" s="132"/>
      <c r="Q40" s="132"/>
      <c r="R40" s="132"/>
      <c r="S40" s="132"/>
      <c r="T40" s="132"/>
      <c r="U40" s="132"/>
      <c r="V40" s="116"/>
      <c r="W40" s="116"/>
      <c r="X40" s="116"/>
      <c r="Y40" s="116"/>
      <c r="Z40" s="116"/>
      <c r="AA40" s="116"/>
      <c r="AB40" s="76"/>
    </row>
    <row r="41" spans="1:28" ht="26">
      <c r="B41" t="s">
        <v>177</v>
      </c>
      <c r="C41" s="12" t="s">
        <v>180</v>
      </c>
      <c r="D41" s="119"/>
      <c r="E41" t="s">
        <v>43</v>
      </c>
      <c r="F41" s="3" t="s">
        <v>43</v>
      </c>
      <c r="G41" s="119" t="s">
        <v>43</v>
      </c>
      <c r="H41" s="3" t="s">
        <v>43</v>
      </c>
      <c r="I41" s="250"/>
      <c r="J41" t="s">
        <v>43</v>
      </c>
      <c r="K41" s="243" t="s">
        <v>43</v>
      </c>
      <c r="L41" s="3" t="s">
        <v>36</v>
      </c>
      <c r="M41" s="33"/>
      <c r="N41" s="250"/>
      <c r="O41" s="3" t="s">
        <v>36</v>
      </c>
      <c r="P41" s="132">
        <v>1</v>
      </c>
      <c r="Q41" s="132"/>
      <c r="R41" s="132"/>
      <c r="S41" s="132"/>
      <c r="T41" s="132"/>
      <c r="U41" s="132"/>
      <c r="V41" s="133">
        <f t="shared" ref="V41:AA41" si="15">$N41*P41</f>
        <v>0</v>
      </c>
      <c r="W41" s="133">
        <f t="shared" si="15"/>
        <v>0</v>
      </c>
      <c r="X41" s="133">
        <f t="shared" si="15"/>
        <v>0</v>
      </c>
      <c r="Y41" s="133">
        <f t="shared" si="15"/>
        <v>0</v>
      </c>
      <c r="Z41" s="133">
        <f t="shared" si="15"/>
        <v>0</v>
      </c>
      <c r="AA41" s="133">
        <f t="shared" si="15"/>
        <v>0</v>
      </c>
      <c r="AB41" s="119"/>
    </row>
    <row r="42" spans="1:28" s="55" customFormat="1" ht="13">
      <c r="A42" s="104"/>
      <c r="B42" s="104"/>
      <c r="C42" s="136"/>
      <c r="D42" s="112"/>
      <c r="E42" s="106"/>
      <c r="F42" s="104"/>
      <c r="G42" s="76"/>
      <c r="H42" s="104"/>
      <c r="I42" s="248"/>
      <c r="K42" s="237"/>
      <c r="L42" s="104"/>
      <c r="M42" s="107"/>
      <c r="N42" s="248"/>
      <c r="O42" s="104"/>
      <c r="P42" s="132"/>
      <c r="Q42" s="132"/>
      <c r="R42" s="132"/>
      <c r="S42" s="132"/>
      <c r="T42" s="132"/>
      <c r="U42" s="132"/>
      <c r="V42" s="116"/>
      <c r="W42" s="116"/>
      <c r="X42" s="116"/>
      <c r="Y42" s="116"/>
      <c r="Z42" s="116"/>
      <c r="AA42" s="116"/>
      <c r="AB42" s="76"/>
    </row>
    <row r="43" spans="1:28" ht="13">
      <c r="B43" t="s">
        <v>178</v>
      </c>
      <c r="C43" s="12" t="s">
        <v>179</v>
      </c>
      <c r="D43" s="119"/>
      <c r="E43" t="s">
        <v>181</v>
      </c>
      <c r="F43" s="3" t="s">
        <v>343</v>
      </c>
      <c r="G43" s="119">
        <v>0.05</v>
      </c>
      <c r="H43" s="3" t="s">
        <v>343</v>
      </c>
      <c r="I43" s="250">
        <f>'Этап 3 - Металлы - Сырье'!C18</f>
        <v>0</v>
      </c>
      <c r="J43" t="s">
        <v>327</v>
      </c>
      <c r="K43" s="243">
        <f>G43*I43/1000</f>
        <v>0</v>
      </c>
      <c r="L43" s="3" t="s">
        <v>36</v>
      </c>
      <c r="M43" s="33"/>
      <c r="N43" s="250">
        <f>K43</f>
        <v>0</v>
      </c>
      <c r="O43" s="3" t="s">
        <v>36</v>
      </c>
      <c r="P43" s="132">
        <v>0.95</v>
      </c>
      <c r="Q43" s="132"/>
      <c r="R43" s="132"/>
      <c r="S43" s="132"/>
      <c r="T43" s="132"/>
      <c r="U43" s="132">
        <v>0.05</v>
      </c>
      <c r="V43" s="133">
        <f t="shared" ref="V43:AA43" si="16">$N43*P43</f>
        <v>0</v>
      </c>
      <c r="W43" s="133">
        <f t="shared" si="16"/>
        <v>0</v>
      </c>
      <c r="X43" s="133">
        <f t="shared" si="16"/>
        <v>0</v>
      </c>
      <c r="Y43" s="133">
        <f t="shared" si="16"/>
        <v>0</v>
      </c>
      <c r="Z43" s="133">
        <f t="shared" si="16"/>
        <v>0</v>
      </c>
      <c r="AA43" s="133">
        <f t="shared" si="16"/>
        <v>0</v>
      </c>
      <c r="AB43" s="119"/>
    </row>
    <row r="44" spans="1:28" s="55" customFormat="1" ht="13">
      <c r="A44" s="104"/>
      <c r="B44" s="104"/>
      <c r="D44" s="76"/>
      <c r="E44" s="106"/>
      <c r="F44" s="104"/>
      <c r="G44" s="76"/>
      <c r="H44" s="104"/>
      <c r="I44" s="248"/>
      <c r="K44" s="237"/>
      <c r="L44" s="104"/>
      <c r="M44" s="138"/>
      <c r="N44" s="248"/>
      <c r="O44" s="104"/>
      <c r="P44" s="130"/>
      <c r="Q44" s="130"/>
      <c r="R44" s="130"/>
      <c r="S44" s="130"/>
      <c r="T44" s="130"/>
      <c r="U44" s="127"/>
      <c r="V44" s="116"/>
      <c r="W44" s="116"/>
      <c r="X44" s="116"/>
      <c r="Y44" s="116"/>
      <c r="Z44" s="116"/>
      <c r="AA44" s="116"/>
      <c r="AB44" s="76"/>
    </row>
    <row r="45" spans="1:28" ht="13">
      <c r="M45" s="14"/>
      <c r="N45" s="239"/>
      <c r="O45" s="3"/>
    </row>
    <row r="46" spans="1:28" ht="13">
      <c r="M46" s="14"/>
      <c r="N46" s="249"/>
      <c r="O46" s="3"/>
    </row>
    <row r="47" spans="1:28" ht="13">
      <c r="C47" s="5" t="s">
        <v>56</v>
      </c>
      <c r="D47" s="8" t="s">
        <v>172</v>
      </c>
    </row>
    <row r="48" spans="1:28">
      <c r="D48" s="6" t="s">
        <v>173</v>
      </c>
    </row>
  </sheetData>
  <sheetProtection algorithmName="SHA-512" hashValue="vcS7mJhWQAGsHGi5o13aEPjg52yPJF+G+c7RKoN/GcKCZbrCO8MdBqcYSlVAr389+7bEWCOA7ov02civZVvXTg==" saltValue="4LLIfugZ54L7CNDroRI3Pg=="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M48"/>
  <sheetViews>
    <sheetView zoomScale="60" zoomScaleNormal="60" workbookViewId="0">
      <selection activeCell="A4" sqref="A4"/>
    </sheetView>
  </sheetViews>
  <sheetFormatPr defaultColWidth="8.81640625" defaultRowHeight="12.5"/>
  <cols>
    <col min="1" max="1" width="3" customWidth="1"/>
    <col min="2" max="2" width="6.1796875" customWidth="1"/>
    <col min="3" max="3" width="28.36328125" customWidth="1"/>
    <col min="4" max="4" width="12.453125" customWidth="1"/>
    <col min="5" max="5" width="14.453125" customWidth="1"/>
    <col min="6" max="6" width="27.453125" customWidth="1"/>
    <col min="7" max="7" width="10.36328125" customWidth="1"/>
    <col min="8" max="8" width="24.81640625" customWidth="1"/>
    <col min="9" max="9" width="12.453125" style="240" customWidth="1"/>
    <col min="10" max="10" width="20.453125" customWidth="1"/>
    <col min="11" max="11" width="12" customWidth="1"/>
    <col min="12" max="12" width="12.36328125" customWidth="1"/>
    <col min="13" max="13" width="27.1796875" style="13" customWidth="1"/>
    <col min="14" max="14" width="9.1796875" style="240"/>
    <col min="16" max="16" width="4.453125" customWidth="1"/>
    <col min="17" max="17" width="5.36328125" customWidth="1"/>
    <col min="18" max="18" width="5" customWidth="1"/>
    <col min="19" max="19" width="8.453125" customWidth="1"/>
    <col min="21" max="21" width="19.1796875" customWidth="1"/>
    <col min="22" max="22" width="12.453125" customWidth="1"/>
    <col min="24" max="24" width="9.6328125" customWidth="1"/>
    <col min="25" max="25" width="11.1796875" customWidth="1"/>
    <col min="26" max="26" width="11.453125" customWidth="1"/>
    <col min="27" max="27" width="17" customWidth="1"/>
    <col min="28" max="28" width="34" customWidth="1"/>
  </cols>
  <sheetData>
    <row r="1" spans="1:39" ht="18">
      <c r="A1" s="1" t="s">
        <v>34</v>
      </c>
      <c r="I1" s="231"/>
      <c r="L1" s="48"/>
      <c r="M1" s="48"/>
      <c r="N1" s="231"/>
    </row>
    <row r="2" spans="1:39" ht="14">
      <c r="A2" s="54" t="s">
        <v>313</v>
      </c>
      <c r="I2" s="231"/>
      <c r="L2" s="48"/>
      <c r="M2" s="48"/>
      <c r="N2" s="231"/>
    </row>
    <row r="3" spans="1:39" ht="13">
      <c r="C3" s="3"/>
      <c r="D3" s="3"/>
      <c r="E3" s="3"/>
      <c r="F3" s="3"/>
      <c r="G3" s="3"/>
      <c r="H3" s="3"/>
      <c r="I3" s="232"/>
      <c r="J3" s="3"/>
      <c r="K3" s="3"/>
      <c r="L3" s="104"/>
      <c r="M3" s="104"/>
      <c r="N3" s="232"/>
      <c r="O3" s="3"/>
      <c r="P3" s="65" t="s">
        <v>55</v>
      </c>
      <c r="Q3" s="65"/>
      <c r="R3" s="65"/>
      <c r="S3" s="65"/>
      <c r="T3" s="65"/>
      <c r="U3" s="65"/>
      <c r="V3" s="10" t="s">
        <v>54</v>
      </c>
      <c r="W3" s="4"/>
      <c r="X3" s="4"/>
      <c r="Y3" s="4"/>
      <c r="Z3" s="4"/>
      <c r="AA3" s="4"/>
      <c r="AB3" s="2"/>
      <c r="AC3" s="688" t="s">
        <v>820</v>
      </c>
      <c r="AD3" s="688"/>
      <c r="AE3" s="688"/>
      <c r="AF3" s="688"/>
      <c r="AG3" s="688" t="s">
        <v>821</v>
      </c>
      <c r="AH3" s="688"/>
      <c r="AI3" s="688"/>
      <c r="AJ3" s="688"/>
      <c r="AK3" s="688"/>
      <c r="AL3" s="688"/>
      <c r="AM3" s="688"/>
    </row>
    <row r="4" spans="1:39" s="144" customFormat="1" ht="39">
      <c r="A4" s="144" t="s">
        <v>52</v>
      </c>
      <c r="B4" s="144" t="s">
        <v>50</v>
      </c>
      <c r="C4" s="134" t="s">
        <v>59</v>
      </c>
      <c r="D4" s="112" t="s">
        <v>153</v>
      </c>
      <c r="E4" s="134" t="s">
        <v>49</v>
      </c>
      <c r="F4" s="143" t="s">
        <v>35</v>
      </c>
      <c r="G4" s="112" t="s">
        <v>37</v>
      </c>
      <c r="H4" s="143" t="s">
        <v>35</v>
      </c>
      <c r="I4" s="245" t="s">
        <v>51</v>
      </c>
      <c r="J4" s="144" t="s">
        <v>35</v>
      </c>
      <c r="K4" s="84" t="s">
        <v>61</v>
      </c>
      <c r="L4" s="139" t="s">
        <v>35</v>
      </c>
      <c r="M4" s="156" t="s">
        <v>280</v>
      </c>
      <c r="N4" s="245" t="s">
        <v>92</v>
      </c>
      <c r="O4" s="143" t="s">
        <v>35</v>
      </c>
      <c r="P4" s="147" t="s">
        <v>38</v>
      </c>
      <c r="Q4" s="147" t="s">
        <v>39</v>
      </c>
      <c r="R4" s="147" t="s">
        <v>40</v>
      </c>
      <c r="S4" s="147" t="s">
        <v>41</v>
      </c>
      <c r="T4" s="148" t="s">
        <v>42</v>
      </c>
      <c r="U4" s="148" t="s">
        <v>228</v>
      </c>
      <c r="V4" s="56" t="s">
        <v>38</v>
      </c>
      <c r="W4" s="56" t="s">
        <v>39</v>
      </c>
      <c r="X4" s="56" t="s">
        <v>40</v>
      </c>
      <c r="Y4" s="56" t="s">
        <v>41</v>
      </c>
      <c r="Z4" s="57" t="s">
        <v>42</v>
      </c>
      <c r="AA4" s="57" t="s">
        <v>228</v>
      </c>
      <c r="AB4" s="111" t="s">
        <v>87</v>
      </c>
      <c r="AC4" s="689"/>
      <c r="AD4" s="689"/>
      <c r="AE4" s="689"/>
      <c r="AF4" s="689"/>
      <c r="AG4" s="10"/>
      <c r="AH4" s="10" t="s">
        <v>822</v>
      </c>
      <c r="AI4" s="10"/>
      <c r="AJ4" s="10"/>
      <c r="AK4" s="10"/>
      <c r="AL4" s="10"/>
      <c r="AM4" s="10"/>
    </row>
    <row r="5" spans="1:39" ht="88">
      <c r="A5" t="s">
        <v>186</v>
      </c>
      <c r="C5" s="12" t="s">
        <v>187</v>
      </c>
      <c r="D5" s="111"/>
      <c r="F5" s="3"/>
      <c r="G5" s="76"/>
      <c r="H5" s="3"/>
      <c r="I5" s="247"/>
      <c r="K5" s="113"/>
      <c r="L5" s="3"/>
      <c r="M5" s="14"/>
      <c r="N5" s="247"/>
      <c r="O5" s="3"/>
      <c r="P5" s="127"/>
      <c r="Q5" s="127"/>
      <c r="R5" s="127"/>
      <c r="S5" s="127"/>
      <c r="T5" s="127"/>
      <c r="U5" s="127"/>
      <c r="V5" s="58"/>
      <c r="W5" s="58"/>
      <c r="X5" s="58"/>
      <c r="Y5" s="58"/>
      <c r="Z5" s="58"/>
      <c r="AA5" s="58"/>
      <c r="AB5" s="76"/>
      <c r="AC5" s="690" t="s">
        <v>814</v>
      </c>
      <c r="AD5" s="689"/>
      <c r="AE5" s="690" t="s">
        <v>815</v>
      </c>
      <c r="AF5" s="689"/>
      <c r="AG5" s="84" t="s">
        <v>823</v>
      </c>
      <c r="AH5" s="56" t="s">
        <v>38</v>
      </c>
      <c r="AI5" s="56" t="s">
        <v>39</v>
      </c>
      <c r="AJ5" s="56" t="s">
        <v>40</v>
      </c>
      <c r="AK5" s="56" t="s">
        <v>41</v>
      </c>
      <c r="AL5" s="57" t="s">
        <v>42</v>
      </c>
      <c r="AM5" s="57" t="s">
        <v>228</v>
      </c>
    </row>
    <row r="6" spans="1:39" ht="13">
      <c r="B6" t="s">
        <v>188</v>
      </c>
      <c r="C6" s="26" t="s">
        <v>371</v>
      </c>
      <c r="D6" s="111"/>
      <c r="E6" s="3"/>
      <c r="F6" s="3"/>
      <c r="G6" s="334"/>
      <c r="H6" s="36"/>
      <c r="I6" s="330"/>
      <c r="J6" s="9"/>
      <c r="K6" s="338">
        <f>K7+K19</f>
        <v>0</v>
      </c>
      <c r="L6" s="3" t="s">
        <v>36</v>
      </c>
      <c r="M6" s="339" t="s">
        <v>371</v>
      </c>
      <c r="N6" s="252"/>
      <c r="O6" s="3"/>
      <c r="P6" s="282"/>
      <c r="Q6" s="282"/>
      <c r="R6" s="282"/>
      <c r="S6" s="282"/>
      <c r="T6" s="282"/>
      <c r="U6" s="282"/>
      <c r="V6" s="114">
        <f t="shared" ref="V6:AA6" si="0">SUM(V7:V30)</f>
        <v>0</v>
      </c>
      <c r="W6" s="114">
        <f t="shared" si="0"/>
        <v>0</v>
      </c>
      <c r="X6" s="114">
        <f t="shared" si="0"/>
        <v>0</v>
      </c>
      <c r="Y6" s="114">
        <f t="shared" si="0"/>
        <v>0</v>
      </c>
      <c r="Z6" s="114">
        <f t="shared" si="0"/>
        <v>0</v>
      </c>
      <c r="AA6" s="114">
        <f t="shared" si="0"/>
        <v>0</v>
      </c>
      <c r="AB6" s="76"/>
      <c r="AC6" s="689"/>
      <c r="AD6" s="689"/>
      <c r="AE6" s="689"/>
      <c r="AF6" s="689"/>
      <c r="AG6" s="114">
        <f>SUM(AG7:AG25)</f>
        <v>0</v>
      </c>
      <c r="AH6" s="114" t="e">
        <f t="shared" ref="AH6:AM6" si="1">SUM(AH7:AH25)</f>
        <v>#DIV/0!</v>
      </c>
      <c r="AI6" s="114" t="e">
        <f t="shared" si="1"/>
        <v>#DIV/0!</v>
      </c>
      <c r="AJ6" s="114" t="e">
        <f t="shared" si="1"/>
        <v>#DIV/0!</v>
      </c>
      <c r="AK6" s="114" t="e">
        <f t="shared" si="1"/>
        <v>#DIV/0!</v>
      </c>
      <c r="AL6" s="114" t="e">
        <f t="shared" si="1"/>
        <v>#DIV/0!</v>
      </c>
      <c r="AM6" s="114" t="e">
        <f t="shared" si="1"/>
        <v>#DIV/0!</v>
      </c>
    </row>
    <row r="7" spans="1:39" ht="38">
      <c r="C7" s="26" t="s">
        <v>698</v>
      </c>
      <c r="D7" s="111"/>
      <c r="E7" s="36" t="s">
        <v>700</v>
      </c>
      <c r="F7" s="36" t="s">
        <v>383</v>
      </c>
      <c r="G7" s="334">
        <v>0.11</v>
      </c>
      <c r="H7" s="36" t="s">
        <v>383</v>
      </c>
      <c r="I7" s="248">
        <f>'Этап 3 - Металлы - Сырье'!C$26*('Этап 3 - Металлы - Сырье'!G30+'Этап 3 - Металлы - Сырье'!H30+'Этап 3 - Металлы - Сырье'!I30+'Этап 3 - Металлы - Сырье'!J30+'Этап 3 - Металлы - Сырье'!K30)/100</f>
        <v>0</v>
      </c>
      <c r="J7" s="9" t="s">
        <v>328</v>
      </c>
      <c r="K7" s="641">
        <f>I7*G7/1000+SUM(K9:K13)</f>
        <v>0</v>
      </c>
      <c r="L7" s="640" t="s">
        <v>761</v>
      </c>
      <c r="M7" s="14" t="s">
        <v>741</v>
      </c>
      <c r="N7" s="626">
        <f>$K$6*'Этап 3 - Металлы - Сырье'!G$28/100</f>
        <v>0</v>
      </c>
      <c r="O7" s="3" t="s">
        <v>36</v>
      </c>
      <c r="P7" s="282">
        <v>0.8</v>
      </c>
      <c r="Q7" s="282"/>
      <c r="R7" s="282"/>
      <c r="S7" s="282">
        <v>0.2</v>
      </c>
      <c r="T7" s="282"/>
      <c r="U7" s="282"/>
      <c r="V7" s="627">
        <f t="shared" ref="V7:AA17" si="2">$N7*P7</f>
        <v>0</v>
      </c>
      <c r="W7" s="627">
        <f t="shared" si="2"/>
        <v>0</v>
      </c>
      <c r="X7" s="627">
        <f t="shared" si="2"/>
        <v>0</v>
      </c>
      <c r="Y7" s="627">
        <f t="shared" si="2"/>
        <v>0</v>
      </c>
      <c r="Z7" s="627">
        <f t="shared" si="2"/>
        <v>0</v>
      </c>
      <c r="AA7" s="627">
        <f t="shared" si="2"/>
        <v>0</v>
      </c>
      <c r="AB7" s="76"/>
      <c r="AC7" s="689"/>
      <c r="AD7" s="689"/>
      <c r="AE7" s="689"/>
      <c r="AF7" s="689"/>
      <c r="AG7" s="689"/>
      <c r="AH7" s="689"/>
      <c r="AI7" s="689"/>
      <c r="AJ7" s="689"/>
      <c r="AK7" s="689"/>
      <c r="AL7" s="689"/>
      <c r="AM7" s="689"/>
    </row>
    <row r="8" spans="1:39" ht="97.25" customHeight="1">
      <c r="C8" s="628" t="s">
        <v>808</v>
      </c>
      <c r="D8" s="111"/>
      <c r="E8" s="629"/>
      <c r="F8" s="630"/>
      <c r="G8" s="631"/>
      <c r="H8" s="232"/>
      <c r="I8" s="632"/>
      <c r="J8" s="9"/>
      <c r="K8" s="633"/>
      <c r="L8" s="3"/>
      <c r="M8" s="32" t="s">
        <v>742</v>
      </c>
      <c r="N8" s="626"/>
      <c r="O8" s="3"/>
      <c r="P8" s="282"/>
      <c r="Q8" s="282"/>
      <c r="R8" s="282"/>
      <c r="S8" s="282"/>
      <c r="T8" s="282"/>
      <c r="U8" s="282"/>
      <c r="V8" s="627"/>
      <c r="W8" s="627"/>
      <c r="X8" s="627"/>
      <c r="Y8" s="627"/>
      <c r="Z8" s="627"/>
      <c r="AA8" s="627"/>
      <c r="AB8" s="76"/>
      <c r="AC8" s="690"/>
      <c r="AD8" s="689"/>
      <c r="AE8" s="690"/>
      <c r="AF8" s="689"/>
      <c r="AG8" s="689"/>
      <c r="AH8" s="689"/>
      <c r="AI8" s="689"/>
      <c r="AJ8" s="689"/>
      <c r="AK8" s="689"/>
      <c r="AL8" s="689"/>
      <c r="AM8" s="689"/>
    </row>
    <row r="9" spans="1:39" ht="38">
      <c r="C9" s="587" t="s">
        <v>749</v>
      </c>
      <c r="D9" s="111"/>
      <c r="E9" s="634" t="s">
        <v>750</v>
      </c>
      <c r="F9" s="635" t="s">
        <v>751</v>
      </c>
      <c r="G9" s="636">
        <v>2E-3</v>
      </c>
      <c r="H9" s="630" t="s">
        <v>383</v>
      </c>
      <c r="I9" s="632">
        <f>0.2*$I$7</f>
        <v>0</v>
      </c>
      <c r="J9" s="588" t="s">
        <v>752</v>
      </c>
      <c r="K9" s="646">
        <f>I9*G9/1000</f>
        <v>0</v>
      </c>
      <c r="L9" s="630" t="s">
        <v>36</v>
      </c>
      <c r="M9" s="623" t="s">
        <v>743</v>
      </c>
      <c r="N9" s="626"/>
      <c r="O9" s="3" t="s">
        <v>36</v>
      </c>
      <c r="P9" s="282">
        <v>0.6</v>
      </c>
      <c r="Q9" s="282"/>
      <c r="R9" s="282"/>
      <c r="S9" s="282">
        <v>0.2</v>
      </c>
      <c r="T9" s="282"/>
      <c r="U9" s="282">
        <v>0.2</v>
      </c>
      <c r="V9" s="627">
        <f t="shared" si="2"/>
        <v>0</v>
      </c>
      <c r="W9" s="627">
        <f t="shared" si="2"/>
        <v>0</v>
      </c>
      <c r="X9" s="627">
        <f t="shared" si="2"/>
        <v>0</v>
      </c>
      <c r="Y9" s="627">
        <f t="shared" si="2"/>
        <v>0</v>
      </c>
      <c r="Z9" s="627">
        <f t="shared" si="2"/>
        <v>0</v>
      </c>
      <c r="AA9" s="627">
        <f t="shared" si="2"/>
        <v>0</v>
      </c>
      <c r="AB9" s="76"/>
      <c r="AC9" s="691">
        <v>0.09</v>
      </c>
      <c r="AD9" s="692" t="s">
        <v>816</v>
      </c>
      <c r="AE9" s="693">
        <f>ROUND(I9*AC9,-3)</f>
        <v>0</v>
      </c>
      <c r="AF9" s="694" t="s">
        <v>817</v>
      </c>
      <c r="AG9" s="689">
        <f>K9</f>
        <v>0</v>
      </c>
      <c r="AH9" s="689" t="e">
        <f t="shared" ref="AH9:AM13" si="3">$AG9*(V$6/$K$6)</f>
        <v>#DIV/0!</v>
      </c>
      <c r="AI9" s="689" t="e">
        <f t="shared" si="3"/>
        <v>#DIV/0!</v>
      </c>
      <c r="AJ9" s="689" t="e">
        <f t="shared" si="3"/>
        <v>#DIV/0!</v>
      </c>
      <c r="AK9" s="689" t="e">
        <f t="shared" si="3"/>
        <v>#DIV/0!</v>
      </c>
      <c r="AL9" s="689" t="e">
        <f t="shared" si="3"/>
        <v>#DIV/0!</v>
      </c>
      <c r="AM9" s="689" t="e">
        <f t="shared" si="3"/>
        <v>#DIV/0!</v>
      </c>
    </row>
    <row r="10" spans="1:39" ht="38">
      <c r="C10" s="588" t="s">
        <v>753</v>
      </c>
      <c r="D10" s="111"/>
      <c r="E10" s="634" t="s">
        <v>754</v>
      </c>
      <c r="F10" s="635" t="s">
        <v>751</v>
      </c>
      <c r="G10" s="638">
        <v>1.6E-2</v>
      </c>
      <c r="H10" s="630" t="s">
        <v>383</v>
      </c>
      <c r="I10" s="632">
        <f>0.2*$I$7</f>
        <v>0</v>
      </c>
      <c r="J10" s="588" t="s">
        <v>752</v>
      </c>
      <c r="K10" s="646">
        <f>I10*G10/1000</f>
        <v>0</v>
      </c>
      <c r="L10" s="630" t="s">
        <v>36</v>
      </c>
      <c r="M10" s="623" t="s">
        <v>744</v>
      </c>
      <c r="N10" s="626"/>
      <c r="O10" s="3" t="s">
        <v>36</v>
      </c>
      <c r="P10" s="282">
        <v>0.4</v>
      </c>
      <c r="Q10" s="282"/>
      <c r="R10" s="282"/>
      <c r="S10" s="282">
        <v>0.2</v>
      </c>
      <c r="T10" s="282"/>
      <c r="U10" s="282">
        <v>0.4</v>
      </c>
      <c r="V10" s="627">
        <f t="shared" si="2"/>
        <v>0</v>
      </c>
      <c r="W10" s="627">
        <f t="shared" si="2"/>
        <v>0</v>
      </c>
      <c r="X10" s="627">
        <f t="shared" si="2"/>
        <v>0</v>
      </c>
      <c r="Y10" s="627">
        <f t="shared" si="2"/>
        <v>0</v>
      </c>
      <c r="Z10" s="627">
        <f t="shared" si="2"/>
        <v>0</v>
      </c>
      <c r="AA10" s="627">
        <f t="shared" si="2"/>
        <v>0</v>
      </c>
      <c r="AB10" s="76"/>
      <c r="AC10" s="691">
        <v>0.10571428571428573</v>
      </c>
      <c r="AD10" s="692" t="s">
        <v>816</v>
      </c>
      <c r="AE10" s="693">
        <f>ROUND(I10*AC10,-3)</f>
        <v>0</v>
      </c>
      <c r="AF10" s="694" t="s">
        <v>817</v>
      </c>
      <c r="AG10" s="689">
        <f>K10</f>
        <v>0</v>
      </c>
      <c r="AH10" s="689" t="e">
        <f t="shared" si="3"/>
        <v>#DIV/0!</v>
      </c>
      <c r="AI10" s="689" t="e">
        <f t="shared" si="3"/>
        <v>#DIV/0!</v>
      </c>
      <c r="AJ10" s="689" t="e">
        <f t="shared" si="3"/>
        <v>#DIV/0!</v>
      </c>
      <c r="AK10" s="689" t="e">
        <f t="shared" si="3"/>
        <v>#DIV/0!</v>
      </c>
      <c r="AL10" s="689" t="e">
        <f t="shared" si="3"/>
        <v>#DIV/0!</v>
      </c>
      <c r="AM10" s="689" t="e">
        <f t="shared" si="3"/>
        <v>#DIV/0!</v>
      </c>
    </row>
    <row r="11" spans="1:39" ht="38">
      <c r="C11" s="587" t="s">
        <v>755</v>
      </c>
      <c r="D11" s="111"/>
      <c r="E11" s="634" t="s">
        <v>770</v>
      </c>
      <c r="F11" s="635" t="s">
        <v>751</v>
      </c>
      <c r="G11" s="636">
        <v>1.7000000000000001E-2</v>
      </c>
      <c r="H11" s="630" t="s">
        <v>383</v>
      </c>
      <c r="I11" s="632">
        <f>0.2*$I$7</f>
        <v>0</v>
      </c>
      <c r="J11" s="588" t="s">
        <v>752</v>
      </c>
      <c r="K11" s="646">
        <f>I11*G11/1000</f>
        <v>0</v>
      </c>
      <c r="L11" s="630" t="s">
        <v>36</v>
      </c>
      <c r="M11" s="623" t="s">
        <v>745</v>
      </c>
      <c r="N11" s="626"/>
      <c r="O11" s="3" t="s">
        <v>36</v>
      </c>
      <c r="P11" s="282">
        <v>0.2</v>
      </c>
      <c r="Q11" s="282"/>
      <c r="R11" s="282"/>
      <c r="S11" s="282">
        <v>0.2</v>
      </c>
      <c r="T11" s="282"/>
      <c r="U11" s="282">
        <v>0.6</v>
      </c>
      <c r="V11" s="627">
        <f t="shared" si="2"/>
        <v>0</v>
      </c>
      <c r="W11" s="627">
        <f t="shared" si="2"/>
        <v>0</v>
      </c>
      <c r="X11" s="627">
        <f t="shared" si="2"/>
        <v>0</v>
      </c>
      <c r="Y11" s="627">
        <f t="shared" si="2"/>
        <v>0</v>
      </c>
      <c r="Z11" s="627">
        <f t="shared" si="2"/>
        <v>0</v>
      </c>
      <c r="AA11" s="627">
        <f t="shared" si="2"/>
        <v>0</v>
      </c>
      <c r="AB11" s="76"/>
      <c r="AC11" s="691">
        <v>0.17411764705882354</v>
      </c>
      <c r="AD11" s="692" t="s">
        <v>816</v>
      </c>
      <c r="AE11" s="693">
        <f>ROUND(I11*AC11,-3)</f>
        <v>0</v>
      </c>
      <c r="AF11" s="694" t="s">
        <v>817</v>
      </c>
      <c r="AG11" s="689">
        <f>K11</f>
        <v>0</v>
      </c>
      <c r="AH11" s="689" t="e">
        <f t="shared" si="3"/>
        <v>#DIV/0!</v>
      </c>
      <c r="AI11" s="689" t="e">
        <f t="shared" si="3"/>
        <v>#DIV/0!</v>
      </c>
      <c r="AJ11" s="689" t="e">
        <f t="shared" si="3"/>
        <v>#DIV/0!</v>
      </c>
      <c r="AK11" s="689" t="e">
        <f t="shared" si="3"/>
        <v>#DIV/0!</v>
      </c>
      <c r="AL11" s="689" t="e">
        <f t="shared" si="3"/>
        <v>#DIV/0!</v>
      </c>
      <c r="AM11" s="689" t="e">
        <f t="shared" si="3"/>
        <v>#DIV/0!</v>
      </c>
    </row>
    <row r="12" spans="1:39" ht="38">
      <c r="C12" s="587" t="s">
        <v>756</v>
      </c>
      <c r="D12" s="111"/>
      <c r="E12" s="634" t="s">
        <v>771</v>
      </c>
      <c r="F12" s="635" t="s">
        <v>751</v>
      </c>
      <c r="G12" s="636">
        <v>1E-3</v>
      </c>
      <c r="H12" s="630" t="s">
        <v>383</v>
      </c>
      <c r="I12" s="632">
        <f>0.2*$I$7</f>
        <v>0</v>
      </c>
      <c r="J12" s="588" t="s">
        <v>752</v>
      </c>
      <c r="K12" s="646">
        <f>I12*G12/1000</f>
        <v>0</v>
      </c>
      <c r="L12" s="630" t="s">
        <v>36</v>
      </c>
      <c r="M12" s="623" t="s">
        <v>746</v>
      </c>
      <c r="N12" s="626"/>
      <c r="O12" s="3" t="s">
        <v>36</v>
      </c>
      <c r="P12" s="282">
        <v>0.04</v>
      </c>
      <c r="Q12" s="282"/>
      <c r="R12" s="282"/>
      <c r="S12" s="282">
        <v>0.2</v>
      </c>
      <c r="T12" s="282"/>
      <c r="U12" s="282">
        <v>0.76</v>
      </c>
      <c r="V12" s="627">
        <f t="shared" si="2"/>
        <v>0</v>
      </c>
      <c r="W12" s="627">
        <f t="shared" si="2"/>
        <v>0</v>
      </c>
      <c r="X12" s="627">
        <f t="shared" si="2"/>
        <v>0</v>
      </c>
      <c r="Y12" s="627">
        <f t="shared" si="2"/>
        <v>0</v>
      </c>
      <c r="Z12" s="627">
        <f t="shared" si="2"/>
        <v>0</v>
      </c>
      <c r="AA12" s="627">
        <f t="shared" si="2"/>
        <v>0</v>
      </c>
      <c r="AB12" s="76"/>
      <c r="AC12" s="691">
        <v>7.0000000000000007E-2</v>
      </c>
      <c r="AD12" s="692" t="s">
        <v>816</v>
      </c>
      <c r="AE12" s="693">
        <f>ROUND(I12*AC12,-3)</f>
        <v>0</v>
      </c>
      <c r="AF12" s="694" t="s">
        <v>817</v>
      </c>
      <c r="AG12" s="689">
        <f>K12</f>
        <v>0</v>
      </c>
      <c r="AH12" s="689" t="e">
        <f t="shared" si="3"/>
        <v>#DIV/0!</v>
      </c>
      <c r="AI12" s="689" t="e">
        <f t="shared" si="3"/>
        <v>#DIV/0!</v>
      </c>
      <c r="AJ12" s="689" t="e">
        <f t="shared" si="3"/>
        <v>#DIV/0!</v>
      </c>
      <c r="AK12" s="689" t="e">
        <f t="shared" si="3"/>
        <v>#DIV/0!</v>
      </c>
      <c r="AL12" s="689" t="e">
        <f t="shared" si="3"/>
        <v>#DIV/0!</v>
      </c>
      <c r="AM12" s="689" t="e">
        <f t="shared" si="3"/>
        <v>#DIV/0!</v>
      </c>
    </row>
    <row r="13" spans="1:39" ht="38">
      <c r="C13" s="587" t="s">
        <v>758</v>
      </c>
      <c r="D13" s="111"/>
      <c r="E13" s="635" t="s">
        <v>759</v>
      </c>
      <c r="F13" s="635" t="s">
        <v>751</v>
      </c>
      <c r="G13" s="636">
        <v>2.0000000000000002E-5</v>
      </c>
      <c r="H13" s="630" t="s">
        <v>383</v>
      </c>
      <c r="I13" s="632">
        <f>0.2*$I$7</f>
        <v>0</v>
      </c>
      <c r="J13" s="588" t="s">
        <v>752</v>
      </c>
      <c r="K13" s="646">
        <f>I13*G13/1000</f>
        <v>0</v>
      </c>
      <c r="L13" s="630" t="s">
        <v>36</v>
      </c>
      <c r="M13" s="32" t="s">
        <v>747</v>
      </c>
      <c r="N13" s="626"/>
      <c r="O13" s="3" t="s">
        <v>36</v>
      </c>
      <c r="P13" s="282"/>
      <c r="Q13" s="282"/>
      <c r="R13" s="282"/>
      <c r="S13" s="282"/>
      <c r="T13" s="282"/>
      <c r="U13" s="282"/>
      <c r="V13" s="627">
        <f t="shared" si="2"/>
        <v>0</v>
      </c>
      <c r="W13" s="627">
        <f t="shared" si="2"/>
        <v>0</v>
      </c>
      <c r="X13" s="627">
        <f t="shared" si="2"/>
        <v>0</v>
      </c>
      <c r="Y13" s="627">
        <f t="shared" si="2"/>
        <v>0</v>
      </c>
      <c r="Z13" s="627">
        <f t="shared" si="2"/>
        <v>0</v>
      </c>
      <c r="AA13" s="627">
        <f t="shared" si="2"/>
        <v>0</v>
      </c>
      <c r="AB13" s="76"/>
      <c r="AC13" s="691">
        <v>75.897435897435898</v>
      </c>
      <c r="AD13" s="690" t="s">
        <v>818</v>
      </c>
      <c r="AE13" s="693">
        <f>ROUND(I13*AC13,-5)</f>
        <v>0</v>
      </c>
      <c r="AF13" s="694" t="s">
        <v>819</v>
      </c>
      <c r="AG13" s="689">
        <f>K13</f>
        <v>0</v>
      </c>
      <c r="AH13" s="689" t="e">
        <f t="shared" si="3"/>
        <v>#DIV/0!</v>
      </c>
      <c r="AI13" s="689" t="e">
        <f t="shared" si="3"/>
        <v>#DIV/0!</v>
      </c>
      <c r="AJ13" s="689" t="e">
        <f t="shared" si="3"/>
        <v>#DIV/0!</v>
      </c>
      <c r="AK13" s="689" t="e">
        <f t="shared" si="3"/>
        <v>#DIV/0!</v>
      </c>
      <c r="AL13" s="689" t="e">
        <f t="shared" si="3"/>
        <v>#DIV/0!</v>
      </c>
      <c r="AM13" s="689" t="e">
        <f t="shared" si="3"/>
        <v>#DIV/0!</v>
      </c>
    </row>
    <row r="14" spans="1:39" ht="50.5">
      <c r="C14" s="587"/>
      <c r="D14" s="111"/>
      <c r="E14" s="634"/>
      <c r="F14" s="635"/>
      <c r="G14" s="636"/>
      <c r="H14" s="630"/>
      <c r="I14" s="639">
        <f>SUM(I9:I13)</f>
        <v>0</v>
      </c>
      <c r="J14" s="588" t="s">
        <v>760</v>
      </c>
      <c r="K14" s="637"/>
      <c r="L14" s="630"/>
      <c r="M14" s="623" t="s">
        <v>743</v>
      </c>
      <c r="N14" s="626">
        <f>$K$6*'Этап 3 - Металлы - Сырье'!H$28/100</f>
        <v>0</v>
      </c>
      <c r="O14" s="3" t="s">
        <v>36</v>
      </c>
      <c r="P14" s="282">
        <v>0.7</v>
      </c>
      <c r="Q14" s="282"/>
      <c r="R14" s="282"/>
      <c r="S14" s="282">
        <v>0.3</v>
      </c>
      <c r="T14" s="282"/>
      <c r="U14" s="282"/>
      <c r="V14" s="627">
        <f t="shared" si="2"/>
        <v>0</v>
      </c>
      <c r="W14" s="627">
        <f t="shared" si="2"/>
        <v>0</v>
      </c>
      <c r="X14" s="627">
        <f t="shared" si="2"/>
        <v>0</v>
      </c>
      <c r="Y14" s="627">
        <f t="shared" si="2"/>
        <v>0</v>
      </c>
      <c r="Z14" s="627">
        <f t="shared" si="2"/>
        <v>0</v>
      </c>
      <c r="AA14" s="627">
        <f t="shared" si="2"/>
        <v>0</v>
      </c>
      <c r="AB14" s="76"/>
      <c r="AC14" s="691"/>
      <c r="AD14" s="689"/>
      <c r="AE14" s="689"/>
      <c r="AF14" s="689"/>
      <c r="AG14" s="689"/>
      <c r="AH14" s="689"/>
      <c r="AI14" s="689"/>
      <c r="AJ14" s="689"/>
      <c r="AK14" s="689"/>
      <c r="AL14" s="689"/>
      <c r="AM14" s="689"/>
    </row>
    <row r="15" spans="1:39" ht="38">
      <c r="C15" s="26"/>
      <c r="D15" s="111"/>
      <c r="E15" s="36"/>
      <c r="F15" s="36"/>
      <c r="G15" s="334"/>
      <c r="H15" s="36"/>
      <c r="I15" s="248"/>
      <c r="J15" s="9"/>
      <c r="K15" s="172"/>
      <c r="L15" s="3"/>
      <c r="M15" s="623" t="s">
        <v>744</v>
      </c>
      <c r="N15" s="626">
        <f>$K$6*'Этап 3 - Металлы - Сырье'!I$28/100</f>
        <v>0</v>
      </c>
      <c r="O15" s="3" t="s">
        <v>36</v>
      </c>
      <c r="P15" s="282">
        <v>0.6</v>
      </c>
      <c r="Q15" s="282"/>
      <c r="R15" s="282"/>
      <c r="S15" s="282">
        <v>0.4</v>
      </c>
      <c r="T15" s="282"/>
      <c r="U15" s="282"/>
      <c r="V15" s="627">
        <f t="shared" si="2"/>
        <v>0</v>
      </c>
      <c r="W15" s="627">
        <f t="shared" si="2"/>
        <v>0</v>
      </c>
      <c r="X15" s="627">
        <f t="shared" si="2"/>
        <v>0</v>
      </c>
      <c r="Y15" s="627">
        <f t="shared" si="2"/>
        <v>0</v>
      </c>
      <c r="Z15" s="627">
        <f t="shared" si="2"/>
        <v>0</v>
      </c>
      <c r="AA15" s="627">
        <f t="shared" si="2"/>
        <v>0</v>
      </c>
      <c r="AB15" s="76"/>
      <c r="AC15" s="691"/>
      <c r="AD15" s="689"/>
      <c r="AE15" s="689"/>
      <c r="AF15" s="689"/>
      <c r="AG15" s="689"/>
      <c r="AH15" s="689"/>
      <c r="AI15" s="689"/>
      <c r="AJ15" s="689"/>
      <c r="AK15" s="689"/>
      <c r="AL15" s="689"/>
      <c r="AM15" s="689"/>
    </row>
    <row r="16" spans="1:39" ht="38">
      <c r="C16" s="26"/>
      <c r="D16" s="111"/>
      <c r="E16" s="36"/>
      <c r="F16" s="36"/>
      <c r="G16" s="334"/>
      <c r="H16" s="36"/>
      <c r="I16" s="248"/>
      <c r="J16" s="9"/>
      <c r="K16" s="172"/>
      <c r="L16" s="3"/>
      <c r="M16" s="623" t="s">
        <v>745</v>
      </c>
      <c r="N16" s="626">
        <f>$K$6*'Этап 3 - Металлы - Сырье'!J$28/100</f>
        <v>0</v>
      </c>
      <c r="O16" s="3" t="s">
        <v>36</v>
      </c>
      <c r="P16" s="282">
        <v>0.5</v>
      </c>
      <c r="Q16" s="282"/>
      <c r="R16" s="282"/>
      <c r="S16" s="282">
        <v>0.5</v>
      </c>
      <c r="T16" s="282"/>
      <c r="U16" s="282"/>
      <c r="V16" s="627">
        <f t="shared" si="2"/>
        <v>0</v>
      </c>
      <c r="W16" s="627">
        <f t="shared" si="2"/>
        <v>0</v>
      </c>
      <c r="X16" s="627">
        <f t="shared" si="2"/>
        <v>0</v>
      </c>
      <c r="Y16" s="627">
        <f t="shared" si="2"/>
        <v>0</v>
      </c>
      <c r="Z16" s="627">
        <f t="shared" si="2"/>
        <v>0</v>
      </c>
      <c r="AA16" s="627">
        <f t="shared" si="2"/>
        <v>0</v>
      </c>
      <c r="AB16" s="76"/>
      <c r="AC16" s="691"/>
      <c r="AD16" s="689"/>
      <c r="AE16" s="689"/>
      <c r="AF16" s="689"/>
      <c r="AG16" s="689"/>
      <c r="AH16" s="689"/>
      <c r="AI16" s="689"/>
      <c r="AJ16" s="689"/>
      <c r="AK16" s="689"/>
      <c r="AL16" s="689"/>
      <c r="AM16" s="689"/>
    </row>
    <row r="17" spans="2:39" ht="50.5">
      <c r="C17" s="26"/>
      <c r="D17" s="111"/>
      <c r="E17" s="36"/>
      <c r="F17" s="36"/>
      <c r="G17" s="334"/>
      <c r="H17" s="36"/>
      <c r="I17" s="248"/>
      <c r="J17" s="9"/>
      <c r="K17" s="172"/>
      <c r="L17" s="3"/>
      <c r="M17" s="623" t="s">
        <v>748</v>
      </c>
      <c r="N17" s="626">
        <f>$K$6*'Этап 3 - Металлы - Сырье'!K$28/100</f>
        <v>0</v>
      </c>
      <c r="O17" s="3" t="s">
        <v>36</v>
      </c>
      <c r="P17" s="282">
        <v>0.04</v>
      </c>
      <c r="Q17" s="282"/>
      <c r="R17" s="282"/>
      <c r="S17" s="282">
        <v>0.5</v>
      </c>
      <c r="T17" s="282"/>
      <c r="U17" s="282">
        <v>0.46</v>
      </c>
      <c r="V17" s="627">
        <f t="shared" si="2"/>
        <v>0</v>
      </c>
      <c r="W17" s="627">
        <f t="shared" si="2"/>
        <v>0</v>
      </c>
      <c r="X17" s="627">
        <f t="shared" si="2"/>
        <v>0</v>
      </c>
      <c r="Y17" s="627">
        <f t="shared" si="2"/>
        <v>0</v>
      </c>
      <c r="Z17" s="627">
        <f t="shared" si="2"/>
        <v>0</v>
      </c>
      <c r="AA17" s="627">
        <f t="shared" si="2"/>
        <v>0</v>
      </c>
      <c r="AB17" s="76"/>
      <c r="AC17" s="691"/>
      <c r="AD17" s="689"/>
      <c r="AE17" s="689"/>
      <c r="AF17" s="689"/>
      <c r="AG17" s="689"/>
      <c r="AH17" s="689"/>
      <c r="AI17" s="689"/>
      <c r="AJ17" s="689"/>
      <c r="AK17" s="689"/>
      <c r="AL17" s="689"/>
      <c r="AM17" s="689"/>
    </row>
    <row r="18" spans="2:39" ht="13">
      <c r="C18" s="26"/>
      <c r="D18" s="111"/>
      <c r="E18" s="36"/>
      <c r="F18" s="36"/>
      <c r="G18" s="334"/>
      <c r="H18" s="36"/>
      <c r="I18" s="248"/>
      <c r="J18" s="9"/>
      <c r="K18" s="172"/>
      <c r="L18" s="3"/>
      <c r="M18" s="438"/>
      <c r="N18" s="252"/>
      <c r="O18" s="3"/>
      <c r="P18" s="282"/>
      <c r="Q18" s="282"/>
      <c r="R18" s="282"/>
      <c r="S18" s="282"/>
      <c r="T18" s="282"/>
      <c r="U18" s="282"/>
      <c r="V18" s="171"/>
      <c r="W18" s="171"/>
      <c r="X18" s="171"/>
      <c r="Y18" s="171"/>
      <c r="Z18" s="171"/>
      <c r="AA18" s="171"/>
      <c r="AB18" s="76"/>
      <c r="AC18" s="689"/>
      <c r="AD18" s="689"/>
      <c r="AE18" s="689"/>
      <c r="AF18" s="689"/>
      <c r="AG18" s="689"/>
      <c r="AH18" s="689"/>
      <c r="AI18" s="689"/>
      <c r="AJ18" s="689"/>
      <c r="AK18" s="689"/>
      <c r="AL18" s="689"/>
      <c r="AM18" s="689"/>
    </row>
    <row r="19" spans="2:39" ht="38">
      <c r="C19" s="26" t="s">
        <v>699</v>
      </c>
      <c r="D19" s="111"/>
      <c r="E19" s="276" t="s">
        <v>701</v>
      </c>
      <c r="F19" s="36" t="s">
        <v>383</v>
      </c>
      <c r="G19" s="334">
        <v>0.15</v>
      </c>
      <c r="H19" s="36" t="s">
        <v>383</v>
      </c>
      <c r="I19" s="248">
        <f>'Этап 3 - Металлы - Сырье'!C$26*('Этап 3 - Металлы - Сырье'!G28+'Этап 3 - Металлы - Сырье'!H28+'Этап 3 - Металлы - Сырье'!I28+'Этап 3 - Металлы - Сырье'!J28+'Этап 3 - Металлы - Сырье'!K28)/100</f>
        <v>0</v>
      </c>
      <c r="J19" s="9" t="s">
        <v>328</v>
      </c>
      <c r="K19" s="641">
        <f>I19*G19/1000+SUM(K21:K25)</f>
        <v>0</v>
      </c>
      <c r="L19" s="640" t="s">
        <v>761</v>
      </c>
      <c r="M19" s="14" t="s">
        <v>741</v>
      </c>
      <c r="N19" s="626">
        <f>$K$6*'Этап 3 - Металлы - Сырье'!G$30/100</f>
        <v>0</v>
      </c>
      <c r="O19" s="3" t="s">
        <v>36</v>
      </c>
      <c r="P19" s="282">
        <v>0.8</v>
      </c>
      <c r="Q19" s="282"/>
      <c r="R19" s="282"/>
      <c r="S19" s="282">
        <v>0.2</v>
      </c>
      <c r="T19" s="282"/>
      <c r="U19" s="282"/>
      <c r="V19" s="627">
        <f t="shared" ref="V19:AA29" si="4">$N19*P19</f>
        <v>0</v>
      </c>
      <c r="W19" s="627">
        <f t="shared" si="4"/>
        <v>0</v>
      </c>
      <c r="X19" s="627">
        <f t="shared" si="4"/>
        <v>0</v>
      </c>
      <c r="Y19" s="627">
        <f t="shared" si="4"/>
        <v>0</v>
      </c>
      <c r="Z19" s="627">
        <f t="shared" si="4"/>
        <v>0</v>
      </c>
      <c r="AA19" s="627">
        <f t="shared" si="4"/>
        <v>0</v>
      </c>
      <c r="AB19" s="76"/>
      <c r="AC19" s="689"/>
      <c r="AD19" s="689"/>
      <c r="AE19" s="689"/>
      <c r="AF19" s="689"/>
      <c r="AG19" s="689"/>
      <c r="AH19" s="689"/>
      <c r="AI19" s="689"/>
      <c r="AJ19" s="689"/>
      <c r="AK19" s="689"/>
      <c r="AL19" s="689"/>
      <c r="AM19" s="689"/>
    </row>
    <row r="20" spans="2:39" ht="88">
      <c r="C20" s="628" t="s">
        <v>772</v>
      </c>
      <c r="D20" s="111"/>
      <c r="E20" s="629"/>
      <c r="F20" s="630"/>
      <c r="G20" s="631"/>
      <c r="H20" s="232"/>
      <c r="I20" s="253"/>
      <c r="J20" s="9"/>
      <c r="K20" s="633"/>
      <c r="L20" s="3"/>
      <c r="M20" s="32" t="s">
        <v>742</v>
      </c>
      <c r="N20" s="626"/>
      <c r="O20" s="3" t="s">
        <v>36</v>
      </c>
      <c r="P20" s="282"/>
      <c r="Q20" s="282"/>
      <c r="R20" s="282"/>
      <c r="S20" s="282"/>
      <c r="T20" s="282"/>
      <c r="U20" s="282"/>
      <c r="V20" s="627">
        <f t="shared" si="4"/>
        <v>0</v>
      </c>
      <c r="W20" s="627">
        <f t="shared" si="4"/>
        <v>0</v>
      </c>
      <c r="X20" s="627">
        <f t="shared" si="4"/>
        <v>0</v>
      </c>
      <c r="Y20" s="627">
        <f t="shared" si="4"/>
        <v>0</v>
      </c>
      <c r="Z20" s="627">
        <f t="shared" si="4"/>
        <v>0</v>
      </c>
      <c r="AA20" s="627">
        <f t="shared" si="4"/>
        <v>0</v>
      </c>
      <c r="AB20" s="76"/>
      <c r="AC20" s="690" t="s">
        <v>814</v>
      </c>
      <c r="AD20" s="689"/>
      <c r="AE20" s="690" t="s">
        <v>815</v>
      </c>
      <c r="AF20" s="689"/>
      <c r="AG20" s="689"/>
      <c r="AH20" s="689"/>
      <c r="AI20" s="689"/>
      <c r="AJ20" s="689"/>
      <c r="AK20" s="689"/>
      <c r="AL20" s="689"/>
      <c r="AM20" s="689"/>
    </row>
    <row r="21" spans="2:39" ht="38">
      <c r="C21" s="587" t="s">
        <v>749</v>
      </c>
      <c r="D21" s="111"/>
      <c r="E21" s="634" t="s">
        <v>757</v>
      </c>
      <c r="F21" s="635" t="s">
        <v>751</v>
      </c>
      <c r="G21" s="636">
        <v>2E-3</v>
      </c>
      <c r="H21" s="630" t="s">
        <v>383</v>
      </c>
      <c r="I21" s="632">
        <f>0.2*$I$19</f>
        <v>0</v>
      </c>
      <c r="J21" s="588" t="s">
        <v>752</v>
      </c>
      <c r="K21" s="646">
        <f>I21*G21/1000</f>
        <v>0</v>
      </c>
      <c r="L21" s="630" t="s">
        <v>36</v>
      </c>
      <c r="M21" s="623" t="s">
        <v>743</v>
      </c>
      <c r="N21" s="626"/>
      <c r="O21" s="3" t="s">
        <v>36</v>
      </c>
      <c r="P21" s="282">
        <v>0.6</v>
      </c>
      <c r="Q21" s="282"/>
      <c r="R21" s="282"/>
      <c r="S21" s="282">
        <v>0.2</v>
      </c>
      <c r="T21" s="282"/>
      <c r="U21" s="282">
        <v>0.2</v>
      </c>
      <c r="V21" s="627">
        <f t="shared" si="4"/>
        <v>0</v>
      </c>
      <c r="W21" s="627">
        <f t="shared" si="4"/>
        <v>0</v>
      </c>
      <c r="X21" s="627">
        <f t="shared" si="4"/>
        <v>0</v>
      </c>
      <c r="Y21" s="627">
        <f t="shared" si="4"/>
        <v>0</v>
      </c>
      <c r="Z21" s="627">
        <f t="shared" si="4"/>
        <v>0</v>
      </c>
      <c r="AA21" s="627">
        <f t="shared" si="4"/>
        <v>0</v>
      </c>
      <c r="AB21" s="76"/>
      <c r="AC21" s="691">
        <v>0.09</v>
      </c>
      <c r="AD21" s="692" t="s">
        <v>816</v>
      </c>
      <c r="AE21" s="693">
        <f>ROUND(I21*AC21,-3)</f>
        <v>0</v>
      </c>
      <c r="AF21" s="694" t="s">
        <v>817</v>
      </c>
      <c r="AG21" s="689">
        <f>K21</f>
        <v>0</v>
      </c>
      <c r="AH21" s="689" t="e">
        <f t="shared" ref="AH21:AM25" si="5">$AG21*(V$6/$K$6)</f>
        <v>#DIV/0!</v>
      </c>
      <c r="AI21" s="689" t="e">
        <f t="shared" si="5"/>
        <v>#DIV/0!</v>
      </c>
      <c r="AJ21" s="689" t="e">
        <f t="shared" si="5"/>
        <v>#DIV/0!</v>
      </c>
      <c r="AK21" s="689" t="e">
        <f t="shared" si="5"/>
        <v>#DIV/0!</v>
      </c>
      <c r="AL21" s="689" t="e">
        <f t="shared" si="5"/>
        <v>#DIV/0!</v>
      </c>
      <c r="AM21" s="689" t="e">
        <f t="shared" si="5"/>
        <v>#DIV/0!</v>
      </c>
    </row>
    <row r="22" spans="2:39" ht="38">
      <c r="C22" s="588" t="s">
        <v>753</v>
      </c>
      <c r="D22" s="111"/>
      <c r="E22" s="634" t="s">
        <v>762</v>
      </c>
      <c r="F22" s="635" t="s">
        <v>751</v>
      </c>
      <c r="G22" s="636">
        <v>1.4E-2</v>
      </c>
      <c r="H22" s="630" t="s">
        <v>383</v>
      </c>
      <c r="I22" s="632">
        <f>0.2*$I$19</f>
        <v>0</v>
      </c>
      <c r="J22" s="588" t="s">
        <v>752</v>
      </c>
      <c r="K22" s="646">
        <f>I22*G22/1000</f>
        <v>0</v>
      </c>
      <c r="L22" s="630" t="s">
        <v>36</v>
      </c>
      <c r="M22" s="623" t="s">
        <v>744</v>
      </c>
      <c r="N22" s="626"/>
      <c r="O22" s="3" t="s">
        <v>36</v>
      </c>
      <c r="P22" s="282">
        <v>0.4</v>
      </c>
      <c r="Q22" s="282"/>
      <c r="R22" s="282"/>
      <c r="S22" s="282">
        <v>0.2</v>
      </c>
      <c r="T22" s="282"/>
      <c r="U22" s="282">
        <v>0.4</v>
      </c>
      <c r="V22" s="627">
        <f t="shared" si="4"/>
        <v>0</v>
      </c>
      <c r="W22" s="627">
        <f t="shared" si="4"/>
        <v>0</v>
      </c>
      <c r="X22" s="627">
        <f t="shared" si="4"/>
        <v>0</v>
      </c>
      <c r="Y22" s="627">
        <f t="shared" si="4"/>
        <v>0</v>
      </c>
      <c r="Z22" s="627">
        <f t="shared" si="4"/>
        <v>0</v>
      </c>
      <c r="AA22" s="627">
        <f t="shared" si="4"/>
        <v>0</v>
      </c>
      <c r="AB22" s="76"/>
      <c r="AC22" s="691">
        <v>0.10571428571428573</v>
      </c>
      <c r="AD22" s="692" t="s">
        <v>816</v>
      </c>
      <c r="AE22" s="693">
        <f>ROUND(I22*AC22,-3)</f>
        <v>0</v>
      </c>
      <c r="AF22" s="694" t="s">
        <v>817</v>
      </c>
      <c r="AG22" s="689">
        <f>K22</f>
        <v>0</v>
      </c>
      <c r="AH22" s="689" t="e">
        <f t="shared" si="5"/>
        <v>#DIV/0!</v>
      </c>
      <c r="AI22" s="689" t="e">
        <f t="shared" si="5"/>
        <v>#DIV/0!</v>
      </c>
      <c r="AJ22" s="689" t="e">
        <f t="shared" si="5"/>
        <v>#DIV/0!</v>
      </c>
      <c r="AK22" s="689" t="e">
        <f t="shared" si="5"/>
        <v>#DIV/0!</v>
      </c>
      <c r="AL22" s="689" t="e">
        <f t="shared" si="5"/>
        <v>#DIV/0!</v>
      </c>
      <c r="AM22" s="689" t="e">
        <f t="shared" si="5"/>
        <v>#DIV/0!</v>
      </c>
    </row>
    <row r="23" spans="2:39" ht="38">
      <c r="C23" s="587" t="s">
        <v>755</v>
      </c>
      <c r="D23" s="111"/>
      <c r="E23" s="634" t="s">
        <v>763</v>
      </c>
      <c r="F23" s="635" t="s">
        <v>751</v>
      </c>
      <c r="G23" s="636">
        <v>1.4999999999999999E-2</v>
      </c>
      <c r="H23" s="630" t="s">
        <v>383</v>
      </c>
      <c r="I23" s="632">
        <f>0.2*$I$19</f>
        <v>0</v>
      </c>
      <c r="J23" s="588" t="s">
        <v>752</v>
      </c>
      <c r="K23" s="646">
        <f>I23*G23/1000</f>
        <v>0</v>
      </c>
      <c r="L23" s="630" t="s">
        <v>36</v>
      </c>
      <c r="M23" s="623" t="s">
        <v>745</v>
      </c>
      <c r="N23" s="626"/>
      <c r="O23" s="3" t="s">
        <v>36</v>
      </c>
      <c r="P23" s="282">
        <v>0.2</v>
      </c>
      <c r="Q23" s="282"/>
      <c r="R23" s="282"/>
      <c r="S23" s="282">
        <v>0.2</v>
      </c>
      <c r="T23" s="282"/>
      <c r="U23" s="282">
        <v>0.6</v>
      </c>
      <c r="V23" s="627">
        <f t="shared" si="4"/>
        <v>0</v>
      </c>
      <c r="W23" s="627">
        <f t="shared" si="4"/>
        <v>0</v>
      </c>
      <c r="X23" s="627">
        <f t="shared" si="4"/>
        <v>0</v>
      </c>
      <c r="Y23" s="627">
        <f t="shared" si="4"/>
        <v>0</v>
      </c>
      <c r="Z23" s="627">
        <f t="shared" si="4"/>
        <v>0</v>
      </c>
      <c r="AA23" s="627">
        <f t="shared" si="4"/>
        <v>0</v>
      </c>
      <c r="AB23" s="76"/>
      <c r="AC23" s="691">
        <v>0.17411764705882354</v>
      </c>
      <c r="AD23" s="692" t="s">
        <v>816</v>
      </c>
      <c r="AE23" s="693">
        <f>ROUND(I23*AC23,-3)</f>
        <v>0</v>
      </c>
      <c r="AF23" s="694" t="s">
        <v>817</v>
      </c>
      <c r="AG23" s="689">
        <f>K23</f>
        <v>0</v>
      </c>
      <c r="AH23" s="689" t="e">
        <f t="shared" si="5"/>
        <v>#DIV/0!</v>
      </c>
      <c r="AI23" s="689" t="e">
        <f t="shared" si="5"/>
        <v>#DIV/0!</v>
      </c>
      <c r="AJ23" s="689" t="e">
        <f t="shared" si="5"/>
        <v>#DIV/0!</v>
      </c>
      <c r="AK23" s="689" t="e">
        <f t="shared" si="5"/>
        <v>#DIV/0!</v>
      </c>
      <c r="AL23" s="689" t="e">
        <f t="shared" si="5"/>
        <v>#DIV/0!</v>
      </c>
      <c r="AM23" s="689" t="e">
        <f t="shared" si="5"/>
        <v>#DIV/0!</v>
      </c>
    </row>
    <row r="24" spans="2:39" ht="38">
      <c r="C24" s="587" t="s">
        <v>756</v>
      </c>
      <c r="D24" s="111"/>
      <c r="E24" s="634" t="s">
        <v>764</v>
      </c>
      <c r="F24" s="635" t="s">
        <v>751</v>
      </c>
      <c r="G24" s="636">
        <v>1E-3</v>
      </c>
      <c r="H24" s="630" t="s">
        <v>383</v>
      </c>
      <c r="I24" s="632">
        <f>0.2*$I$19</f>
        <v>0</v>
      </c>
      <c r="J24" s="588" t="s">
        <v>752</v>
      </c>
      <c r="K24" s="646">
        <f>I24*G24/1000</f>
        <v>0</v>
      </c>
      <c r="L24" s="630" t="s">
        <v>36</v>
      </c>
      <c r="M24" s="623" t="s">
        <v>746</v>
      </c>
      <c r="N24" s="626"/>
      <c r="O24" s="3" t="s">
        <v>36</v>
      </c>
      <c r="P24" s="282">
        <v>0.04</v>
      </c>
      <c r="Q24" s="282"/>
      <c r="R24" s="282"/>
      <c r="S24" s="282">
        <v>0.2</v>
      </c>
      <c r="T24" s="282"/>
      <c r="U24" s="282">
        <v>0.76</v>
      </c>
      <c r="V24" s="627">
        <f t="shared" si="4"/>
        <v>0</v>
      </c>
      <c r="W24" s="627">
        <f t="shared" si="4"/>
        <v>0</v>
      </c>
      <c r="X24" s="627">
        <f t="shared" si="4"/>
        <v>0</v>
      </c>
      <c r="Y24" s="627">
        <f t="shared" si="4"/>
        <v>0</v>
      </c>
      <c r="Z24" s="627">
        <f t="shared" si="4"/>
        <v>0</v>
      </c>
      <c r="AA24" s="627">
        <f t="shared" si="4"/>
        <v>0</v>
      </c>
      <c r="AB24" s="76"/>
      <c r="AC24" s="691">
        <v>7.0000000000000007E-2</v>
      </c>
      <c r="AD24" s="692" t="s">
        <v>816</v>
      </c>
      <c r="AE24" s="693">
        <f>ROUND(I24*AC24,-3)</f>
        <v>0</v>
      </c>
      <c r="AF24" s="694" t="s">
        <v>817</v>
      </c>
      <c r="AG24" s="689">
        <f>K24</f>
        <v>0</v>
      </c>
      <c r="AH24" s="689" t="e">
        <f t="shared" si="5"/>
        <v>#DIV/0!</v>
      </c>
      <c r="AI24" s="689" t="e">
        <f t="shared" si="5"/>
        <v>#DIV/0!</v>
      </c>
      <c r="AJ24" s="689" t="e">
        <f t="shared" si="5"/>
        <v>#DIV/0!</v>
      </c>
      <c r="AK24" s="689" t="e">
        <f t="shared" si="5"/>
        <v>#DIV/0!</v>
      </c>
      <c r="AL24" s="689" t="e">
        <f t="shared" si="5"/>
        <v>#DIV/0!</v>
      </c>
      <c r="AM24" s="689" t="e">
        <f t="shared" si="5"/>
        <v>#DIV/0!</v>
      </c>
    </row>
    <row r="25" spans="2:39" ht="38">
      <c r="C25" s="587" t="s">
        <v>758</v>
      </c>
      <c r="D25" s="111"/>
      <c r="E25" s="635" t="s">
        <v>759</v>
      </c>
      <c r="F25" s="635" t="s">
        <v>751</v>
      </c>
      <c r="G25" s="636">
        <v>2.0000000000000002E-5</v>
      </c>
      <c r="H25" s="630" t="s">
        <v>383</v>
      </c>
      <c r="I25" s="632">
        <f>0.2*$I$19</f>
        <v>0</v>
      </c>
      <c r="J25" s="588" t="s">
        <v>752</v>
      </c>
      <c r="K25" s="646">
        <f>I25*G25/1000</f>
        <v>0</v>
      </c>
      <c r="L25" s="630" t="s">
        <v>36</v>
      </c>
      <c r="M25" s="32" t="s">
        <v>747</v>
      </c>
      <c r="N25" s="626"/>
      <c r="O25" s="3" t="s">
        <v>36</v>
      </c>
      <c r="P25" s="282"/>
      <c r="Q25" s="282"/>
      <c r="R25" s="282"/>
      <c r="S25" s="282"/>
      <c r="T25" s="282"/>
      <c r="U25" s="282"/>
      <c r="V25" s="627">
        <f t="shared" si="4"/>
        <v>0</v>
      </c>
      <c r="W25" s="627">
        <f t="shared" si="4"/>
        <v>0</v>
      </c>
      <c r="X25" s="627">
        <f t="shared" si="4"/>
        <v>0</v>
      </c>
      <c r="Y25" s="627">
        <f t="shared" si="4"/>
        <v>0</v>
      </c>
      <c r="Z25" s="627">
        <f t="shared" si="4"/>
        <v>0</v>
      </c>
      <c r="AA25" s="627">
        <f t="shared" si="4"/>
        <v>0</v>
      </c>
      <c r="AB25" s="76"/>
      <c r="AC25" s="691">
        <v>75.897435897435898</v>
      </c>
      <c r="AD25" s="690" t="s">
        <v>818</v>
      </c>
      <c r="AE25" s="693">
        <f>ROUND(I25*AC25,-5)</f>
        <v>0</v>
      </c>
      <c r="AF25" s="694" t="s">
        <v>819</v>
      </c>
      <c r="AG25" s="689">
        <f>K25</f>
        <v>0</v>
      </c>
      <c r="AH25" s="689" t="e">
        <f t="shared" si="5"/>
        <v>#DIV/0!</v>
      </c>
      <c r="AI25" s="689" t="e">
        <f t="shared" si="5"/>
        <v>#DIV/0!</v>
      </c>
      <c r="AJ25" s="689" t="e">
        <f t="shared" si="5"/>
        <v>#DIV/0!</v>
      </c>
      <c r="AK25" s="689" t="e">
        <f t="shared" si="5"/>
        <v>#DIV/0!</v>
      </c>
      <c r="AL25" s="689" t="e">
        <f t="shared" si="5"/>
        <v>#DIV/0!</v>
      </c>
      <c r="AM25" s="689" t="e">
        <f t="shared" si="5"/>
        <v>#DIV/0!</v>
      </c>
    </row>
    <row r="26" spans="2:39" ht="50.5">
      <c r="C26" s="587"/>
      <c r="D26" s="111"/>
      <c r="E26" s="634"/>
      <c r="F26" s="635"/>
      <c r="G26" s="636"/>
      <c r="H26" s="630"/>
      <c r="I26" s="639">
        <f>SUM(I21:I25)</f>
        <v>0</v>
      </c>
      <c r="J26" s="588" t="s">
        <v>760</v>
      </c>
      <c r="K26" s="637"/>
      <c r="L26" s="630"/>
      <c r="M26" s="623" t="s">
        <v>743</v>
      </c>
      <c r="N26" s="626">
        <f>$K$6*'Этап 3 - Металлы - Сырье'!H$30/100</f>
        <v>0</v>
      </c>
      <c r="O26" s="3" t="s">
        <v>36</v>
      </c>
      <c r="P26" s="282">
        <v>0.7</v>
      </c>
      <c r="Q26" s="282"/>
      <c r="R26" s="282"/>
      <c r="S26" s="282">
        <v>0.3</v>
      </c>
      <c r="T26" s="282"/>
      <c r="U26" s="282"/>
      <c r="V26" s="627">
        <f t="shared" si="4"/>
        <v>0</v>
      </c>
      <c r="W26" s="627">
        <f t="shared" si="4"/>
        <v>0</v>
      </c>
      <c r="X26" s="627">
        <f t="shared" si="4"/>
        <v>0</v>
      </c>
      <c r="Y26" s="627">
        <f t="shared" si="4"/>
        <v>0</v>
      </c>
      <c r="Z26" s="627">
        <f t="shared" si="4"/>
        <v>0</v>
      </c>
      <c r="AA26" s="627">
        <f t="shared" si="4"/>
        <v>0</v>
      </c>
      <c r="AB26" s="76"/>
      <c r="AC26" s="691"/>
      <c r="AD26" s="689"/>
      <c r="AE26" s="689"/>
      <c r="AF26" s="689"/>
    </row>
    <row r="27" spans="2:39" ht="38">
      <c r="C27" s="26"/>
      <c r="D27" s="111"/>
      <c r="E27" s="276"/>
      <c r="F27" s="36"/>
      <c r="G27" s="334"/>
      <c r="H27" s="36"/>
      <c r="I27" s="248"/>
      <c r="J27" s="9"/>
      <c r="K27" s="172"/>
      <c r="L27" s="3"/>
      <c r="M27" s="623" t="s">
        <v>744</v>
      </c>
      <c r="N27" s="626">
        <f>$K$6*'Этап 3 - Металлы - Сырье'!I$30/100</f>
        <v>0</v>
      </c>
      <c r="O27" s="3" t="s">
        <v>36</v>
      </c>
      <c r="P27" s="282">
        <v>0.6</v>
      </c>
      <c r="Q27" s="282"/>
      <c r="R27" s="282"/>
      <c r="S27" s="282">
        <v>0.4</v>
      </c>
      <c r="T27" s="282"/>
      <c r="U27" s="282"/>
      <c r="V27" s="627">
        <f t="shared" si="4"/>
        <v>0</v>
      </c>
      <c r="W27" s="627">
        <f t="shared" si="4"/>
        <v>0</v>
      </c>
      <c r="X27" s="627">
        <f t="shared" si="4"/>
        <v>0</v>
      </c>
      <c r="Y27" s="627">
        <f t="shared" si="4"/>
        <v>0</v>
      </c>
      <c r="Z27" s="627">
        <f t="shared" si="4"/>
        <v>0</v>
      </c>
      <c r="AA27" s="627">
        <f t="shared" si="4"/>
        <v>0</v>
      </c>
      <c r="AB27" s="76"/>
      <c r="AC27" s="691"/>
      <c r="AD27" s="689"/>
      <c r="AE27" s="689"/>
      <c r="AF27" s="689"/>
    </row>
    <row r="28" spans="2:39" ht="38">
      <c r="C28" s="26"/>
      <c r="D28" s="111"/>
      <c r="E28" s="276"/>
      <c r="F28" s="36"/>
      <c r="G28" s="334"/>
      <c r="H28" s="36"/>
      <c r="I28" s="248"/>
      <c r="J28" s="9"/>
      <c r="K28" s="172"/>
      <c r="L28" s="3"/>
      <c r="M28" s="623" t="s">
        <v>745</v>
      </c>
      <c r="N28" s="626">
        <f>$K$6*'Этап 3 - Металлы - Сырье'!J$30/100</f>
        <v>0</v>
      </c>
      <c r="O28" s="3" t="s">
        <v>36</v>
      </c>
      <c r="P28" s="282">
        <v>0.5</v>
      </c>
      <c r="Q28" s="282"/>
      <c r="R28" s="282"/>
      <c r="S28" s="282">
        <v>0.5</v>
      </c>
      <c r="T28" s="282"/>
      <c r="U28" s="282"/>
      <c r="V28" s="627">
        <f t="shared" si="4"/>
        <v>0</v>
      </c>
      <c r="W28" s="627">
        <f t="shared" si="4"/>
        <v>0</v>
      </c>
      <c r="X28" s="627">
        <f t="shared" si="4"/>
        <v>0</v>
      </c>
      <c r="Y28" s="627">
        <f t="shared" si="4"/>
        <v>0</v>
      </c>
      <c r="Z28" s="627">
        <f t="shared" si="4"/>
        <v>0</v>
      </c>
      <c r="AA28" s="627">
        <f t="shared" si="4"/>
        <v>0</v>
      </c>
      <c r="AB28" s="76"/>
      <c r="AC28" s="691"/>
      <c r="AD28" s="689"/>
      <c r="AE28" s="689"/>
      <c r="AF28" s="689"/>
    </row>
    <row r="29" spans="2:39" ht="50.5">
      <c r="C29" s="26"/>
      <c r="D29" s="111"/>
      <c r="E29" s="276"/>
      <c r="F29" s="36"/>
      <c r="G29" s="334"/>
      <c r="H29" s="36"/>
      <c r="I29" s="248"/>
      <c r="J29" s="9"/>
      <c r="K29" s="172"/>
      <c r="L29" s="3"/>
      <c r="M29" s="623" t="s">
        <v>748</v>
      </c>
      <c r="N29" s="626">
        <f>$K$6*'Этап 3 - Металлы - Сырье'!K$30/100</f>
        <v>0</v>
      </c>
      <c r="O29" s="3" t="s">
        <v>36</v>
      </c>
      <c r="P29" s="282">
        <v>0.04</v>
      </c>
      <c r="Q29" s="282"/>
      <c r="R29" s="282"/>
      <c r="S29" s="282">
        <v>0.5</v>
      </c>
      <c r="T29" s="282"/>
      <c r="U29" s="282">
        <v>0.46</v>
      </c>
      <c r="V29" s="627">
        <f t="shared" si="4"/>
        <v>0</v>
      </c>
      <c r="W29" s="627">
        <f t="shared" si="4"/>
        <v>0</v>
      </c>
      <c r="X29" s="627">
        <f t="shared" si="4"/>
        <v>0</v>
      </c>
      <c r="Y29" s="627">
        <f t="shared" si="4"/>
        <v>0</v>
      </c>
      <c r="Z29" s="627">
        <f t="shared" si="4"/>
        <v>0</v>
      </c>
      <c r="AA29" s="627">
        <f t="shared" si="4"/>
        <v>0</v>
      </c>
      <c r="AB29" s="76"/>
      <c r="AC29" s="691"/>
      <c r="AD29" s="689"/>
      <c r="AE29" s="689"/>
      <c r="AF29" s="689"/>
    </row>
    <row r="30" spans="2:39" s="55" customFormat="1" ht="13">
      <c r="C30" s="137"/>
      <c r="D30" s="76"/>
      <c r="E30" s="104"/>
      <c r="F30" s="104"/>
      <c r="G30" s="76"/>
      <c r="H30" s="104"/>
      <c r="I30" s="248"/>
      <c r="K30" s="172"/>
      <c r="L30" s="104"/>
      <c r="M30" s="33"/>
      <c r="N30" s="248"/>
      <c r="O30" s="3"/>
      <c r="P30" s="131"/>
      <c r="Q30" s="131"/>
      <c r="R30" s="131"/>
      <c r="S30" s="131"/>
      <c r="T30" s="131"/>
      <c r="U30" s="131"/>
      <c r="V30" s="171"/>
      <c r="W30" s="171"/>
      <c r="X30" s="171"/>
      <c r="Y30" s="171"/>
      <c r="Z30" s="171"/>
      <c r="AA30" s="171"/>
      <c r="AB30" s="76"/>
    </row>
    <row r="31" spans="2:39" ht="13">
      <c r="B31" s="3" t="s">
        <v>189</v>
      </c>
      <c r="C31" s="26" t="s">
        <v>190</v>
      </c>
      <c r="D31" s="111"/>
      <c r="E31" s="36" t="s">
        <v>423</v>
      </c>
      <c r="F31" s="276" t="s">
        <v>424</v>
      </c>
      <c r="G31" s="76">
        <v>0.03</v>
      </c>
      <c r="H31" s="36" t="s">
        <v>405</v>
      </c>
      <c r="I31" s="248">
        <f>'Этап 3 - Металлы - Сырье'!C31</f>
        <v>0</v>
      </c>
      <c r="J31" s="3" t="s">
        <v>381</v>
      </c>
      <c r="K31" s="235">
        <f>I31*G31/1000</f>
        <v>0</v>
      </c>
      <c r="L31" s="3" t="s">
        <v>36</v>
      </c>
      <c r="M31" s="438"/>
      <c r="N31" s="248"/>
      <c r="O31" s="3"/>
      <c r="P31" s="340"/>
      <c r="Q31" s="340"/>
      <c r="R31" s="340"/>
      <c r="S31" s="340"/>
      <c r="T31" s="340"/>
      <c r="U31" s="340"/>
      <c r="V31" s="114">
        <f t="shared" ref="V31:AA31" si="6">SUM(V32:V33)</f>
        <v>0</v>
      </c>
      <c r="W31" s="114">
        <f t="shared" si="6"/>
        <v>0</v>
      </c>
      <c r="X31" s="114">
        <f t="shared" si="6"/>
        <v>0</v>
      </c>
      <c r="Y31" s="114">
        <f t="shared" si="6"/>
        <v>0</v>
      </c>
      <c r="Z31" s="114">
        <f t="shared" si="6"/>
        <v>0</v>
      </c>
      <c r="AA31" s="114">
        <f t="shared" si="6"/>
        <v>0</v>
      </c>
      <c r="AB31" s="76"/>
    </row>
    <row r="32" spans="2:39" ht="13">
      <c r="B32" s="3"/>
      <c r="C32" s="26"/>
      <c r="D32" s="111"/>
      <c r="E32" s="36"/>
      <c r="F32" s="276"/>
      <c r="G32" s="76"/>
      <c r="H32" s="36"/>
      <c r="I32" s="248"/>
      <c r="J32" s="3"/>
      <c r="K32" s="235"/>
      <c r="L32" s="3"/>
      <c r="M32" s="438" t="s">
        <v>434</v>
      </c>
      <c r="N32" s="674">
        <f>K31*'Этап 3 - Металлы - Сырье'!G33/100</f>
        <v>0</v>
      </c>
      <c r="O32" s="3" t="s">
        <v>36</v>
      </c>
      <c r="P32" s="340">
        <v>1</v>
      </c>
      <c r="Q32" s="340"/>
      <c r="R32" s="340"/>
      <c r="S32" s="340"/>
      <c r="T32" s="340"/>
      <c r="U32" s="340"/>
      <c r="V32" s="171">
        <f t="shared" ref="V32:AA32" si="7">$N32*P32</f>
        <v>0</v>
      </c>
      <c r="W32" s="171">
        <f t="shared" si="7"/>
        <v>0</v>
      </c>
      <c r="X32" s="171">
        <f t="shared" si="7"/>
        <v>0</v>
      </c>
      <c r="Y32" s="171">
        <f t="shared" si="7"/>
        <v>0</v>
      </c>
      <c r="Z32" s="171">
        <f t="shared" si="7"/>
        <v>0</v>
      </c>
      <c r="AA32" s="171">
        <f t="shared" si="7"/>
        <v>0</v>
      </c>
      <c r="AB32" s="76"/>
    </row>
    <row r="33" spans="2:28" s="55" customFormat="1" ht="25.5">
      <c r="B33" s="104"/>
      <c r="C33" s="137"/>
      <c r="D33" s="76"/>
      <c r="E33" s="149"/>
      <c r="F33" s="104"/>
      <c r="G33" s="76"/>
      <c r="H33" s="104"/>
      <c r="I33" s="248"/>
      <c r="K33" s="115"/>
      <c r="L33" s="104"/>
      <c r="M33" s="33" t="s">
        <v>404</v>
      </c>
      <c r="N33" s="674">
        <f>K31*'Этап 3 - Металлы - Сырье'!H33/100</f>
        <v>0</v>
      </c>
      <c r="O33" s="3" t="s">
        <v>36</v>
      </c>
      <c r="P33" s="282">
        <v>0.9</v>
      </c>
      <c r="Q33" s="282"/>
      <c r="R33" s="282"/>
      <c r="S33" s="282"/>
      <c r="T33" s="282">
        <v>0.1</v>
      </c>
      <c r="U33" s="282"/>
      <c r="V33" s="171">
        <f t="shared" ref="V33:AA33" si="8">$N33*P33</f>
        <v>0</v>
      </c>
      <c r="W33" s="171">
        <f t="shared" si="8"/>
        <v>0</v>
      </c>
      <c r="X33" s="171">
        <f t="shared" si="8"/>
        <v>0</v>
      </c>
      <c r="Y33" s="171">
        <f t="shared" si="8"/>
        <v>0</v>
      </c>
      <c r="Z33" s="171">
        <f t="shared" si="8"/>
        <v>0</v>
      </c>
      <c r="AA33" s="171">
        <f t="shared" si="8"/>
        <v>0</v>
      </c>
      <c r="AB33" s="76"/>
    </row>
    <row r="34" spans="2:28" ht="26">
      <c r="B34" t="s">
        <v>168</v>
      </c>
      <c r="C34" s="26" t="s">
        <v>191</v>
      </c>
      <c r="D34" s="76"/>
      <c r="E34" s="11"/>
      <c r="F34" s="3"/>
      <c r="G34" s="76"/>
      <c r="H34" s="3"/>
      <c r="I34" s="248"/>
      <c r="K34" s="114"/>
      <c r="L34" s="3" t="s">
        <v>36</v>
      </c>
      <c r="M34" s="33"/>
      <c r="N34" s="248"/>
      <c r="O34" s="3"/>
      <c r="P34" s="130"/>
      <c r="Q34" s="130"/>
      <c r="R34" s="130"/>
      <c r="S34" s="130"/>
      <c r="T34" s="130"/>
      <c r="U34" s="127"/>
      <c r="V34" s="114">
        <f t="shared" ref="V34:AA34" si="9">SUM(V35:V36)</f>
        <v>0</v>
      </c>
      <c r="W34" s="114">
        <f t="shared" si="9"/>
        <v>0</v>
      </c>
      <c r="X34" s="114">
        <f t="shared" si="9"/>
        <v>0</v>
      </c>
      <c r="Y34" s="114">
        <f t="shared" si="9"/>
        <v>0</v>
      </c>
      <c r="Z34" s="114">
        <f t="shared" si="9"/>
        <v>0</v>
      </c>
      <c r="AA34" s="114">
        <f t="shared" si="9"/>
        <v>0</v>
      </c>
      <c r="AB34" s="76"/>
    </row>
    <row r="35" spans="2:28" ht="13">
      <c r="C35" s="26" t="s">
        <v>192</v>
      </c>
      <c r="D35" s="76"/>
      <c r="E35" s="29" t="s">
        <v>43</v>
      </c>
      <c r="F35" s="3"/>
      <c r="G35" s="76" t="s">
        <v>43</v>
      </c>
      <c r="H35" s="3" t="s">
        <v>43</v>
      </c>
      <c r="I35" s="248"/>
      <c r="K35" s="172" t="s">
        <v>43</v>
      </c>
      <c r="L35" s="3" t="s">
        <v>36</v>
      </c>
      <c r="M35" s="33"/>
      <c r="N35" s="247"/>
      <c r="O35" s="3" t="s">
        <v>36</v>
      </c>
      <c r="P35" s="127"/>
      <c r="Q35" s="127"/>
      <c r="R35" s="127"/>
      <c r="S35" s="127"/>
      <c r="T35" s="127"/>
      <c r="U35" s="127"/>
      <c r="V35" s="116">
        <f t="shared" ref="V35:AA35" si="10">$N35*P35</f>
        <v>0</v>
      </c>
      <c r="W35" s="116">
        <f t="shared" si="10"/>
        <v>0</v>
      </c>
      <c r="X35" s="116">
        <f t="shared" si="10"/>
        <v>0</v>
      </c>
      <c r="Y35" s="116">
        <f t="shared" si="10"/>
        <v>0</v>
      </c>
      <c r="Z35" s="116">
        <f t="shared" si="10"/>
        <v>0</v>
      </c>
      <c r="AA35" s="116">
        <f t="shared" si="10"/>
        <v>0</v>
      </c>
      <c r="AB35" s="76"/>
    </row>
    <row r="36" spans="2:28" ht="13">
      <c r="C36" s="26" t="s">
        <v>193</v>
      </c>
      <c r="D36" s="76"/>
      <c r="E36" s="29" t="s">
        <v>43</v>
      </c>
      <c r="F36" s="3" t="s">
        <v>43</v>
      </c>
      <c r="G36" s="76" t="s">
        <v>43</v>
      </c>
      <c r="H36" s="3" t="s">
        <v>43</v>
      </c>
      <c r="I36" s="248"/>
      <c r="K36" s="172" t="s">
        <v>43</v>
      </c>
      <c r="L36" s="3" t="s">
        <v>36</v>
      </c>
      <c r="M36" s="33"/>
      <c r="N36" s="247"/>
      <c r="O36" s="3" t="s">
        <v>36</v>
      </c>
      <c r="P36" s="127"/>
      <c r="Q36" s="127"/>
      <c r="R36" s="127"/>
      <c r="S36" s="127"/>
      <c r="T36" s="127"/>
      <c r="U36" s="127"/>
      <c r="V36" s="116">
        <f t="shared" ref="V36:AA36" si="11">$N36*P36</f>
        <v>0</v>
      </c>
      <c r="W36" s="116">
        <f t="shared" si="11"/>
        <v>0</v>
      </c>
      <c r="X36" s="116">
        <f t="shared" si="11"/>
        <v>0</v>
      </c>
      <c r="Y36" s="116">
        <f t="shared" si="11"/>
        <v>0</v>
      </c>
      <c r="Z36" s="116">
        <f t="shared" si="11"/>
        <v>0</v>
      </c>
      <c r="AA36" s="116">
        <f t="shared" si="11"/>
        <v>0</v>
      </c>
      <c r="AB36" s="76"/>
    </row>
    <row r="37" spans="2:28" s="55" customFormat="1" ht="13">
      <c r="C37" s="150"/>
      <c r="D37" s="76"/>
      <c r="E37" s="104"/>
      <c r="F37" s="104"/>
      <c r="G37" s="76"/>
      <c r="I37" s="247"/>
      <c r="K37" s="173"/>
      <c r="M37" s="107"/>
      <c r="N37" s="248"/>
      <c r="O37" s="104"/>
      <c r="P37" s="127"/>
      <c r="Q37" s="127"/>
      <c r="R37" s="127"/>
      <c r="S37" s="127"/>
      <c r="T37" s="127"/>
      <c r="U37" s="127"/>
      <c r="V37" s="58"/>
      <c r="W37" s="58"/>
      <c r="X37" s="58"/>
      <c r="Y37" s="58"/>
      <c r="Z37" s="58"/>
      <c r="AA37" s="58"/>
      <c r="AB37" s="76"/>
    </row>
    <row r="38" spans="2:28" ht="13">
      <c r="B38" s="3" t="s">
        <v>169</v>
      </c>
      <c r="C38" s="26" t="s">
        <v>357</v>
      </c>
      <c r="D38" s="111"/>
      <c r="E38" s="3" t="s">
        <v>43</v>
      </c>
      <c r="F38" s="3" t="s">
        <v>43</v>
      </c>
      <c r="G38" s="76" t="s">
        <v>43</v>
      </c>
      <c r="H38" s="3" t="s">
        <v>43</v>
      </c>
      <c r="I38" s="248"/>
      <c r="J38" t="s">
        <v>43</v>
      </c>
      <c r="K38" s="172" t="s">
        <v>43</v>
      </c>
      <c r="L38" s="3" t="s">
        <v>36</v>
      </c>
      <c r="M38" s="33"/>
      <c r="N38" s="248"/>
      <c r="O38" s="3" t="s">
        <v>36</v>
      </c>
      <c r="P38" s="127"/>
      <c r="Q38" s="127"/>
      <c r="R38" s="127"/>
      <c r="S38" s="127"/>
      <c r="T38" s="127"/>
      <c r="U38" s="127"/>
      <c r="V38" s="114">
        <f t="shared" ref="V38:AA38" si="12">$N38*P38</f>
        <v>0</v>
      </c>
      <c r="W38" s="114">
        <f t="shared" si="12"/>
        <v>0</v>
      </c>
      <c r="X38" s="114">
        <f t="shared" si="12"/>
        <v>0</v>
      </c>
      <c r="Y38" s="114">
        <f t="shared" si="12"/>
        <v>0</v>
      </c>
      <c r="Z38" s="114">
        <f t="shared" si="12"/>
        <v>0</v>
      </c>
      <c r="AA38" s="114">
        <f t="shared" si="12"/>
        <v>0</v>
      </c>
      <c r="AB38" s="76"/>
    </row>
    <row r="39" spans="2:28" s="55" customFormat="1" ht="13">
      <c r="B39" s="104"/>
      <c r="C39" s="137"/>
      <c r="D39" s="76"/>
      <c r="E39" s="149"/>
      <c r="F39" s="104"/>
      <c r="G39" s="76"/>
      <c r="H39" s="104"/>
      <c r="I39" s="248"/>
      <c r="K39" s="115"/>
      <c r="L39" s="104"/>
      <c r="M39" s="138"/>
      <c r="N39" s="248"/>
      <c r="O39" s="104"/>
      <c r="P39" s="130"/>
      <c r="Q39" s="130"/>
      <c r="R39" s="130"/>
      <c r="S39" s="130"/>
      <c r="T39" s="130"/>
      <c r="U39" s="127"/>
      <c r="V39" s="116"/>
      <c r="W39" s="116"/>
      <c r="X39" s="116"/>
      <c r="Y39" s="116"/>
      <c r="Z39" s="116"/>
      <c r="AA39" s="116"/>
      <c r="AB39" s="76"/>
    </row>
    <row r="40" spans="2:28" ht="13">
      <c r="C40" s="9"/>
      <c r="M40" s="14"/>
      <c r="N40" s="239"/>
      <c r="O40" s="3"/>
    </row>
    <row r="41" spans="2:28" ht="13">
      <c r="C41" s="9"/>
      <c r="M41" s="14"/>
      <c r="N41" s="249"/>
      <c r="O41" s="3"/>
    </row>
    <row r="42" spans="2:28" ht="13">
      <c r="C42" s="12"/>
      <c r="D42" s="8"/>
    </row>
    <row r="43" spans="2:28">
      <c r="D43" s="8"/>
    </row>
    <row r="44" spans="2:28">
      <c r="C44" s="48"/>
      <c r="D44" s="95"/>
      <c r="E44" s="48"/>
    </row>
    <row r="45" spans="2:28" ht="13">
      <c r="C45" s="48"/>
      <c r="D45" s="437"/>
      <c r="E45" s="48"/>
    </row>
    <row r="46" spans="2:28" ht="13">
      <c r="C46" s="48"/>
      <c r="D46" s="437"/>
      <c r="E46" s="48"/>
    </row>
    <row r="47" spans="2:28">
      <c r="C47" s="48"/>
      <c r="D47" s="48"/>
      <c r="E47" s="48"/>
    </row>
    <row r="48" spans="2:28">
      <c r="C48" s="48"/>
      <c r="D48" s="48"/>
      <c r="E48" s="48"/>
    </row>
  </sheetData>
  <sheetProtection algorithmName="SHA-512" hashValue="kIkOY8bKOwqU15JzVQU9zAteat6GRL2bbCsnIQDyAqhYbjx0EWqskEf7SYny07mjaU6wqH/hMjDEUxoKN47PAQ==" saltValue="nYL0lRXsutx/giK1q2MRy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23"/>
  <sheetViews>
    <sheetView zoomScale="120" zoomScaleNormal="120" workbookViewId="0">
      <selection activeCell="B18" sqref="B18"/>
    </sheetView>
  </sheetViews>
  <sheetFormatPr defaultColWidth="9.1796875" defaultRowHeight="12.5"/>
  <cols>
    <col min="1" max="1" width="43.1796875" style="337" customWidth="1"/>
    <col min="2" max="2" width="8.81640625" style="357" customWidth="1"/>
    <col min="3" max="3" width="14.1796875" style="337" customWidth="1"/>
    <col min="4" max="4" width="29.453125" style="337" customWidth="1"/>
    <col min="5" max="5" width="14.453125" style="337" customWidth="1"/>
    <col min="6" max="6" width="11.453125" style="337" customWidth="1"/>
    <col min="7" max="7" width="13" style="337" customWidth="1"/>
    <col min="8" max="8" width="13.1796875" style="337" customWidth="1"/>
    <col min="9" max="9" width="12.453125" style="337" customWidth="1"/>
    <col min="10" max="10" width="11.453125" style="337" customWidth="1"/>
    <col min="11" max="11" width="16.1796875" style="337" customWidth="1"/>
    <col min="12" max="12" width="5.6328125" style="337" customWidth="1"/>
    <col min="13" max="13" width="9.1796875" style="337"/>
    <col min="14" max="14" width="0" style="337" hidden="1" customWidth="1"/>
    <col min="15" max="16384" width="9.1796875" style="337"/>
  </cols>
  <sheetData>
    <row r="1" spans="1:14" ht="13">
      <c r="A1" s="776" t="s">
        <v>938</v>
      </c>
      <c r="B1" s="354"/>
    </row>
    <row r="2" spans="1:14" ht="30" customHeight="1">
      <c r="A2" s="884" t="str">
        <f>IF(ISNA(MATCH("n",N5:N17,0)),"",trans_warning)</f>
        <v/>
      </c>
      <c r="B2" s="885"/>
      <c r="C2" s="885"/>
      <c r="D2" s="885"/>
      <c r="E2" s="885"/>
      <c r="F2" s="885"/>
      <c r="G2" s="885"/>
      <c r="H2" s="885"/>
      <c r="I2" s="885"/>
      <c r="J2" s="885"/>
      <c r="K2" s="885"/>
      <c r="L2" s="886"/>
    </row>
    <row r="3" spans="1:14" s="358" customFormat="1" ht="25.5" customHeight="1">
      <c r="A3" s="717" t="s">
        <v>868</v>
      </c>
      <c r="B3" s="732" t="s">
        <v>869</v>
      </c>
      <c r="C3" s="733" t="s">
        <v>870</v>
      </c>
      <c r="D3" s="717"/>
      <c r="E3" s="731" t="s">
        <v>871</v>
      </c>
      <c r="F3" s="881" t="s">
        <v>872</v>
      </c>
      <c r="G3" s="882"/>
      <c r="H3" s="882"/>
      <c r="I3" s="882"/>
      <c r="J3" s="882"/>
      <c r="K3" s="883"/>
      <c r="L3" s="717"/>
    </row>
    <row r="4" spans="1:14" ht="54.75" customHeight="1" thickBot="1">
      <c r="A4" s="717" t="s">
        <v>939</v>
      </c>
      <c r="B4" s="716" t="str">
        <f>quest</f>
        <v>Да/Нет/?</v>
      </c>
      <c r="C4" s="721" t="s">
        <v>874</v>
      </c>
      <c r="D4" s="733" t="s">
        <v>875</v>
      </c>
      <c r="E4" s="733" t="s">
        <v>876</v>
      </c>
      <c r="F4" s="723" t="s">
        <v>877</v>
      </c>
      <c r="G4" s="723" t="s">
        <v>878</v>
      </c>
      <c r="H4" s="723" t="s">
        <v>879</v>
      </c>
      <c r="I4" s="733" t="s">
        <v>880</v>
      </c>
      <c r="J4" s="733" t="s">
        <v>881</v>
      </c>
      <c r="K4" s="733" t="s">
        <v>882</v>
      </c>
      <c r="L4" s="717" t="s">
        <v>883</v>
      </c>
      <c r="M4" s="321" t="s">
        <v>884</v>
      </c>
    </row>
    <row r="5" spans="1:14" ht="26.5">
      <c r="A5" s="268" t="s">
        <v>940</v>
      </c>
      <c r="B5" s="618"/>
      <c r="C5" s="376"/>
      <c r="D5" s="765" t="s">
        <v>952</v>
      </c>
      <c r="E5" s="456" t="str">
        <f>IF(OR($B5=yes,$B5=yes),'5-4 Int Hg in Industry'!K7, IF(OR($B5=no,$B5=no),"-", IF($B5=que,que, pres)))</f>
        <v>Присутствует?</v>
      </c>
      <c r="F5" s="278" t="str">
        <f>IF(OR($B5=yes,$B5=yes),SUM('5-4 Int Hg in Industry'!V7:V8), IF(OR($B5=no,$B5=no),"-", IF($B5=que,que, pres)))</f>
        <v>Присутствует?</v>
      </c>
      <c r="G5" s="278" t="str">
        <f>IF(OR($B5=yes,$B5=yes),SUM('5-4 Int Hg in Industry'!W7:W8), IF(OR($B5=no,$B5=no),"-", IF($B5=que,que, pres)))</f>
        <v>Присутствует?</v>
      </c>
      <c r="H5" s="278" t="str">
        <f>IF(OR($B5=yes,$B5=yes),SUM('5-4 Int Hg in Industry'!X7:X8), IF(OR($B5=no,$B5=no),"-", IF($B5=que,que, pres)))</f>
        <v>Присутствует?</v>
      </c>
      <c r="I5" s="278" t="str">
        <f>IF(OR($B5=yes,$B5=yes),SUM('5-4 Int Hg in Industry'!Y7:Y8), IF(OR($B5=no,$B5=no),"-", IF($B5=que,que, pres)))</f>
        <v>Присутствует?</v>
      </c>
      <c r="J5" s="278" t="str">
        <f>IF(OR($B5=yes,$B5=yes),SUM('5-4 Int Hg in Industry'!Z7:Z8), IF(OR($B5=no,$B5=no),"-", IF($B5=que,que, pres)))</f>
        <v>Присутствует?</v>
      </c>
      <c r="K5" s="278" t="str">
        <f>IF(OR($B5=yes,$B5=yes),SUM('5-4 Int Hg in Industry'!AA7:AA8), IF(OR($B5=no,$B5=no),"-", IF($B5=que,que, pres)))</f>
        <v>Присутствует?</v>
      </c>
      <c r="L5" s="271" t="s">
        <v>146</v>
      </c>
      <c r="M5" s="458"/>
      <c r="N5" s="337" t="str">
        <f>INDEX('Range-thresholds'!$G$6:$G$73,MATCH(A5,'Range-thresholds'!$A$6:$A$73,0))</f>
        <v/>
      </c>
    </row>
    <row r="6" spans="1:14" ht="25">
      <c r="A6" s="268" t="s">
        <v>941</v>
      </c>
      <c r="B6" s="619"/>
      <c r="C6" s="378"/>
      <c r="D6" s="765" t="s">
        <v>953</v>
      </c>
      <c r="E6" s="456" t="str">
        <f>IF(OR($B6=yes,$B6=yes),'5-4 Int Hg in Industry'!K10, IF(OR($B6=no,$B6=no),"-", IF($B6=que,que, pres)))</f>
        <v>Присутствует?</v>
      </c>
      <c r="F6" s="278" t="str">
        <f>IF(OR($B6=yes,$B6=yes),'5-4 Int Hg in Industry'!V10, IF(OR($B6=no,$B6=no),"-", IF($B6=que,que, pres)))</f>
        <v>Присутствует?</v>
      </c>
      <c r="G6" s="278" t="str">
        <f>IF(OR($B6=yes,$B6=yes),'5-4 Int Hg in Industry'!W10, IF(OR($B6=no,$B6=no),"-", IF($B6=que,que, pres)))</f>
        <v>Присутствует?</v>
      </c>
      <c r="H6" s="278" t="str">
        <f>IF(OR($B6=yes,$B6=yes),'5-4 Int Hg in Industry'!X10, IF(OR($B6=no,$B6=no),"-", IF($B6=que,que, pres)))</f>
        <v>Присутствует?</v>
      </c>
      <c r="I6" s="278" t="str">
        <f>IF(OR($B6=yes,$B6=yes),'5-4 Int Hg in Industry'!Y10, IF(OR($B6=no,$B6=no),"-", IF($B6=que,que, pres)))</f>
        <v>Присутствует?</v>
      </c>
      <c r="J6" s="278" t="str">
        <f>IF(OR($B6=yes,$B6=yes),'5-4 Int Hg in Industry'!Z10, IF(OR($B6=no,$B6=no),"-", IF($B6=que,que, pres)))</f>
        <v>Присутствует?</v>
      </c>
      <c r="K6" s="278" t="str">
        <f>IF(OR($B6=yes,$B6=yes),'5-4 Int Hg in Industry'!AA10, IF(OR($B6=no,$B6=no),"-", IF($B6=que,que, pres)))</f>
        <v>Присутствует?</v>
      </c>
      <c r="L6" s="271" t="s">
        <v>148</v>
      </c>
      <c r="M6" s="458"/>
      <c r="N6" s="337" t="str">
        <f>INDEX('Range-thresholds'!$G$6:$G$73,MATCH(A6,'Range-thresholds'!$A$6:$A$73,0))</f>
        <v/>
      </c>
    </row>
    <row r="7" spans="1:14" ht="25.5" thickBot="1">
      <c r="A7" s="268" t="s">
        <v>942</v>
      </c>
      <c r="B7" s="620"/>
      <c r="C7" s="397"/>
      <c r="D7" s="765" t="s">
        <v>954</v>
      </c>
      <c r="E7" s="456" t="str">
        <f>IF(OR($B7=yes,$B7=yes),'5-4 Int Hg in Industry'!K12, IF(OR($B7=no,$B7=no),"-", IF($B7=que,que, pres)))</f>
        <v>Присутствует?</v>
      </c>
      <c r="F7" s="278" t="str">
        <f>IF(OR($B7=yes,$B7=yes),'5-4 Int Hg in Industry'!V12, IF(OR($B7=no,$B7=no),"-", IF($B7=que,que, pres)))</f>
        <v>Присутствует?</v>
      </c>
      <c r="G7" s="278" t="str">
        <f>IF(OR($B7=yes,$B7=yes),'5-4 Int Hg in Industry'!W12, IF(OR($B7=no,$B7=no),"-", IF($B7=que,que, pres)))</f>
        <v>Присутствует?</v>
      </c>
      <c r="H7" s="278" t="str">
        <f>IF(OR($B7=yes,$B7=yes),'5-4 Int Hg in Industry'!X12, IF(OR($B7=no,$B7=no),"-", IF($B7=que,que, pres)))</f>
        <v>Присутствует?</v>
      </c>
      <c r="I7" s="278" t="str">
        <f>IF(OR($B7=yes,$B7=yes),'5-4 Int Hg in Industry'!Y12, IF(OR($B7=no,$B7=no),"-", IF($B7=que,que, pres)))</f>
        <v>Присутствует?</v>
      </c>
      <c r="J7" s="278" t="str">
        <f>IF(OR($B7=yes,$B7=yes),'5-4 Int Hg in Industry'!Z12, IF(OR($B7=no,$B7=no),"-", IF($B7=que,que, pres)))</f>
        <v>Присутствует?</v>
      </c>
      <c r="K7" s="278" t="str">
        <f>IF(OR($B7=yes,$B7=yes),'5-4 Int Hg in Industry'!AA12, IF(OR($B7=no,$B7=no),"-", IF($B7=que,que, pres)))</f>
        <v>Присутствует?</v>
      </c>
      <c r="L7" s="271" t="s">
        <v>372</v>
      </c>
      <c r="M7" s="458"/>
      <c r="N7" s="337" t="str">
        <f>INDEX('Range-thresholds'!$G$6:$G$73,MATCH(A7,'Range-thresholds'!$A$6:$A$73,0))</f>
        <v/>
      </c>
    </row>
    <row r="8" spans="1:14">
      <c r="A8" s="263"/>
      <c r="B8" s="475"/>
      <c r="C8" s="348"/>
      <c r="D8" s="777"/>
      <c r="E8" s="277"/>
      <c r="F8" s="278"/>
      <c r="G8" s="278"/>
      <c r="H8" s="278"/>
      <c r="I8" s="278"/>
      <c r="J8" s="278"/>
      <c r="K8" s="278"/>
      <c r="L8" s="271"/>
      <c r="M8" s="458"/>
    </row>
    <row r="9" spans="1:14" ht="26.5" thickBot="1">
      <c r="A9" s="265" t="s">
        <v>943</v>
      </c>
      <c r="B9" s="476"/>
      <c r="C9" s="345"/>
      <c r="D9" s="777"/>
      <c r="E9" s="277"/>
      <c r="F9" s="278"/>
      <c r="G9" s="278"/>
      <c r="H9" s="278"/>
      <c r="I9" s="278"/>
      <c r="J9" s="278"/>
      <c r="K9" s="278"/>
      <c r="L9" s="271"/>
      <c r="M9" s="458"/>
    </row>
    <row r="10" spans="1:14" ht="25">
      <c r="A10" s="273" t="s">
        <v>944</v>
      </c>
      <c r="B10" s="363"/>
      <c r="C10" s="376"/>
      <c r="D10" s="765" t="s">
        <v>955</v>
      </c>
      <c r="E10" s="456" t="str">
        <f>IF(OR($B10=yes,$B10=yes),'5-5 Cons prod'!K7, IF(OR($B10=no,$B10=no),"-", IF($B10=que,que, pres)))</f>
        <v>Присутствует?</v>
      </c>
      <c r="F10" s="278" t="str">
        <f>IF(OR($B10=yes,$B10=yes),'5-5 Cons prod'!V7, IF(OR($B10=no,$B10=no),"-", IF($B10=que,que, pres)))</f>
        <v>Присутствует?</v>
      </c>
      <c r="G10" s="278" t="str">
        <f>IF(OR($B10=yes,$B10=yes),'5-5 Cons prod'!W7, IF(OR($B10=no,$B10=no),"-", IF($B10=que,que, pres)))</f>
        <v>Присутствует?</v>
      </c>
      <c r="H10" s="278" t="str">
        <f>IF(OR($B10=yes,$B10=yes),'5-5 Cons prod'!X7, IF(OR($B10=no,$B10=no),"-", IF($B10=que,que, pres)))</f>
        <v>Присутствует?</v>
      </c>
      <c r="I10" s="278" t="str">
        <f>IF(OR($B10=yes,$B10=yes),'5-5 Cons prod'!Y7, IF(OR($B10=no,$B10=no),"-", IF($B10=que,que, pres)))</f>
        <v>Присутствует?</v>
      </c>
      <c r="J10" s="278" t="str">
        <f>IF(OR($B10=yes,$B10=yes),'5-5 Cons prod'!Z7, IF(OR($B10=no,$B10=no),"-", IF($B10=que,que, pres)))</f>
        <v>Присутствует?</v>
      </c>
      <c r="K10" s="278" t="str">
        <f>IF(OR($B10=yes,$B10=yes),'5-5 Cons prod'!AA7, IF(OR($B10=no,$B10=no),"-", IF($B10=que,que, pres)))</f>
        <v>Присутствует?</v>
      </c>
      <c r="L10" s="271" t="s">
        <v>89</v>
      </c>
      <c r="M10" s="459"/>
      <c r="N10" s="337" t="str">
        <f>INDEX('Range-thresholds'!$G$6:$G$73,MATCH(A10,'Range-thresholds'!$A$6:$A$73,0))</f>
        <v/>
      </c>
    </row>
    <row r="11" spans="1:14" ht="25">
      <c r="A11" s="273" t="s">
        <v>945</v>
      </c>
      <c r="B11" s="619"/>
      <c r="C11" s="378"/>
      <c r="D11" s="765" t="s">
        <v>955</v>
      </c>
      <c r="E11" s="456" t="str">
        <f>IF(OR($B11=yes,$B11=yes),'5-5 Cons prod'!K19, IF(OR($B11=no,$B11=no),"-", IF($B11=que,que, pres)))</f>
        <v>Присутствует?</v>
      </c>
      <c r="F11" s="278" t="str">
        <f>IF(OR($B11=yes,$B11=yes),'5-5 Cons prod'!V19, IF(OR($B11=no,$B11=no),"-", IF($B11=que,que, pres)))</f>
        <v>Присутствует?</v>
      </c>
      <c r="G11" s="278" t="str">
        <f>IF(OR($B11=yes,$B11=yes),'5-5 Cons prod'!W19, IF(OR($B11=no,$B11=no),"-", IF($B11=que,que, pres)))</f>
        <v>Присутствует?</v>
      </c>
      <c r="H11" s="278" t="str">
        <f>IF(OR($B11=yes,$B11=yes),'5-5 Cons prod'!X19, IF(OR($B11=no,$B11=no),"-", IF($B11=que,que, pres)))</f>
        <v>Присутствует?</v>
      </c>
      <c r="I11" s="278" t="str">
        <f>IF(OR($B11=yes,$B11=yes),'5-5 Cons prod'!Y19, IF(OR($B11=no,$B11=no),"-", IF($B11=que,que, pres)))</f>
        <v>Присутствует?</v>
      </c>
      <c r="J11" s="278" t="str">
        <f>IF(OR($B11=yes,$B11=yes),'5-5 Cons prod'!Z19, IF(OR($B11=no,$B11=no),"-", IF($B11=que,que, pres)))</f>
        <v>Присутствует?</v>
      </c>
      <c r="K11" s="278" t="str">
        <f>IF(OR($B11=yes,$B11=yes),'5-5 Cons prod'!AA19, IF(OR($B11=no,$B11=no),"-", IF($B11=que,que, pres)))</f>
        <v>Присутствует?</v>
      </c>
      <c r="L11" s="271" t="s">
        <v>114</v>
      </c>
      <c r="M11" s="459"/>
      <c r="N11" s="337" t="str">
        <f>INDEX('Range-thresholds'!$G$6:$G$73,MATCH(A11,'Range-thresholds'!$A$6:$A$73,0))</f>
        <v/>
      </c>
    </row>
    <row r="12" spans="1:14" ht="25">
      <c r="A12" s="273" t="s">
        <v>946</v>
      </c>
      <c r="B12" s="619"/>
      <c r="C12" s="378"/>
      <c r="D12" s="765" t="s">
        <v>955</v>
      </c>
      <c r="E12" s="456" t="str">
        <f>IF(OR($B12=yes,$B12=yes),'5-5 Cons prod'!K26, IF(OR($B12=no,$B12=no),"-", IF($B12=que,que, pres)))</f>
        <v>Присутствует?</v>
      </c>
      <c r="F12" s="278" t="str">
        <f>IF(OR($B12=yes,$B12=yes),'5-5 Cons prod'!V26, IF(OR($B12=no,$B12=no),"-", IF($B12=que,que, pres)))</f>
        <v>Присутствует?</v>
      </c>
      <c r="G12" s="278" t="str">
        <f>IF(OR($B12=yes,$B12=yes),'5-5 Cons prod'!W26, IF(OR($B12=no,$B12=no),"-", IF($B12=que,que, pres)))</f>
        <v>Присутствует?</v>
      </c>
      <c r="H12" s="278" t="str">
        <f>IF(OR($B12=yes,$B12=yes),'5-5 Cons prod'!X26, IF(OR($B12=no,$B12=no),"-", IF($B12=que,que, pres)))</f>
        <v>Присутствует?</v>
      </c>
      <c r="I12" s="278" t="str">
        <f>IF(OR($B12=yes,$B12=yes),'5-5 Cons prod'!Y26, IF(OR($B12=no,$B12=no),"-", IF($B12=que,que, pres)))</f>
        <v>Присутствует?</v>
      </c>
      <c r="J12" s="278" t="str">
        <f>IF(OR($B12=yes,$B12=yes),'5-5 Cons prod'!Z26, IF(OR($B12=no,$B12=no),"-", IF($B12=que,que, pres)))</f>
        <v>Присутствует?</v>
      </c>
      <c r="K12" s="278" t="str">
        <f>IF(OR($B12=yes,$B12=yes),'5-5 Cons prod'!AA26, IF(OR($B12=no,$B12=no),"-", IF($B12=que,que, pres)))</f>
        <v>Присутствует?</v>
      </c>
      <c r="L12" s="271" t="s">
        <v>119</v>
      </c>
      <c r="M12" s="458"/>
      <c r="N12" s="337" t="str">
        <f>INDEX('Range-thresholds'!$G$6:$G$73,MATCH(A12,'Range-thresholds'!$A$6:$A$73,0))</f>
        <v/>
      </c>
    </row>
    <row r="13" spans="1:14" ht="25">
      <c r="A13" s="273" t="s">
        <v>947</v>
      </c>
      <c r="B13" s="619"/>
      <c r="C13" s="378"/>
      <c r="D13" s="765" t="s">
        <v>955</v>
      </c>
      <c r="E13" s="456" t="str">
        <f>IF(OR($B13=yes,$B13=yes),'5-5 Cons prod'!K36, IF(OR($B13=no,$B13=no),"-", IF($B13=que,que, pres)))</f>
        <v>Присутствует?</v>
      </c>
      <c r="F13" s="278" t="str">
        <f>IF(OR($B13=yes,$B13=yes),'5-5 Cons prod'!V36, IF(OR($B13=no,$B13=no),"-", IF($B13=que,que, pres)))</f>
        <v>Присутствует?</v>
      </c>
      <c r="G13" s="278" t="str">
        <f>IF(OR($B13=yes,$B13=yes),'5-5 Cons prod'!W36, IF(OR($B13=no,$B13=no),"-", IF($B13=que,que, pres)))</f>
        <v>Присутствует?</v>
      </c>
      <c r="H13" s="278" t="str">
        <f>IF(OR($B13=yes,$B13=yes),'5-5 Cons prod'!X36, IF(OR($B13=no,$B13=no),"-", IF($B13=que,que, pres)))</f>
        <v>Присутствует?</v>
      </c>
      <c r="I13" s="278" t="str">
        <f>IF(OR($B13=yes,$B13=yes),'5-5 Cons prod'!Y36, IF(OR($B13=no,$B13=no),"-", IF($B13=que,que, pres)))</f>
        <v>Присутствует?</v>
      </c>
      <c r="J13" s="278" t="str">
        <f>IF(OR($B13=yes,$B13=yes),'5-5 Cons prod'!Z36, IF(OR($B13=no,$B13=no),"-", IF($B13=que,que, pres)))</f>
        <v>Присутствует?</v>
      </c>
      <c r="K13" s="278" t="str">
        <f>IF(OR($B13=yes,$B13=yes),'5-5 Cons prod'!AA36, IF(OR($B13=no,$B13=no),"-", IF($B13=que,que, pres)))</f>
        <v>Присутствует?</v>
      </c>
      <c r="L13" s="271" t="s">
        <v>131</v>
      </c>
      <c r="M13" s="458"/>
      <c r="N13" s="337" t="str">
        <f>INDEX('Range-thresholds'!$G$6:$G$73,MATCH(A13,'Range-thresholds'!$A$6:$A$73,0))</f>
        <v/>
      </c>
    </row>
    <row r="14" spans="1:14" ht="25">
      <c r="A14" s="273" t="s">
        <v>948</v>
      </c>
      <c r="B14" s="619"/>
      <c r="C14" s="378"/>
      <c r="D14" s="765" t="s">
        <v>955</v>
      </c>
      <c r="E14" s="456" t="str">
        <f>IF(OR($B14=yes,$B14=yes),'5-6 Other int use'!N14, IF(OR($B14=no,$B14=no),"-", IF($B14=que,que, pres)))</f>
        <v>Присутствует?</v>
      </c>
      <c r="F14" s="278" t="str">
        <f>IF(OR($B14=yes,$B14=yes),'5-6 Other int use'!V14, IF(OR($B14=no,$B14=no),"-", IF($B14=que,que, pres)))</f>
        <v>Присутствует?</v>
      </c>
      <c r="G14" s="278" t="str">
        <f>IF(OR($B14=yes,$B14=yes),'5-6 Other int use'!W14, IF(OR($B14=no,$B14=no),"-", IF($B14=que,que, pres)))</f>
        <v>Присутствует?</v>
      </c>
      <c r="H14" s="278" t="str">
        <f>IF(OR($B14=yes,$B14=yes),'5-6 Other int use'!X14, IF(OR($B14=no,$B14=no),"-", IF($B14=que,que, pres)))</f>
        <v>Присутствует?</v>
      </c>
      <c r="I14" s="278" t="str">
        <f>IF(OR($B14=yes,$B14=yes),'5-6 Other int use'!Y14, IF(OR($B14=no,$B14=no),"-", IF($B14=que,que, pres)))</f>
        <v>Присутствует?</v>
      </c>
      <c r="J14" s="278" t="str">
        <f>IF(OR($B14=yes,$B14=yes),'5-6 Other int use'!Z14, IF(OR($B14=no,$B14=no),"-", IF($B14=que,que, pres)))</f>
        <v>Присутствует?</v>
      </c>
      <c r="K14" s="278" t="str">
        <f>IF(OR($B14=yes,$B14=yes),'5-6 Other int use'!AA14, IF(OR($B14=no,$B14=no),"-", IF($B14=que,que, pres)))</f>
        <v>Присутствует?</v>
      </c>
      <c r="L14" s="271" t="s">
        <v>226</v>
      </c>
      <c r="M14" s="458"/>
      <c r="N14" s="337" t="str">
        <f>INDEX('Range-thresholds'!$G$6:$G$73,MATCH(A14,'Range-thresholds'!$A$6:$A$73,0))</f>
        <v/>
      </c>
    </row>
    <row r="15" spans="1:14" ht="25">
      <c r="A15" s="273" t="s">
        <v>949</v>
      </c>
      <c r="B15" s="619"/>
      <c r="C15" s="378"/>
      <c r="D15" s="765" t="s">
        <v>955</v>
      </c>
      <c r="E15" s="456" t="str">
        <f>IF(OR($B15=yes,$B15=yes),'5-5 Cons prod'!K56, IF(OR($B15=no,$B15=no),"-", IF($B15=que,que, pres)))</f>
        <v>Присутствует?</v>
      </c>
      <c r="F15" s="278" t="str">
        <f>IF(OR($B15=yes,$B15=yes),'5-5 Cons prod'!V56, IF(OR($B15=no,$B15=no),"-", IF($B15=que,que, pres)))</f>
        <v>Присутствует?</v>
      </c>
      <c r="G15" s="278" t="str">
        <f>IF(OR($B15=yes,$B15=yes),'5-5 Cons prod'!W56, IF(OR($B15=no,$B15=no),"-", IF($B15=que,que, pres)))</f>
        <v>Присутствует?</v>
      </c>
      <c r="H15" s="278" t="str">
        <f>IF(OR($B15=yes,$B15=yes),'5-5 Cons prod'!X56, IF(OR($B15=no,$B15=no),"-", IF($B15=que,que, pres)))</f>
        <v>Присутствует?</v>
      </c>
      <c r="I15" s="278" t="str">
        <f>IF(OR($B15=yes,$B15=yes),'5-5 Cons prod'!Y56, IF(OR($B15=no,$B15=no),"-", IF($B15=que,que, pres)))</f>
        <v>Присутствует?</v>
      </c>
      <c r="J15" s="278" t="str">
        <f>IF(OR($B15=yes,$B15=yes),'5-5 Cons prod'!Z56, IF(OR($B15=no,$B15=no),"-", IF($B15=que,que, pres)))</f>
        <v>Присутствует?</v>
      </c>
      <c r="K15" s="278" t="str">
        <f>IF(OR($B15=yes,$B15=yes),'5-5 Cons prod'!AA56, IF(OR($B15=no,$B15=no),"-", IF($B15=que,que, pres)))</f>
        <v>Присутствует?</v>
      </c>
      <c r="L15" s="271" t="s">
        <v>130</v>
      </c>
      <c r="M15" s="458"/>
      <c r="N15" s="337" t="str">
        <f>INDEX('Range-thresholds'!$G$6:$G$73,MATCH(A15,'Range-thresholds'!$A$6:$A$73,0))</f>
        <v/>
      </c>
    </row>
    <row r="16" spans="1:14" ht="25">
      <c r="A16" s="273" t="s">
        <v>950</v>
      </c>
      <c r="B16" s="621"/>
      <c r="C16" s="378"/>
      <c r="D16" s="765" t="s">
        <v>955</v>
      </c>
      <c r="E16" s="456" t="str">
        <f>IF(OR($B16=yes,$B16=yes),'5-5 Cons prod'!K60, IF(OR($B16=no,$B16=no),"-", IF($B16=que,que, pres)))</f>
        <v>Присутствует?</v>
      </c>
      <c r="F16" s="278" t="str">
        <f>IF(OR($B16=yes,$B16=yes),'5-5 Cons prod'!V60, IF(OR($B16=no,$B16=no),"-", IF($B16=que,que, pres)))</f>
        <v>Присутствует?</v>
      </c>
      <c r="G16" s="278" t="str">
        <f>IF(OR($B16=yes,$B16=yes),'5-5 Cons prod'!W60, IF(OR($B16=no,$B16=no),"-", IF($B16=que,que, pres)))</f>
        <v>Присутствует?</v>
      </c>
      <c r="H16" s="278" t="str">
        <f>IF(OR($B16=yes,$B16=yes),'5-5 Cons prod'!X60, IF(OR($B16=no,$B16=no),"-", IF($B16=que,que, pres)))</f>
        <v>Присутствует?</v>
      </c>
      <c r="I16" s="278" t="str">
        <f>IF(OR($B16=yes,$B16=yes),'5-5 Cons prod'!Y60, IF(OR($B16=no,$B16=no),"-", IF($B16=que,que, pres)))</f>
        <v>Присутствует?</v>
      </c>
      <c r="J16" s="278" t="str">
        <f>IF(OR($B16=yes,$B16=yes),'5-5 Cons prod'!Z60, IF(OR($B16=no,$B16=no),"-", IF($B16=que,que, pres)))</f>
        <v>Присутствует?</v>
      </c>
      <c r="K16" s="278" t="str">
        <f>IF(OR($B16=yes,$B16=yes),'5-5 Cons prod'!AA60, IF(OR($B16=no,$B16=no),"-", IF($B16=que,que, pres)))</f>
        <v>Присутствует?</v>
      </c>
      <c r="L16" s="271" t="s">
        <v>139</v>
      </c>
      <c r="M16" s="458"/>
      <c r="N16" s="337" t="str">
        <f>INDEX('Range-thresholds'!$G$6:$G$73,MATCH(A16,'Range-thresholds'!$A$6:$A$73,0))</f>
        <v/>
      </c>
    </row>
    <row r="17" spans="1:14" ht="25.5" thickBot="1">
      <c r="A17" s="273" t="s">
        <v>951</v>
      </c>
      <c r="B17" s="620"/>
      <c r="C17" s="397"/>
      <c r="D17" s="765" t="s">
        <v>955</v>
      </c>
      <c r="E17" s="456" t="str">
        <f>IF(OR($B17=yes,$B17=yes),'5-5 Cons prod'!K64, IF(OR($B17=no,$B17=no),"-", IF($B17=que,que, pres)))</f>
        <v>Присутствует?</v>
      </c>
      <c r="F17" s="278" t="str">
        <f>IF(OR($B17=yes,$B17=yes),'5-5 Cons prod'!V64, IF(OR($B17=no,$B17=no),"-", IF($B17=que,que, pres)))</f>
        <v>Присутствует?</v>
      </c>
      <c r="G17" s="278" t="str">
        <f>IF(OR($B17=yes,$B17=yes),'5-5 Cons prod'!W64, IF(OR($B17=no,$B17=no),"-", IF($B17=que,que, pres)))</f>
        <v>Присутствует?</v>
      </c>
      <c r="H17" s="278" t="str">
        <f>IF(OR($B17=yes,$B17=yes),'5-5 Cons prod'!X64, IF(OR($B17=no,$B17=no),"-", IF($B17=que,que, pres)))</f>
        <v>Присутствует?</v>
      </c>
      <c r="I17" s="278" t="str">
        <f>IF(OR($B17=yes,$B17=yes),'5-5 Cons prod'!Y64, IF(OR($B17=no,$B17=no),"-", IF($B17=que,que, pres)))</f>
        <v>Присутствует?</v>
      </c>
      <c r="J17" s="278" t="str">
        <f>IF(OR($B17=yes,$B17=yes),'5-5 Cons prod'!Z64, IF(OR($B17=no,$B17=no),"-", IF($B17=que,que, pres)))</f>
        <v>Присутствует?</v>
      </c>
      <c r="K17" s="278" t="str">
        <f>IF(OR($B17=yes,$B17=yes),'5-5 Cons prod'!AA64, IF(OR($B17=no,$B17=no),"-", IF($B17=que,que, pres)))</f>
        <v>Присутствует?</v>
      </c>
      <c r="L17" s="271" t="s">
        <v>374</v>
      </c>
      <c r="M17" s="459"/>
      <c r="N17" s="337" t="str">
        <f>INDEX('Range-thresholds'!$G$6:$G$73,MATCH(A17,'Range-thresholds'!$A$6:$A$73,0))</f>
        <v/>
      </c>
    </row>
    <row r="18" spans="1:14">
      <c r="A18" s="355"/>
      <c r="B18" s="356"/>
    </row>
    <row r="19" spans="1:14">
      <c r="A19" s="355"/>
      <c r="B19" s="356"/>
    </row>
    <row r="20" spans="1:14">
      <c r="A20" s="593" t="s">
        <v>722</v>
      </c>
    </row>
    <row r="21" spans="1:14">
      <c r="A21" s="593"/>
    </row>
    <row r="23" spans="1:14">
      <c r="A23" s="535"/>
      <c r="B23" s="592"/>
      <c r="C23" s="535"/>
      <c r="D23" s="535"/>
    </row>
  </sheetData>
  <sheetProtection algorithmName="SHA-512" hashValue="mM9TpNX+Ok+p3mnTYtcvzqjgP0MvOhHx2pFuTc5qgjG6E25gXWTsjB3UNKTcocbqPQ1q6K9eCh+j27crxWV+aQ==" saltValue="FmWRuHtEwYGgDpREp9vrDw==" spinCount="100000" sheet="1" objects="1" scenarios="1"/>
  <mergeCells count="2">
    <mergeCell ref="F3:K3"/>
    <mergeCell ref="A2:L2"/>
  </mergeCells>
  <conditionalFormatting sqref="A2">
    <cfRule type="expression" dxfId="45" priority="9" stopIfTrue="1">
      <formula>$A$2&lt;&gt;""</formula>
    </cfRule>
  </conditionalFormatting>
  <conditionalFormatting sqref="E10:E17 E5:E7">
    <cfRule type="expression" dxfId="44" priority="135" stopIfTrue="1">
      <formula>AND(B5="y",N5="n")</formula>
    </cfRule>
  </conditionalFormatting>
  <dataValidations xWindow="441" yWindow="461" count="2">
    <dataValidation type="decimal" allowBlank="1" showInputMessage="1" showErrorMessage="1" errorTitle="Input error" error="Use digits and decimal mark only." prompt="Используйте только цифры и десятичную метку" sqref="C5:C7 C10:C17" xr:uid="{00000000-0002-0000-0600-000000000000}">
      <formula1>-9.99999999999999E+22</formula1>
      <formula2>9.99999999999999E+22</formula2>
    </dataValidation>
    <dataValidation type="list" allowBlank="1" showInputMessage="1" showErrorMessage="1" error="Введите только да или нет" prompt="Впишите только да, нет или ?" sqref="B5:B7 B10:B17" xr:uid="{00000000-0002-0000-0600-000001000000}">
      <formula1>yn?</formula1>
    </dataValidation>
  </dataValidations>
  <pageMargins left="0.39370078740157483" right="0.39370078740157483" top="0.74803149606299213" bottom="0.74803149606299213" header="0.31496062992125984" footer="0.31496062992125984"/>
  <pageSetup paperSize="9" scale="7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6" id="{2DA2B224-945B-4AAB-83A3-2A4A860F2BEE}">
            <xm:f>'Вставьте рез. яч. IL2 '!$K$38&lt;&gt;""</xm:f>
            <x14:dxf>
              <font>
                <color rgb="FFFF0000"/>
              </font>
            </x14:dxf>
          </x14:cfRule>
          <xm:sqref>A20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77"/>
  <sheetViews>
    <sheetView zoomScale="70" zoomScaleNormal="70" workbookViewId="0">
      <selection activeCell="A27" sqref="A27"/>
    </sheetView>
  </sheetViews>
  <sheetFormatPr defaultColWidth="8.81640625" defaultRowHeight="12.5"/>
  <cols>
    <col min="1" max="1" width="3" customWidth="1"/>
    <col min="2" max="2" width="6.1796875" customWidth="1"/>
    <col min="3" max="3" width="40" customWidth="1"/>
    <col min="4" max="4" width="7.36328125" customWidth="1"/>
    <col min="5" max="5" width="14.453125" customWidth="1"/>
    <col min="6" max="6" width="20.6328125" customWidth="1"/>
    <col min="7" max="7" width="10.36328125" customWidth="1"/>
    <col min="8" max="8" width="9.453125" customWidth="1"/>
    <col min="9" max="9" width="12.453125" customWidth="1"/>
    <col min="10" max="10" width="19.1796875" customWidth="1"/>
    <col min="11" max="11" width="11.36328125" customWidth="1"/>
    <col min="12" max="12" width="11.453125" customWidth="1"/>
    <col min="13" max="13" width="21.1796875" style="13" customWidth="1"/>
    <col min="14" max="14" width="9.1796875" style="240"/>
    <col min="16" max="16" width="5.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740</v>
      </c>
      <c r="L1" s="48"/>
      <c r="M1" s="48"/>
      <c r="N1" s="231"/>
    </row>
    <row r="2" spans="1:28" ht="14">
      <c r="A2" s="54" t="s">
        <v>313</v>
      </c>
      <c r="L2" s="48"/>
      <c r="M2" s="48"/>
      <c r="N2" s="231"/>
    </row>
    <row r="3" spans="1:28" s="5" customFormat="1" ht="13">
      <c r="D3" s="7"/>
      <c r="E3" s="7"/>
      <c r="F3" s="7"/>
      <c r="G3" s="7"/>
      <c r="H3" s="7"/>
      <c r="I3" s="7"/>
      <c r="J3" s="7"/>
      <c r="K3" s="7"/>
      <c r="L3" s="30"/>
      <c r="M3" s="30"/>
      <c r="N3" s="255"/>
      <c r="O3" s="7"/>
      <c r="P3" s="65" t="s">
        <v>55</v>
      </c>
      <c r="Q3" s="65"/>
      <c r="R3" s="65"/>
      <c r="S3" s="65"/>
      <c r="T3" s="65"/>
      <c r="U3" s="65"/>
      <c r="V3" s="10" t="s">
        <v>54</v>
      </c>
      <c r="W3" s="103"/>
      <c r="X3" s="103"/>
      <c r="Y3" s="103"/>
      <c r="Z3" s="103"/>
      <c r="AA3" s="103"/>
      <c r="AB3" s="65"/>
    </row>
    <row r="4" spans="1:28" s="144" customFormat="1" ht="39">
      <c r="A4" s="144" t="s">
        <v>52</v>
      </c>
      <c r="B4" s="144" t="s">
        <v>50</v>
      </c>
      <c r="C4" s="134" t="s">
        <v>59</v>
      </c>
      <c r="D4" s="112" t="s">
        <v>153</v>
      </c>
      <c r="E4" s="134" t="s">
        <v>49</v>
      </c>
      <c r="F4" s="143" t="s">
        <v>35</v>
      </c>
      <c r="G4" s="112" t="s">
        <v>37</v>
      </c>
      <c r="H4" s="143" t="s">
        <v>35</v>
      </c>
      <c r="I4" s="112" t="s">
        <v>51</v>
      </c>
      <c r="J4" s="144" t="s">
        <v>35</v>
      </c>
      <c r="K4" s="84" t="s">
        <v>61</v>
      </c>
      <c r="L4" s="143" t="s">
        <v>35</v>
      </c>
      <c r="M4" s="12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26">
      <c r="A5" s="129" t="s">
        <v>145</v>
      </c>
      <c r="C5" s="134" t="s">
        <v>144</v>
      </c>
      <c r="D5" s="111"/>
      <c r="F5" s="128"/>
      <c r="G5" s="76"/>
      <c r="H5" s="128"/>
      <c r="I5" s="253"/>
      <c r="K5" s="113"/>
      <c r="L5" s="128"/>
      <c r="M5" s="123"/>
      <c r="N5" s="247"/>
      <c r="O5" s="128"/>
      <c r="P5" s="281"/>
      <c r="Q5" s="76"/>
      <c r="R5" s="76"/>
      <c r="S5" s="76"/>
      <c r="T5" s="76"/>
      <c r="U5" s="76"/>
      <c r="V5" s="58"/>
      <c r="W5" s="58"/>
      <c r="X5" s="58"/>
      <c r="Y5" s="58"/>
      <c r="Z5" s="58"/>
      <c r="AA5" s="58"/>
      <c r="AB5" s="76"/>
    </row>
    <row r="6" spans="1:28" ht="26">
      <c r="B6" t="s">
        <v>146</v>
      </c>
      <c r="C6" s="12" t="s">
        <v>147</v>
      </c>
      <c r="D6" s="111"/>
      <c r="G6" s="286"/>
      <c r="I6" s="287"/>
      <c r="K6" s="288">
        <f>K7</f>
        <v>0</v>
      </c>
      <c r="L6" s="28"/>
      <c r="M6" s="157" t="s">
        <v>154</v>
      </c>
      <c r="N6" s="247"/>
      <c r="O6" s="3"/>
      <c r="P6" s="76"/>
      <c r="Q6" s="76"/>
      <c r="R6" s="76"/>
      <c r="S6" s="76"/>
      <c r="T6" s="76"/>
      <c r="U6" s="76"/>
      <c r="V6" s="642">
        <f t="shared" ref="V6:AA6" si="0">SUM(V7:V8)</f>
        <v>0</v>
      </c>
      <c r="W6" s="642">
        <f t="shared" si="0"/>
        <v>0</v>
      </c>
      <c r="X6" s="642">
        <f t="shared" si="0"/>
        <v>0</v>
      </c>
      <c r="Y6" s="642">
        <f t="shared" si="0"/>
        <v>0</v>
      </c>
      <c r="Z6" s="642">
        <f t="shared" si="0"/>
        <v>0</v>
      </c>
      <c r="AA6" s="642">
        <f t="shared" si="0"/>
        <v>0</v>
      </c>
      <c r="AB6" s="76"/>
    </row>
    <row r="7" spans="1:28" ht="39">
      <c r="C7" s="12"/>
      <c r="D7" s="111"/>
      <c r="E7" s="543" t="s">
        <v>702</v>
      </c>
      <c r="F7" s="292" t="s">
        <v>340</v>
      </c>
      <c r="G7" s="76">
        <v>100</v>
      </c>
      <c r="H7" s="128" t="s">
        <v>340</v>
      </c>
      <c r="I7" s="254">
        <f>'Этап 4-Пром. прим. Hg'!C5</f>
        <v>0</v>
      </c>
      <c r="J7" s="129" t="s">
        <v>329</v>
      </c>
      <c r="K7" s="169">
        <f>G7*I7/1000</f>
        <v>0</v>
      </c>
      <c r="L7" s="28" t="s">
        <v>36</v>
      </c>
      <c r="M7" s="158" t="s">
        <v>798</v>
      </c>
      <c r="N7" s="248"/>
      <c r="O7" s="3"/>
      <c r="P7" s="131">
        <v>0.1</v>
      </c>
      <c r="Q7" s="131">
        <v>0.01</v>
      </c>
      <c r="R7" s="131">
        <v>0.01</v>
      </c>
      <c r="S7" s="131">
        <v>0.01</v>
      </c>
      <c r="T7" s="131"/>
      <c r="U7" s="131">
        <v>0.87</v>
      </c>
      <c r="V7" s="627">
        <f t="shared" ref="V7:AA7" si="1">$N7*P7</f>
        <v>0</v>
      </c>
      <c r="W7" s="627">
        <f t="shared" si="1"/>
        <v>0</v>
      </c>
      <c r="X7" s="627">
        <f t="shared" si="1"/>
        <v>0</v>
      </c>
      <c r="Y7" s="627">
        <f t="shared" si="1"/>
        <v>0</v>
      </c>
      <c r="Z7" s="627">
        <f t="shared" si="1"/>
        <v>0</v>
      </c>
      <c r="AA7" s="627">
        <f t="shared" si="1"/>
        <v>0</v>
      </c>
      <c r="AB7" s="76"/>
    </row>
    <row r="8" spans="1:28" ht="26">
      <c r="C8" s="9"/>
      <c r="D8" s="76"/>
      <c r="E8" s="284"/>
      <c r="F8" s="128"/>
      <c r="G8" s="76"/>
      <c r="H8" s="128"/>
      <c r="I8" s="254"/>
      <c r="J8" s="293"/>
      <c r="K8" s="289"/>
      <c r="L8" s="28"/>
      <c r="M8" s="158" t="s">
        <v>799</v>
      </c>
      <c r="N8" s="248">
        <f>K7</f>
        <v>0</v>
      </c>
      <c r="O8" s="3"/>
      <c r="P8" s="282">
        <v>0.2</v>
      </c>
      <c r="Q8" s="282">
        <v>0.02</v>
      </c>
      <c r="R8" s="282">
        <v>0.38</v>
      </c>
      <c r="S8" s="282">
        <v>0.1</v>
      </c>
      <c r="T8" s="282"/>
      <c r="U8" s="282">
        <v>0.3</v>
      </c>
      <c r="V8" s="627">
        <f t="shared" ref="V8:V14" si="2">$N8*P8</f>
        <v>0</v>
      </c>
      <c r="W8" s="627">
        <f t="shared" ref="W8:W14" si="3">$N8*Q8</f>
        <v>0</v>
      </c>
      <c r="X8" s="627">
        <f t="shared" ref="X8:X14" si="4">$N8*R8</f>
        <v>0</v>
      </c>
      <c r="Y8" s="627">
        <f t="shared" ref="Y8:Y14" si="5">$N8*S8</f>
        <v>0</v>
      </c>
      <c r="Z8" s="627">
        <f t="shared" ref="Z8:Z14" si="6">$N8*T8</f>
        <v>0</v>
      </c>
      <c r="AA8" s="627">
        <f>$N8*U8</f>
        <v>0</v>
      </c>
      <c r="AB8" s="76"/>
    </row>
    <row r="9" spans="1:28" s="55" customFormat="1" ht="13">
      <c r="C9" s="105"/>
      <c r="D9" s="76"/>
      <c r="G9" s="119"/>
      <c r="I9" s="290"/>
      <c r="K9" s="113"/>
      <c r="M9" s="159"/>
      <c r="N9" s="248"/>
      <c r="O9" s="104"/>
      <c r="P9" s="76"/>
      <c r="Q9" s="76"/>
      <c r="R9" s="76"/>
      <c r="S9" s="76"/>
      <c r="T9" s="76"/>
      <c r="U9" s="76"/>
      <c r="V9" s="114"/>
      <c r="W9" s="114"/>
      <c r="X9" s="114"/>
      <c r="Y9" s="114"/>
      <c r="Z9" s="114"/>
      <c r="AA9" s="114"/>
      <c r="AB9" s="76"/>
    </row>
    <row r="10" spans="1:28" ht="13">
      <c r="A10" s="3"/>
      <c r="B10" s="3" t="s">
        <v>148</v>
      </c>
      <c r="C10" s="26" t="s">
        <v>150</v>
      </c>
      <c r="D10" s="111"/>
      <c r="E10" s="284" t="s">
        <v>149</v>
      </c>
      <c r="F10" s="128" t="s">
        <v>341</v>
      </c>
      <c r="G10" s="76">
        <v>120</v>
      </c>
      <c r="H10" s="128" t="s">
        <v>341</v>
      </c>
      <c r="I10" s="254">
        <f>'Этап 4-Пром. прим. Hg'!C6</f>
        <v>0</v>
      </c>
      <c r="J10" s="285" t="s">
        <v>387</v>
      </c>
      <c r="K10" s="169">
        <f>G10*I10/1000</f>
        <v>0</v>
      </c>
      <c r="L10" s="28" t="s">
        <v>36</v>
      </c>
      <c r="M10" s="157"/>
      <c r="N10" s="248">
        <f>K10</f>
        <v>0</v>
      </c>
      <c r="O10" s="3"/>
      <c r="P10" s="130">
        <v>0.02</v>
      </c>
      <c r="Q10" s="130">
        <v>0.02</v>
      </c>
      <c r="R10" s="130"/>
      <c r="S10" s="130">
        <v>0.36</v>
      </c>
      <c r="T10" s="130"/>
      <c r="U10" s="130">
        <v>0.6</v>
      </c>
      <c r="V10" s="114">
        <f t="shared" si="2"/>
        <v>0</v>
      </c>
      <c r="W10" s="114">
        <f t="shared" si="3"/>
        <v>0</v>
      </c>
      <c r="X10" s="114">
        <f t="shared" si="4"/>
        <v>0</v>
      </c>
      <c r="Y10" s="114">
        <f t="shared" si="5"/>
        <v>0</v>
      </c>
      <c r="Z10" s="114">
        <f t="shared" si="6"/>
        <v>0</v>
      </c>
      <c r="AA10" s="114">
        <f>$N10*U10</f>
        <v>0</v>
      </c>
      <c r="AB10" s="76"/>
    </row>
    <row r="11" spans="1:28" s="55" customFormat="1" ht="13">
      <c r="A11" s="152"/>
      <c r="B11" s="104"/>
      <c r="C11" s="137"/>
      <c r="D11" s="111"/>
      <c r="E11" s="106"/>
      <c r="F11" s="104"/>
      <c r="G11" s="119"/>
      <c r="H11" s="104"/>
      <c r="I11" s="283"/>
      <c r="K11" s="169"/>
      <c r="L11" s="104"/>
      <c r="M11" s="160"/>
      <c r="N11" s="248"/>
      <c r="O11" s="104"/>
      <c r="P11" s="76"/>
      <c r="Q11" s="76"/>
      <c r="R11" s="76"/>
      <c r="S11" s="76"/>
      <c r="T11" s="76"/>
      <c r="U11" s="76"/>
      <c r="V11" s="114"/>
      <c r="W11" s="114"/>
      <c r="X11" s="114"/>
      <c r="Y11" s="114"/>
      <c r="Z11" s="114"/>
      <c r="AA11" s="114"/>
      <c r="AB11" s="76"/>
    </row>
    <row r="12" spans="1:28" s="3" customFormat="1" ht="26">
      <c r="B12" s="36" t="s">
        <v>372</v>
      </c>
      <c r="C12" s="26" t="s">
        <v>151</v>
      </c>
      <c r="D12" s="111"/>
      <c r="E12" s="291" t="s">
        <v>43</v>
      </c>
      <c r="F12" s="128" t="s">
        <v>43</v>
      </c>
      <c r="G12" s="281">
        <v>120</v>
      </c>
      <c r="H12" s="292" t="s">
        <v>386</v>
      </c>
      <c r="I12" s="254">
        <f>'Этап 4-Пром. прим. Hg'!C7</f>
        <v>0</v>
      </c>
      <c r="J12" s="285" t="s">
        <v>388</v>
      </c>
      <c r="K12" s="169">
        <f>G12*I12/1000</f>
        <v>0</v>
      </c>
      <c r="L12" s="28" t="s">
        <v>36</v>
      </c>
      <c r="M12" s="157"/>
      <c r="N12" s="248">
        <f>K12</f>
        <v>0</v>
      </c>
      <c r="P12" s="335">
        <v>0.02</v>
      </c>
      <c r="Q12" s="335">
        <v>0.02</v>
      </c>
      <c r="R12" s="335"/>
      <c r="S12" s="335">
        <v>0.36</v>
      </c>
      <c r="T12" s="335"/>
      <c r="U12" s="335">
        <v>0.6</v>
      </c>
      <c r="V12" s="114">
        <f t="shared" si="2"/>
        <v>0</v>
      </c>
      <c r="W12" s="114">
        <f t="shared" si="3"/>
        <v>0</v>
      </c>
      <c r="X12" s="114">
        <f t="shared" si="4"/>
        <v>0</v>
      </c>
      <c r="Y12" s="114">
        <f t="shared" si="5"/>
        <v>0</v>
      </c>
      <c r="Z12" s="114">
        <f t="shared" si="6"/>
        <v>0</v>
      </c>
      <c r="AA12" s="114">
        <f>$N12*U12</f>
        <v>0</v>
      </c>
      <c r="AB12" s="76"/>
    </row>
    <row r="13" spans="1:28" s="104" customFormat="1" ht="13">
      <c r="A13" s="139"/>
      <c r="C13" s="137"/>
      <c r="D13" s="111"/>
      <c r="G13" s="119"/>
      <c r="I13" s="290"/>
      <c r="K13" s="121"/>
      <c r="M13" s="159"/>
      <c r="N13" s="248"/>
      <c r="P13" s="76"/>
      <c r="Q13" s="76"/>
      <c r="R13" s="76"/>
      <c r="S13" s="76"/>
      <c r="T13" s="76"/>
      <c r="U13" s="76"/>
      <c r="V13" s="114"/>
      <c r="W13" s="114"/>
      <c r="X13" s="114"/>
      <c r="Y13" s="114"/>
      <c r="Z13" s="114"/>
      <c r="AA13" s="114"/>
      <c r="AB13" s="76"/>
    </row>
    <row r="14" spans="1:28" s="128" customFormat="1" ht="26">
      <c r="B14" s="292" t="s">
        <v>373</v>
      </c>
      <c r="C14" s="151" t="s">
        <v>152</v>
      </c>
      <c r="D14" s="111"/>
      <c r="E14" s="128" t="s">
        <v>43</v>
      </c>
      <c r="F14" s="128" t="s">
        <v>43</v>
      </c>
      <c r="G14" s="76" t="s">
        <v>43</v>
      </c>
      <c r="H14" s="128" t="s">
        <v>43</v>
      </c>
      <c r="I14" s="253" t="s">
        <v>43</v>
      </c>
      <c r="J14" s="128" t="s">
        <v>43</v>
      </c>
      <c r="K14" s="113" t="s">
        <v>43</v>
      </c>
      <c r="L14" s="128" t="s">
        <v>36</v>
      </c>
      <c r="M14" s="123"/>
      <c r="N14" s="248"/>
      <c r="P14" s="76" t="s">
        <v>43</v>
      </c>
      <c r="Q14" s="76" t="s">
        <v>43</v>
      </c>
      <c r="R14" s="76" t="s">
        <v>43</v>
      </c>
      <c r="S14" s="76" t="s">
        <v>43</v>
      </c>
      <c r="T14" s="76" t="s">
        <v>43</v>
      </c>
      <c r="U14" s="76" t="s">
        <v>43</v>
      </c>
      <c r="V14" s="114" t="e">
        <f t="shared" si="2"/>
        <v>#VALUE!</v>
      </c>
      <c r="W14" s="114" t="e">
        <f t="shared" si="3"/>
        <v>#VALUE!</v>
      </c>
      <c r="X14" s="114" t="e">
        <f t="shared" si="4"/>
        <v>#VALUE!</v>
      </c>
      <c r="Y14" s="114" t="e">
        <f t="shared" si="5"/>
        <v>#VALUE!</v>
      </c>
      <c r="Z14" s="114" t="e">
        <f t="shared" si="6"/>
        <v>#VALUE!</v>
      </c>
      <c r="AA14" s="114" t="e">
        <f>$N14*U14</f>
        <v>#VALUE!</v>
      </c>
      <c r="AB14" s="76"/>
    </row>
    <row r="15" spans="1:28" s="3" customFormat="1" ht="13">
      <c r="C15" s="3" t="s">
        <v>281</v>
      </c>
      <c r="E15" s="11"/>
      <c r="I15" s="20"/>
      <c r="K15" s="21"/>
      <c r="M15" s="28"/>
      <c r="N15" s="256"/>
      <c r="O15" s="28"/>
      <c r="P15" s="23"/>
      <c r="Q15" s="23"/>
      <c r="R15" s="24"/>
      <c r="S15" s="24"/>
      <c r="T15" s="23"/>
      <c r="V15" s="22"/>
      <c r="W15" s="22"/>
      <c r="X15" s="22"/>
      <c r="Y15" s="22"/>
      <c r="Z15" s="22"/>
      <c r="AA15" s="22"/>
    </row>
    <row r="16" spans="1:28" s="3" customFormat="1" ht="13">
      <c r="C16" s="232" t="s">
        <v>800</v>
      </c>
      <c r="E16" s="11"/>
      <c r="I16" s="20"/>
      <c r="K16" s="21"/>
      <c r="M16" s="28"/>
      <c r="N16" s="256"/>
      <c r="O16" s="28"/>
      <c r="P16" s="23"/>
      <c r="Q16" s="23"/>
      <c r="R16" s="24"/>
      <c r="S16" s="24"/>
      <c r="T16" s="23"/>
      <c r="V16" s="22"/>
      <c r="W16" s="22"/>
      <c r="X16" s="22"/>
      <c r="Y16" s="22"/>
      <c r="Z16" s="22"/>
      <c r="AA16" s="22"/>
    </row>
    <row r="17" spans="3:27" s="3" customFormat="1" ht="13">
      <c r="C17" s="36" t="s">
        <v>318</v>
      </c>
      <c r="E17" s="11"/>
      <c r="I17" s="20"/>
      <c r="K17" s="21"/>
      <c r="M17" s="30"/>
      <c r="N17" s="256"/>
      <c r="O17" s="28"/>
      <c r="P17" s="23"/>
      <c r="Q17" s="23"/>
      <c r="R17" s="24"/>
      <c r="S17" s="24"/>
      <c r="T17" s="23"/>
      <c r="V17" s="22"/>
      <c r="W17" s="22"/>
      <c r="X17" s="22"/>
      <c r="Y17" s="22"/>
      <c r="Z17" s="22"/>
      <c r="AA17" s="22"/>
    </row>
    <row r="18" spans="3:27" s="3" customFormat="1" ht="13">
      <c r="E18" s="11"/>
      <c r="I18" s="20"/>
      <c r="K18" s="21"/>
      <c r="M18" s="30"/>
      <c r="N18" s="256"/>
      <c r="O18" s="28"/>
      <c r="P18" s="23"/>
      <c r="Q18" s="23"/>
      <c r="R18" s="24"/>
      <c r="S18" s="24"/>
      <c r="T18" s="23"/>
      <c r="V18" s="22"/>
      <c r="W18" s="22"/>
      <c r="X18" s="22"/>
      <c r="Y18" s="22"/>
      <c r="Z18" s="22"/>
      <c r="AA18" s="22"/>
    </row>
    <row r="19" spans="3:27" s="3" customFormat="1" ht="13">
      <c r="E19" s="11"/>
      <c r="I19" s="20"/>
      <c r="K19" s="21"/>
      <c r="M19" s="31"/>
      <c r="N19" s="256"/>
      <c r="O19" s="28"/>
      <c r="P19" s="23"/>
      <c r="Q19" s="23"/>
      <c r="R19" s="24"/>
      <c r="S19" s="24"/>
      <c r="T19" s="23"/>
      <c r="V19" s="22"/>
      <c r="W19" s="22"/>
      <c r="X19" s="22"/>
      <c r="Y19" s="22"/>
      <c r="Z19" s="22"/>
      <c r="AA19" s="22"/>
    </row>
    <row r="20" spans="3:27" s="3" customFormat="1" ht="13">
      <c r="C20" s="7"/>
      <c r="D20" s="7"/>
      <c r="E20" s="11"/>
      <c r="I20" s="20"/>
      <c r="K20" s="21"/>
      <c r="M20" s="29"/>
      <c r="N20" s="256"/>
      <c r="O20" s="28"/>
      <c r="P20" s="23"/>
      <c r="Q20" s="23"/>
      <c r="R20" s="24"/>
      <c r="S20" s="24"/>
      <c r="T20" s="23"/>
      <c r="V20" s="25"/>
      <c r="W20" s="25"/>
      <c r="X20" s="25"/>
      <c r="Y20" s="25"/>
      <c r="Z20" s="25"/>
      <c r="AA20" s="25"/>
    </row>
    <row r="21" spans="3:27" s="3" customFormat="1" ht="13">
      <c r="C21" s="7"/>
      <c r="D21" s="7"/>
      <c r="E21" s="11"/>
      <c r="I21" s="20"/>
      <c r="K21" s="21"/>
      <c r="M21" s="29"/>
      <c r="N21" s="256"/>
      <c r="O21" s="28"/>
      <c r="P21" s="23"/>
      <c r="Q21" s="23"/>
      <c r="R21" s="24"/>
      <c r="S21" s="24"/>
      <c r="T21" s="23"/>
      <c r="V21" s="22"/>
      <c r="W21" s="22"/>
      <c r="X21" s="22"/>
      <c r="Y21" s="22"/>
      <c r="Z21" s="22"/>
      <c r="AA21" s="22"/>
    </row>
    <row r="22" spans="3:27" s="3" customFormat="1" ht="13">
      <c r="C22" s="7"/>
      <c r="D22" s="7"/>
      <c r="E22" s="11"/>
      <c r="I22" s="20"/>
      <c r="K22" s="22"/>
      <c r="M22" s="29"/>
      <c r="N22" s="256"/>
      <c r="O22" s="28"/>
      <c r="P22" s="23"/>
      <c r="Q22" s="23"/>
      <c r="R22" s="24"/>
      <c r="S22" s="24"/>
      <c r="T22" s="23"/>
      <c r="V22" s="22"/>
      <c r="W22" s="22"/>
      <c r="X22" s="22"/>
      <c r="Y22" s="22"/>
      <c r="Z22" s="22"/>
      <c r="AA22" s="22"/>
    </row>
    <row r="23" spans="3:27" s="3" customFormat="1" ht="13">
      <c r="E23" s="11"/>
      <c r="I23" s="20"/>
      <c r="K23" s="22"/>
      <c r="M23" s="29"/>
      <c r="N23" s="256"/>
      <c r="O23" s="28"/>
      <c r="P23" s="23"/>
      <c r="Q23" s="23"/>
      <c r="R23" s="24"/>
      <c r="S23" s="24"/>
      <c r="T23" s="23"/>
      <c r="V23" s="22"/>
      <c r="W23" s="22"/>
      <c r="X23" s="22"/>
      <c r="Y23" s="22"/>
      <c r="Z23" s="22"/>
      <c r="AA23" s="22"/>
    </row>
    <row r="24" spans="3:27" s="3" customFormat="1" ht="13">
      <c r="E24" s="11"/>
      <c r="I24" s="20"/>
      <c r="K24" s="22"/>
      <c r="M24" s="30"/>
      <c r="N24" s="256"/>
      <c r="O24" s="28"/>
      <c r="P24" s="23"/>
      <c r="Q24" s="23"/>
      <c r="R24" s="24"/>
      <c r="S24" s="24"/>
      <c r="T24" s="23"/>
      <c r="V24" s="22"/>
      <c r="W24" s="22"/>
      <c r="X24" s="22"/>
      <c r="Y24" s="22"/>
      <c r="Z24" s="22"/>
      <c r="AA24" s="22"/>
    </row>
    <row r="25" spans="3:27" s="3" customFormat="1" ht="13">
      <c r="E25" s="11"/>
      <c r="I25" s="20"/>
      <c r="K25" s="22"/>
      <c r="M25" s="30"/>
      <c r="N25" s="256"/>
      <c r="O25" s="28"/>
      <c r="P25" s="23"/>
      <c r="Q25" s="23"/>
      <c r="R25" s="24"/>
      <c r="S25" s="24"/>
      <c r="T25" s="23"/>
      <c r="V25" s="22"/>
      <c r="W25" s="22"/>
      <c r="X25" s="22"/>
      <c r="Y25" s="22"/>
      <c r="Z25" s="22"/>
      <c r="AA25" s="22"/>
    </row>
    <row r="26" spans="3:27" s="3" customFormat="1" ht="13">
      <c r="C26" s="7"/>
      <c r="D26" s="7"/>
      <c r="E26" s="11"/>
      <c r="I26" s="20"/>
      <c r="K26" s="22"/>
      <c r="M26" s="31"/>
      <c r="N26" s="256"/>
      <c r="O26" s="28"/>
      <c r="P26" s="23"/>
      <c r="Q26" s="23"/>
      <c r="R26" s="24"/>
      <c r="S26" s="24"/>
      <c r="T26" s="23"/>
      <c r="V26" s="22"/>
      <c r="W26" s="22"/>
      <c r="X26" s="22"/>
      <c r="Y26" s="22"/>
      <c r="Z26" s="22"/>
      <c r="AA26" s="22"/>
    </row>
    <row r="27" spans="3:27" s="3" customFormat="1" ht="13">
      <c r="C27" s="26"/>
      <c r="D27" s="26"/>
      <c r="E27" s="11"/>
      <c r="I27" s="20"/>
      <c r="K27" s="22"/>
      <c r="M27" s="29"/>
      <c r="N27" s="256"/>
      <c r="O27" s="28"/>
      <c r="P27" s="23"/>
      <c r="Q27" s="23"/>
      <c r="R27" s="24"/>
      <c r="S27" s="24"/>
      <c r="T27" s="23"/>
      <c r="V27" s="22"/>
      <c r="W27" s="22"/>
      <c r="X27" s="22"/>
      <c r="Y27" s="22"/>
      <c r="Z27" s="22"/>
      <c r="AA27" s="22"/>
    </row>
    <row r="28" spans="3:27" s="3" customFormat="1" ht="13">
      <c r="E28" s="11"/>
      <c r="I28" s="20"/>
      <c r="K28" s="22"/>
      <c r="M28" s="29"/>
      <c r="N28" s="256"/>
      <c r="O28" s="28"/>
      <c r="P28" s="23"/>
      <c r="Q28" s="23"/>
      <c r="R28" s="24"/>
      <c r="S28" s="24"/>
      <c r="T28" s="23"/>
      <c r="V28" s="22"/>
      <c r="W28" s="22"/>
      <c r="X28" s="22"/>
      <c r="Y28" s="22"/>
      <c r="Z28" s="22"/>
      <c r="AA28" s="22"/>
    </row>
    <row r="29" spans="3:27" s="3" customFormat="1" ht="13">
      <c r="E29" s="11"/>
      <c r="I29" s="20"/>
      <c r="K29" s="22"/>
      <c r="M29" s="29"/>
      <c r="N29" s="256"/>
      <c r="O29" s="28"/>
      <c r="P29" s="23"/>
      <c r="Q29" s="23"/>
      <c r="R29" s="24"/>
      <c r="S29" s="24"/>
      <c r="T29" s="23"/>
      <c r="V29" s="22"/>
      <c r="W29" s="22"/>
      <c r="X29" s="22"/>
      <c r="Y29" s="22"/>
      <c r="Z29" s="22"/>
      <c r="AA29" s="22"/>
    </row>
    <row r="30" spans="3:27" s="3" customFormat="1" ht="13">
      <c r="E30" s="11"/>
      <c r="I30" s="20"/>
      <c r="K30" s="22"/>
      <c r="M30" s="28"/>
      <c r="N30" s="256"/>
      <c r="O30" s="28"/>
      <c r="P30" s="23"/>
      <c r="Q30" s="23"/>
      <c r="R30" s="24"/>
      <c r="S30" s="24"/>
      <c r="T30" s="23"/>
      <c r="V30" s="22"/>
      <c r="W30" s="22"/>
      <c r="X30" s="22"/>
      <c r="Y30" s="22"/>
      <c r="Z30" s="22"/>
      <c r="AA30" s="22"/>
    </row>
    <row r="31" spans="3:27" s="3" customFormat="1" ht="13">
      <c r="E31" s="11"/>
      <c r="I31" s="20"/>
      <c r="K31" s="21"/>
      <c r="M31" s="29"/>
      <c r="N31" s="256"/>
      <c r="O31" s="28"/>
      <c r="P31" s="23"/>
      <c r="Q31" s="23"/>
      <c r="R31" s="24"/>
      <c r="S31" s="24"/>
      <c r="T31" s="23"/>
      <c r="V31" s="22"/>
      <c r="W31" s="22"/>
      <c r="X31" s="22"/>
      <c r="Y31" s="22"/>
      <c r="Z31" s="22"/>
      <c r="AA31" s="22"/>
    </row>
    <row r="32" spans="3:27" s="3" customFormat="1" ht="13">
      <c r="E32" s="11"/>
      <c r="I32" s="20"/>
      <c r="K32" s="21"/>
      <c r="M32" s="29"/>
      <c r="N32" s="256"/>
      <c r="O32" s="28"/>
      <c r="P32" s="23"/>
      <c r="Q32" s="23"/>
      <c r="R32" s="24"/>
      <c r="S32" s="24"/>
      <c r="T32" s="23"/>
      <c r="V32" s="22"/>
      <c r="W32" s="22"/>
      <c r="X32" s="22"/>
      <c r="Y32" s="22"/>
      <c r="Z32" s="22"/>
      <c r="AA32" s="22"/>
    </row>
    <row r="33" spans="3:27" s="3" customFormat="1" ht="13">
      <c r="C33" s="7"/>
      <c r="D33" s="7"/>
      <c r="E33" s="11"/>
      <c r="I33" s="20"/>
      <c r="K33" s="21"/>
      <c r="M33" s="29"/>
      <c r="N33" s="256"/>
      <c r="O33" s="28"/>
      <c r="P33" s="23"/>
      <c r="Q33" s="23"/>
      <c r="R33" s="24"/>
      <c r="S33" s="24"/>
      <c r="T33" s="23"/>
      <c r="V33" s="25"/>
      <c r="W33" s="25"/>
      <c r="X33" s="25"/>
      <c r="Y33" s="25"/>
      <c r="Z33" s="25"/>
      <c r="AA33" s="25"/>
    </row>
    <row r="34" spans="3:27" s="3" customFormat="1" ht="13">
      <c r="C34" s="7"/>
      <c r="D34" s="7"/>
      <c r="E34" s="11"/>
      <c r="I34" s="20"/>
      <c r="K34" s="21"/>
      <c r="M34" s="30"/>
      <c r="N34" s="256"/>
      <c r="O34" s="28"/>
      <c r="P34" s="23"/>
      <c r="Q34" s="23"/>
      <c r="R34" s="23"/>
      <c r="S34" s="23"/>
      <c r="T34" s="23"/>
      <c r="U34" s="23"/>
      <c r="V34" s="22"/>
      <c r="W34" s="22"/>
      <c r="X34" s="22"/>
      <c r="Y34" s="22"/>
      <c r="Z34" s="22"/>
      <c r="AA34" s="22"/>
    </row>
    <row r="35" spans="3:27" s="3" customFormat="1" ht="13">
      <c r="C35" s="7"/>
      <c r="D35" s="7"/>
      <c r="E35" s="11"/>
      <c r="I35" s="20"/>
      <c r="K35" s="21"/>
      <c r="M35" s="30"/>
      <c r="N35" s="256"/>
      <c r="O35" s="28"/>
      <c r="P35" s="23"/>
      <c r="Q35" s="23"/>
      <c r="R35" s="24"/>
      <c r="S35" s="24"/>
      <c r="T35" s="23"/>
      <c r="V35" s="22"/>
      <c r="W35" s="22"/>
      <c r="X35" s="22"/>
      <c r="Y35" s="22"/>
      <c r="Z35" s="22"/>
      <c r="AA35" s="22"/>
    </row>
    <row r="36" spans="3:27" s="3" customFormat="1" ht="13">
      <c r="C36" s="7"/>
      <c r="D36" s="7"/>
      <c r="E36" s="11"/>
      <c r="I36" s="20"/>
      <c r="K36" s="21"/>
      <c r="M36" s="29"/>
      <c r="N36" s="256"/>
      <c r="O36" s="28"/>
      <c r="P36" s="23"/>
      <c r="Q36" s="23"/>
      <c r="R36" s="24"/>
      <c r="S36" s="24"/>
      <c r="T36" s="23"/>
      <c r="V36" s="22"/>
      <c r="W36" s="22"/>
      <c r="X36" s="22"/>
      <c r="Y36" s="22"/>
      <c r="Z36" s="22"/>
      <c r="AA36" s="22"/>
    </row>
    <row r="37" spans="3:27" s="3" customFormat="1" ht="13">
      <c r="E37" s="11"/>
      <c r="I37" s="20"/>
      <c r="K37" s="21"/>
      <c r="M37" s="29"/>
      <c r="N37" s="256"/>
      <c r="O37" s="28"/>
      <c r="P37" s="23"/>
      <c r="Q37" s="23"/>
      <c r="R37" s="24"/>
      <c r="S37" s="24"/>
      <c r="T37" s="23"/>
      <c r="V37" s="22"/>
      <c r="W37" s="22"/>
      <c r="X37" s="22"/>
      <c r="Y37" s="22"/>
      <c r="Z37" s="22"/>
      <c r="AA37" s="22"/>
    </row>
    <row r="38" spans="3:27" s="3" customFormat="1" ht="13">
      <c r="E38" s="11"/>
      <c r="I38" s="20"/>
      <c r="K38" s="21"/>
      <c r="M38" s="29"/>
      <c r="N38" s="256"/>
      <c r="O38" s="28"/>
      <c r="P38" s="23"/>
      <c r="Q38" s="23"/>
      <c r="R38" s="24"/>
      <c r="S38" s="24"/>
      <c r="T38" s="23"/>
      <c r="V38" s="22"/>
      <c r="W38" s="22"/>
      <c r="X38" s="22"/>
      <c r="Y38" s="22"/>
      <c r="Z38" s="22"/>
      <c r="AA38" s="22"/>
    </row>
    <row r="39" spans="3:27" s="3" customFormat="1" ht="13">
      <c r="C39" s="7"/>
      <c r="D39" s="7"/>
      <c r="E39" s="11"/>
      <c r="I39" s="20"/>
      <c r="K39" s="21"/>
      <c r="M39" s="28"/>
      <c r="N39" s="256"/>
      <c r="O39" s="28"/>
      <c r="P39" s="23"/>
      <c r="Q39" s="23"/>
      <c r="R39" s="24"/>
      <c r="S39" s="24"/>
      <c r="T39" s="23"/>
      <c r="V39" s="25"/>
      <c r="W39" s="25"/>
      <c r="X39" s="25"/>
      <c r="Y39" s="25"/>
      <c r="Z39" s="25"/>
      <c r="AA39" s="25"/>
    </row>
    <row r="40" spans="3:27" s="3" customFormat="1" ht="13">
      <c r="C40" s="7"/>
      <c r="D40" s="7"/>
      <c r="E40" s="11"/>
      <c r="I40" s="20"/>
      <c r="K40" s="21"/>
      <c r="M40" s="28"/>
      <c r="N40" s="256"/>
      <c r="O40" s="28"/>
      <c r="P40" s="23"/>
      <c r="Q40" s="23"/>
      <c r="R40" s="24"/>
      <c r="S40" s="24"/>
      <c r="T40" s="23"/>
      <c r="V40" s="22"/>
      <c r="W40" s="22"/>
      <c r="X40" s="22"/>
      <c r="Y40" s="22"/>
      <c r="Z40" s="22"/>
      <c r="AA40" s="22"/>
    </row>
    <row r="41" spans="3:27" s="3" customFormat="1" ht="13">
      <c r="C41" s="7"/>
      <c r="D41" s="7"/>
      <c r="I41" s="19"/>
      <c r="M41" s="31"/>
      <c r="N41" s="256"/>
      <c r="O41" s="28"/>
      <c r="P41" s="23"/>
      <c r="Q41" s="23"/>
      <c r="R41" s="24"/>
      <c r="S41" s="24"/>
      <c r="T41" s="23"/>
      <c r="V41" s="22"/>
      <c r="W41" s="22"/>
      <c r="X41" s="22"/>
      <c r="Y41" s="22"/>
      <c r="Z41" s="22"/>
      <c r="AA41" s="22"/>
    </row>
    <row r="42" spans="3:27" s="3" customFormat="1" ht="13">
      <c r="C42" s="7"/>
      <c r="D42" s="7"/>
      <c r="I42" s="19"/>
      <c r="M42" s="29"/>
      <c r="N42" s="256"/>
      <c r="O42" s="28"/>
    </row>
    <row r="43" spans="3:27" s="3" customFormat="1" ht="13">
      <c r="I43" s="19"/>
      <c r="M43" s="29"/>
      <c r="N43" s="256"/>
      <c r="O43" s="28"/>
    </row>
    <row r="44" spans="3:27" s="3" customFormat="1" ht="13">
      <c r="I44" s="19"/>
      <c r="M44" s="29"/>
      <c r="N44" s="256"/>
      <c r="O44" s="28"/>
    </row>
    <row r="45" spans="3:27" s="3" customFormat="1" ht="13">
      <c r="C45" s="7"/>
      <c r="D45" s="7"/>
      <c r="I45" s="19"/>
      <c r="M45" s="28"/>
      <c r="N45" s="256"/>
      <c r="O45" s="28"/>
    </row>
    <row r="46" spans="3:27" s="3" customFormat="1">
      <c r="I46" s="19"/>
      <c r="M46" s="28"/>
      <c r="N46" s="256"/>
      <c r="O46" s="28"/>
    </row>
    <row r="47" spans="3:27" s="3" customFormat="1">
      <c r="I47" s="19"/>
      <c r="M47" s="28"/>
      <c r="N47" s="256"/>
      <c r="O47" s="28"/>
    </row>
    <row r="48" spans="3:27" s="3" customFormat="1" ht="13">
      <c r="I48" s="19"/>
      <c r="M48" s="30"/>
      <c r="N48" s="256"/>
      <c r="O48" s="28"/>
    </row>
    <row r="49" spans="3:15" s="3" customFormat="1" ht="13">
      <c r="C49" s="7"/>
      <c r="D49" s="7"/>
      <c r="I49" s="19"/>
      <c r="M49" s="30"/>
      <c r="N49" s="256"/>
      <c r="O49" s="28"/>
    </row>
    <row r="50" spans="3:15" s="3" customFormat="1" ht="13">
      <c r="I50" s="19"/>
      <c r="M50" s="31"/>
      <c r="N50" s="256"/>
      <c r="O50" s="28"/>
    </row>
    <row r="51" spans="3:15" s="3" customFormat="1" ht="13">
      <c r="I51" s="19"/>
      <c r="M51" s="31"/>
      <c r="N51" s="256"/>
      <c r="O51" s="28"/>
    </row>
    <row r="52" spans="3:15" s="3" customFormat="1" ht="13">
      <c r="I52" s="19"/>
      <c r="M52" s="30"/>
      <c r="N52" s="256"/>
      <c r="O52" s="28"/>
    </row>
    <row r="53" spans="3:15" s="3" customFormat="1" ht="13">
      <c r="I53" s="19"/>
      <c r="M53" s="30"/>
      <c r="N53" s="256"/>
      <c r="O53" s="28"/>
    </row>
    <row r="54" spans="3:15" s="3" customFormat="1" ht="13">
      <c r="I54" s="19"/>
      <c r="M54" s="31"/>
      <c r="N54" s="256"/>
      <c r="O54" s="17"/>
    </row>
    <row r="55" spans="3:15" s="3" customFormat="1" ht="13">
      <c r="I55" s="19"/>
      <c r="M55" s="31"/>
      <c r="N55" s="256"/>
      <c r="O55" s="28"/>
    </row>
    <row r="56" spans="3:15" s="3" customFormat="1" ht="13">
      <c r="I56" s="19"/>
      <c r="M56" s="30"/>
      <c r="N56" s="256"/>
      <c r="O56" s="28"/>
    </row>
    <row r="57" spans="3:15" s="3" customFormat="1" ht="13">
      <c r="I57" s="19"/>
      <c r="M57" s="30"/>
      <c r="N57" s="256"/>
      <c r="O57" s="28"/>
    </row>
    <row r="58" spans="3:15" s="3" customFormat="1" ht="13">
      <c r="I58" s="19"/>
      <c r="M58" s="31"/>
      <c r="N58" s="256"/>
      <c r="O58" s="17"/>
    </row>
    <row r="59" spans="3:15" s="3" customFormat="1" ht="13">
      <c r="I59" s="19"/>
      <c r="M59" s="31"/>
      <c r="N59" s="257"/>
      <c r="O59" s="28"/>
    </row>
    <row r="60" spans="3:15" s="3" customFormat="1" ht="13">
      <c r="I60" s="19"/>
      <c r="M60" s="31"/>
      <c r="N60" s="257"/>
      <c r="O60" s="28"/>
    </row>
    <row r="61" spans="3:15" s="3" customFormat="1" ht="13">
      <c r="I61" s="19"/>
      <c r="M61" s="31"/>
      <c r="N61" s="257"/>
      <c r="O61" s="28"/>
    </row>
    <row r="62" spans="3:15" s="3" customFormat="1" ht="13">
      <c r="I62" s="19"/>
      <c r="M62" s="31"/>
      <c r="N62" s="257"/>
      <c r="O62" s="28"/>
    </row>
    <row r="63" spans="3:15" s="3" customFormat="1" ht="13">
      <c r="I63" s="19"/>
      <c r="M63" s="31"/>
      <c r="N63" s="257"/>
      <c r="O63" s="28"/>
    </row>
    <row r="64" spans="3:15" s="3" customFormat="1" ht="13">
      <c r="I64" s="19"/>
      <c r="M64" s="31"/>
      <c r="N64" s="257"/>
      <c r="O64" s="28"/>
    </row>
    <row r="65" spans="3:15" s="3" customFormat="1" ht="13">
      <c r="I65" s="19"/>
      <c r="M65" s="31"/>
      <c r="N65" s="257"/>
      <c r="O65" s="28"/>
    </row>
    <row r="66" spans="3:15" s="3" customFormat="1" ht="13">
      <c r="M66" s="31"/>
      <c r="N66" s="257"/>
      <c r="O66" s="28"/>
    </row>
    <row r="67" spans="3:15" s="3" customFormat="1" ht="13">
      <c r="M67" s="29"/>
      <c r="N67" s="257"/>
      <c r="O67" s="28"/>
    </row>
    <row r="68" spans="3:15" s="3" customFormat="1" ht="13">
      <c r="M68" s="29"/>
      <c r="N68" s="257"/>
      <c r="O68" s="28"/>
    </row>
    <row r="69" spans="3:15" s="3" customFormat="1" ht="13">
      <c r="C69" s="7"/>
      <c r="D69" s="7"/>
      <c r="M69" s="29"/>
      <c r="N69" s="257"/>
      <c r="O69" s="28"/>
    </row>
    <row r="70" spans="3:15" s="3" customFormat="1">
      <c r="M70" s="28"/>
      <c r="N70" s="257"/>
      <c r="O70" s="28"/>
    </row>
    <row r="71" spans="3:15" s="3" customFormat="1">
      <c r="M71" s="28"/>
      <c r="N71" s="257"/>
      <c r="O71" s="28"/>
    </row>
    <row r="72" spans="3:15">
      <c r="M72" s="28"/>
      <c r="N72" s="257"/>
      <c r="O72" s="28"/>
    </row>
    <row r="73" spans="3:15" ht="13">
      <c r="M73" s="30"/>
      <c r="N73" s="257"/>
      <c r="O73" s="28"/>
    </row>
    <row r="74" spans="3:15" ht="13">
      <c r="M74" s="30"/>
      <c r="N74" s="256"/>
      <c r="O74" s="28"/>
    </row>
    <row r="75" spans="3:15">
      <c r="M75" s="28"/>
      <c r="N75" s="257"/>
      <c r="O75" s="28"/>
    </row>
    <row r="76" spans="3:15">
      <c r="M76" s="28"/>
      <c r="N76" s="257"/>
      <c r="O76" s="28"/>
    </row>
    <row r="77" spans="3:15">
      <c r="M77" s="28"/>
      <c r="N77" s="257"/>
      <c r="O77" s="28"/>
    </row>
  </sheetData>
  <sheetProtection algorithmName="SHA-512" hashValue="BGIp7fhfx05GskVGoZ604xCCXU0H/UpkknrQ0Y1BhVHJL0tb/zDi7ZeU5sfa1rooLaFGaSBeCcrHGB3fgIlONQ==" saltValue="qMSWl2paaTtS7XhLEY5Vc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O43"/>
  <sheetViews>
    <sheetView zoomScaleNormal="100" workbookViewId="0">
      <selection activeCell="E30" sqref="E30"/>
    </sheetView>
  </sheetViews>
  <sheetFormatPr defaultColWidth="9.1796875" defaultRowHeight="12.5"/>
  <cols>
    <col min="1" max="1" width="40.453125" style="337" customWidth="1"/>
    <col min="2" max="2" width="8.81640625" style="357" customWidth="1"/>
    <col min="3" max="3" width="16.6328125" style="337" customWidth="1"/>
    <col min="4" max="4" width="28.453125" style="358" customWidth="1"/>
    <col min="5" max="5" width="26.36328125" style="337" customWidth="1"/>
    <col min="6" max="10" width="17.1796875" style="337" customWidth="1"/>
    <col min="11" max="11" width="12.36328125" style="337" customWidth="1"/>
    <col min="12" max="12" width="16.1796875" style="337" customWidth="1"/>
    <col min="13" max="13" width="6.6328125" style="337" customWidth="1"/>
    <col min="14" max="14" width="9.1796875" style="337"/>
    <col min="15" max="15" width="9.1796875" style="337" hidden="1" customWidth="1"/>
    <col min="16" max="16384" width="9.1796875" style="337"/>
  </cols>
  <sheetData>
    <row r="1" spans="1:15" s="367" customFormat="1" ht="13">
      <c r="A1" s="778" t="s">
        <v>956</v>
      </c>
      <c r="B1" s="389"/>
      <c r="D1" s="561"/>
    </row>
    <row r="2" spans="1:15" s="367" customFormat="1" ht="30" customHeight="1">
      <c r="A2" s="887" t="str">
        <f>IF(ISNA(MATCH("n",O9:O29,0)),"",trans_warning)</f>
        <v/>
      </c>
      <c r="B2" s="887"/>
      <c r="C2" s="887"/>
      <c r="D2" s="887"/>
      <c r="E2" s="887"/>
      <c r="F2" s="887"/>
      <c r="G2" s="887"/>
      <c r="H2" s="887"/>
      <c r="I2" s="887"/>
      <c r="J2" s="887"/>
      <c r="K2" s="887"/>
      <c r="L2" s="887"/>
      <c r="M2" s="887"/>
    </row>
    <row r="3" spans="1:15" ht="26.5" thickBot="1">
      <c r="A3" s="717" t="s">
        <v>957</v>
      </c>
      <c r="B3" s="724" t="str">
        <f>quest2</f>
        <v>Да/Нет</v>
      </c>
      <c r="C3" s="725" t="s">
        <v>958</v>
      </c>
      <c r="D3" s="780"/>
      <c r="E3" s="724"/>
      <c r="F3" s="726"/>
      <c r="G3" s="726"/>
      <c r="H3" s="725"/>
      <c r="I3" s="726"/>
      <c r="J3" s="726"/>
      <c r="K3" s="726"/>
      <c r="L3" s="262"/>
      <c r="M3" s="262"/>
      <c r="N3" s="458"/>
    </row>
    <row r="4" spans="1:15" ht="63.5" thickBot="1">
      <c r="A4" s="826" t="s">
        <v>1219</v>
      </c>
      <c r="B4" s="668" t="s">
        <v>887</v>
      </c>
      <c r="C4" s="665"/>
      <c r="D4" s="665" t="s">
        <v>1218</v>
      </c>
      <c r="E4" s="668" t="s">
        <v>887</v>
      </c>
      <c r="F4" s="888" t="s">
        <v>1221</v>
      </c>
      <c r="G4" s="889"/>
      <c r="H4" s="502"/>
      <c r="I4" s="270"/>
      <c r="J4" s="270"/>
      <c r="K4" s="270"/>
      <c r="L4" s="262"/>
      <c r="M4" s="262"/>
      <c r="N4" s="458"/>
    </row>
    <row r="5" spans="1:15">
      <c r="A5" s="477"/>
      <c r="B5" s="667" t="s">
        <v>1220</v>
      </c>
      <c r="C5" s="391"/>
      <c r="D5" s="503"/>
      <c r="E5" s="503"/>
      <c r="F5" s="503"/>
      <c r="G5" s="503"/>
      <c r="H5" s="503"/>
      <c r="I5" s="392"/>
      <c r="J5" s="392"/>
      <c r="K5" s="392"/>
      <c r="L5" s="392"/>
      <c r="M5" s="262"/>
      <c r="N5" s="458"/>
    </row>
    <row r="6" spans="1:15" s="367" customFormat="1" ht="13">
      <c r="A6" s="478" t="s">
        <v>959</v>
      </c>
      <c r="B6" s="393"/>
      <c r="C6" s="392"/>
      <c r="D6" s="781"/>
      <c r="E6" s="392"/>
      <c r="F6" s="392"/>
      <c r="G6" s="392"/>
      <c r="H6" s="392"/>
      <c r="I6" s="392"/>
      <c r="J6" s="392"/>
      <c r="K6" s="392"/>
      <c r="L6" s="392"/>
      <c r="M6" s="392"/>
      <c r="N6" s="460"/>
    </row>
    <row r="7" spans="1:15" s="358" customFormat="1" ht="51" customHeight="1">
      <c r="A7" s="717" t="s">
        <v>868</v>
      </c>
      <c r="B7" s="719" t="s">
        <v>869</v>
      </c>
      <c r="C7" s="719" t="s">
        <v>870</v>
      </c>
      <c r="D7" s="717"/>
      <c r="E7" s="717"/>
      <c r="F7" s="733" t="s">
        <v>871</v>
      </c>
      <c r="G7" s="881" t="s">
        <v>872</v>
      </c>
      <c r="H7" s="882"/>
      <c r="I7" s="882"/>
      <c r="J7" s="882"/>
      <c r="K7" s="882"/>
      <c r="L7" s="883"/>
      <c r="M7" s="717"/>
      <c r="N7" s="461"/>
    </row>
    <row r="8" spans="1:15" ht="65.5" thickBot="1">
      <c r="A8" s="717" t="s">
        <v>960</v>
      </c>
      <c r="B8" s="724" t="str">
        <f>quest</f>
        <v>Да/Нет/?</v>
      </c>
      <c r="C8" s="721" t="s">
        <v>961</v>
      </c>
      <c r="D8" s="733" t="s">
        <v>875</v>
      </c>
      <c r="E8" s="722" t="s">
        <v>1187</v>
      </c>
      <c r="F8" s="733" t="s">
        <v>876</v>
      </c>
      <c r="G8" s="723" t="s">
        <v>877</v>
      </c>
      <c r="H8" s="723" t="s">
        <v>878</v>
      </c>
      <c r="I8" s="723" t="s">
        <v>879</v>
      </c>
      <c r="J8" s="733" t="s">
        <v>880</v>
      </c>
      <c r="K8" s="733" t="s">
        <v>881</v>
      </c>
      <c r="L8" s="733" t="s">
        <v>882</v>
      </c>
      <c r="M8" s="717" t="s">
        <v>883</v>
      </c>
      <c r="N8" s="321" t="s">
        <v>884</v>
      </c>
    </row>
    <row r="9" spans="1:15" ht="25">
      <c r="A9" s="737" t="s">
        <v>962</v>
      </c>
      <c r="B9" s="614"/>
      <c r="C9" s="376"/>
      <c r="D9" s="765" t="s">
        <v>966</v>
      </c>
      <c r="E9" s="269"/>
      <c r="F9" s="456" t="str">
        <f>IF(OR($B9=yes,$B9=yes),'5-7 Recycl metals'!K6, IF(OR($B9=no,$B9=no),"-", IF($B9=que,que, pres)))</f>
        <v>Присутствует?</v>
      </c>
      <c r="G9" s="457" t="str">
        <f>IF(OR($B9=yes,$B9=yes),'5-7 Recycl metals'!V6, IF(OR($B9=no,$B9=no),"-", IF($B9=que,que, pres)))</f>
        <v>Присутствует?</v>
      </c>
      <c r="H9" s="457" t="str">
        <f>IF(OR($B9=yes,$B9=yes),'5-7 Recycl metals'!W6, IF(OR($B9=no,$B9=no),"-", IF($B9=que,que, pres)))</f>
        <v>Присутствует?</v>
      </c>
      <c r="I9" s="457" t="str">
        <f>IF(OR($B9=yes,$B9=yes),'5-7 Recycl metals'!X6, IF(OR($B9=no,$B9=no),"-", IF($B9=que,que, pres)))</f>
        <v>Присутствует?</v>
      </c>
      <c r="J9" s="457" t="str">
        <f>IF(OR($B9=yes,$B9=yes),'5-7 Recycl metals'!Y6, IF(OR($B9=no,$B9=no),"-", IF($B9=que,que, pres)))</f>
        <v>Присутствует?</v>
      </c>
      <c r="K9" s="457" t="str">
        <f>IF(OR($B9=yes,$B9=yes),'5-7 Recycl metals'!Z6, IF(OR($B9=no,$B9=no),"-", IF($B9=que,que, pres)))</f>
        <v>Присутствует?</v>
      </c>
      <c r="L9" s="457" t="str">
        <f>IF(OR($B9=yes,$B9=yes),'5-7 Recycl metals'!AA6, IF(OR($B9=no,$B9=no),"-", IF($B9=que,que, pres)))</f>
        <v>Присутствует?</v>
      </c>
      <c r="M9" s="271" t="s">
        <v>275</v>
      </c>
      <c r="N9" s="458"/>
      <c r="O9" s="337" t="str">
        <f>INDEX('Range-thresholds'!$G$6:$G$73,MATCH(A9,'Range-thresholds'!$A$6:$A$73,0))</f>
        <v/>
      </c>
    </row>
    <row r="10" spans="1:15" ht="25.5" thickBot="1">
      <c r="A10" s="737" t="s">
        <v>963</v>
      </c>
      <c r="B10" s="615"/>
      <c r="C10" s="397"/>
      <c r="D10" s="765" t="s">
        <v>967</v>
      </c>
      <c r="E10" s="269"/>
      <c r="F10" s="456" t="str">
        <f>IF(OR($B10=yes,$B10=yes),'5-7 Recycl metals'!K8, IF(OR($B10=no,$B10=no),"-", IF($B10=que,que, pres)))</f>
        <v>Присутствует?</v>
      </c>
      <c r="G10" s="457" t="str">
        <f>IF(OR($B10=yes,$B10=yes),'5-7 Recycl metals'!V8, IF(OR($B10=no,$B10=no),"-", IF($B10=que,que, pres)))</f>
        <v>Присутствует?</v>
      </c>
      <c r="H10" s="457" t="str">
        <f>IF(OR($B10=yes,$B10=yes),'5-7 Recycl metals'!W8, IF(OR($B10=no,$B10=no),"-", IF($B10=que,que, pres)))</f>
        <v>Присутствует?</v>
      </c>
      <c r="I10" s="457" t="str">
        <f>IF(OR($B10=yes,$B10=yes),'5-7 Recycl metals'!X8, IF(OR($B10=no,$B10=no),"-", IF($B10=que,que, pres)))</f>
        <v>Присутствует?</v>
      </c>
      <c r="J10" s="457" t="str">
        <f>IF(OR($B10=yes,$B10=yes),'5-7 Recycl metals'!Y8, IF(OR($B10=no,$B10=no),"-", IF($B10=que,que, pres)))</f>
        <v>Присутствует?</v>
      </c>
      <c r="K10" s="457" t="str">
        <f>IF(OR($B10=yes,$B10=yes),'5-7 Recycl metals'!Z8, IF(OR($B10=no,$B10=no),"-", IF($B10=que,que, pres)))</f>
        <v>Присутствует?</v>
      </c>
      <c r="L10" s="457" t="str">
        <f>IF(OR($B10=yes,$B10=yes),'5-7 Recycl metals'!AA8, IF(OR($B10=no,$B10=no),"-", IF($B10=que,que, pres)))</f>
        <v>Присутствует?</v>
      </c>
      <c r="M10" s="271" t="s">
        <v>377</v>
      </c>
      <c r="N10" s="458"/>
      <c r="O10" s="337" t="str">
        <f>INDEX('Range-thresholds'!$G$6:$G$73,MATCH(A10,'Range-thresholds'!$A$6:$A$73,0))</f>
        <v/>
      </c>
    </row>
    <row r="11" spans="1:15">
      <c r="A11" s="753"/>
      <c r="B11" s="395"/>
      <c r="C11" s="396"/>
      <c r="D11" s="777"/>
      <c r="E11" s="271"/>
      <c r="F11" s="456"/>
      <c r="G11" s="457"/>
      <c r="H11" s="457"/>
      <c r="I11" s="457"/>
      <c r="J11" s="457"/>
      <c r="K11" s="457"/>
      <c r="L11" s="457"/>
      <c r="M11" s="271"/>
      <c r="N11" s="458"/>
    </row>
    <row r="12" spans="1:15" ht="13.5" thickBot="1">
      <c r="A12" s="735" t="s">
        <v>964</v>
      </c>
      <c r="B12" s="266"/>
      <c r="C12" s="345"/>
      <c r="D12" s="777"/>
      <c r="E12" s="271"/>
      <c r="F12" s="456"/>
      <c r="G12" s="457"/>
      <c r="H12" s="457"/>
      <c r="I12" s="457"/>
      <c r="J12" s="457"/>
      <c r="K12" s="457"/>
      <c r="L12" s="457"/>
      <c r="M12" s="271"/>
      <c r="N12" s="458"/>
    </row>
    <row r="13" spans="1:15" ht="13" thickBot="1">
      <c r="A13" s="737" t="s">
        <v>965</v>
      </c>
      <c r="B13" s="617"/>
      <c r="C13" s="400"/>
      <c r="D13" s="765" t="s">
        <v>968</v>
      </c>
      <c r="E13" s="661"/>
      <c r="F13" s="456" t="str">
        <f>IF(OR($B13=yes,$B13=yes),'5-8 Waste incin'!K7, IF(OR($B13=no,$B13=no),"-", IF($B13=que,que, pres)))</f>
        <v>Присутствует?</v>
      </c>
      <c r="G13" s="457" t="str">
        <f>IF(OR($B13=yes,$B13=yes),SUM('5-8 Waste incin'!V7:V10), IF(OR($B13=no,$B13=no),"-", IF($B13=que,que, pres)))</f>
        <v>Присутствует?</v>
      </c>
      <c r="H13" s="457" t="str">
        <f>IF(OR($B13=yes,$B13=yes),SUM('5-8 Waste incin'!W7:W10), IF(OR($B13=no,$B13=no),"-", IF($B13=que,que, pres)))</f>
        <v>Присутствует?</v>
      </c>
      <c r="I13" s="457" t="str">
        <f>IF(OR($B13=yes,$B13=yes),SUM('5-8 Waste incin'!X7:X10), IF(OR($B13=no,$B13=no),"-", IF($B13=que,que, pres)))</f>
        <v>Присутствует?</v>
      </c>
      <c r="J13" s="457" t="str">
        <f>IF(OR($B13=yes,$B13=yes),SUM('5-8 Waste incin'!Y7:Y10), IF(OR($B13=no,$B13=no),"-", IF($B13=que,que, pres)))</f>
        <v>Присутствует?</v>
      </c>
      <c r="K13" s="457" t="str">
        <f>IF(OR($B13=yes,$B13=yes),SUM('5-8 Waste incin'!Z7:Z10), IF(OR($B13=no,$B13=no),"-", IF($B13=que,que, pres)))</f>
        <v>Присутствует?</v>
      </c>
      <c r="L13" s="457" t="str">
        <f>IF(OR($B13=yes,$B13=yes),SUM('5-8 Waste incin'!AA7:AA10), IF(OR($B13=no,$B13=no),"-", IF($B13=que,que, pres)))</f>
        <v>Присутствует?</v>
      </c>
      <c r="M13" s="271" t="s">
        <v>196</v>
      </c>
      <c r="N13" s="459"/>
      <c r="O13" s="337" t="str">
        <f>INDEX('Range-thresholds'!$G$6:$G$73,MATCH(A13,'Range-thresholds'!$A$6:$A$73,0))</f>
        <v/>
      </c>
    </row>
    <row r="14" spans="1:15" ht="104.25" customHeight="1">
      <c r="A14" s="268"/>
      <c r="B14" s="271"/>
      <c r="C14" s="271"/>
      <c r="D14" s="654"/>
      <c r="E14" s="655" t="s">
        <v>1190</v>
      </c>
      <c r="F14" s="655"/>
      <c r="G14" s="655" t="s">
        <v>1222</v>
      </c>
      <c r="H14" s="655" t="s">
        <v>1223</v>
      </c>
      <c r="I14" s="655" t="s">
        <v>1240</v>
      </c>
      <c r="J14" s="655" t="s">
        <v>1224</v>
      </c>
      <c r="K14" s="457"/>
      <c r="L14" s="457"/>
      <c r="M14" s="271"/>
      <c r="N14" s="459"/>
    </row>
    <row r="15" spans="1:15" ht="25.5" thickBot="1">
      <c r="A15" s="268"/>
      <c r="B15" s="271"/>
      <c r="C15" s="271"/>
      <c r="D15" s="656" t="s">
        <v>1198</v>
      </c>
      <c r="E15" s="655" t="s">
        <v>1191</v>
      </c>
      <c r="F15" s="655"/>
      <c r="G15" s="658">
        <f>100-H15-I15-J15-K15-L15</f>
        <v>0</v>
      </c>
      <c r="H15" s="662">
        <v>100</v>
      </c>
      <c r="I15" s="662"/>
      <c r="J15" s="662"/>
      <c r="K15" s="457"/>
      <c r="L15" s="457"/>
      <c r="M15" s="701" t="s">
        <v>1257</v>
      </c>
      <c r="N15" s="459"/>
    </row>
    <row r="16" spans="1:15" ht="13" thickBot="1">
      <c r="A16" s="737" t="s">
        <v>969</v>
      </c>
      <c r="B16" s="617"/>
      <c r="C16" s="400"/>
      <c r="D16" s="534" t="s">
        <v>970</v>
      </c>
      <c r="E16" s="661"/>
      <c r="F16" s="456" t="str">
        <f>IF(OR($B16=yes,$B16=yes),'5-8 Waste incin'!K13, IF(OR($B16=no,$B16=no),"-", IF($B16=que,que, pres)))</f>
        <v>Присутствует?</v>
      </c>
      <c r="G16" s="457" t="str">
        <f>IF(OR($B16=yes,$B16=yes),SUM('5-8 Waste incin'!V13:V16), IF(OR($B16=no,$B16=no),"-", IF($B16=que,que, pres)))</f>
        <v>Присутствует?</v>
      </c>
      <c r="H16" s="457" t="str">
        <f>IF(OR($B16=yes,$B16=yes),SUM('5-8 Waste incin'!W13:W16), IF(OR($B16=no,$B16=no),"-", IF($B16=que,que, pres)))</f>
        <v>Присутствует?</v>
      </c>
      <c r="I16" s="457" t="str">
        <f>IF(OR($B16=yes,$B16=yes),SUM('5-8 Waste incin'!X13:X16), IF(OR($B16=no,$B16=no),"-", IF($B16=que,que, pres)))</f>
        <v>Присутствует?</v>
      </c>
      <c r="J16" s="457" t="str">
        <f>IF(OR($B16=yes,$B16=yes),SUM('5-8 Waste incin'!Y13:Y16), IF(OR($B16=no,$B16=no),"-", IF($B16=que,que, pres)))</f>
        <v>Присутствует?</v>
      </c>
      <c r="K16" s="457" t="str">
        <f>IF(OR($B16=yes,$B16=yes),SUM('5-8 Waste incin'!Z13:Z16), IF(OR($B16=no,$B16=no),"-", IF($B16=que,que, pres)))</f>
        <v>Присутствует?</v>
      </c>
      <c r="L16" s="457" t="str">
        <f>IF(OR($B16=yes,$B16=yes),SUM('5-8 Waste incin'!AA13:AA16), IF(OR($B16=no,$B16=no),"-", IF($B16=que,que, pres)))</f>
        <v>Присутствует?</v>
      </c>
      <c r="M16" s="271" t="s">
        <v>200</v>
      </c>
      <c r="N16" s="458"/>
    </row>
    <row r="17" spans="1:14" ht="104.25" customHeight="1">
      <c r="A17" s="268"/>
      <c r="B17" s="271"/>
      <c r="C17" s="271"/>
      <c r="D17" s="654"/>
      <c r="E17" s="655" t="s">
        <v>1190</v>
      </c>
      <c r="F17" s="655"/>
      <c r="G17" s="655" t="s">
        <v>1222</v>
      </c>
      <c r="H17" s="655" t="s">
        <v>1223</v>
      </c>
      <c r="I17" s="655" t="s">
        <v>1240</v>
      </c>
      <c r="J17" s="655" t="s">
        <v>1224</v>
      </c>
      <c r="K17" s="457"/>
      <c r="L17" s="457"/>
      <c r="M17" s="271"/>
      <c r="N17" s="458"/>
    </row>
    <row r="18" spans="1:14" ht="25.5" thickBot="1">
      <c r="A18" s="268"/>
      <c r="B18" s="271"/>
      <c r="C18" s="271"/>
      <c r="D18" s="656" t="s">
        <v>1198</v>
      </c>
      <c r="E18" s="655" t="s">
        <v>1191</v>
      </c>
      <c r="F18" s="655"/>
      <c r="G18" s="658">
        <f>100-H18-I18-J18-K18-L18</f>
        <v>0</v>
      </c>
      <c r="H18" s="662">
        <v>100</v>
      </c>
      <c r="I18" s="662"/>
      <c r="J18" s="662"/>
      <c r="K18" s="457"/>
      <c r="L18" s="457"/>
      <c r="M18" s="701" t="s">
        <v>1257</v>
      </c>
      <c r="N18" s="459"/>
    </row>
    <row r="19" spans="1:14" ht="14.25" customHeight="1" thickBot="1">
      <c r="A19" s="737" t="s">
        <v>971</v>
      </c>
      <c r="B19" s="617"/>
      <c r="C19" s="400"/>
      <c r="D19" s="534" t="s">
        <v>970</v>
      </c>
      <c r="E19" s="661"/>
      <c r="F19" s="456" t="str">
        <f>IF(OR($B19=yes,$B19=yes),'5-8 Waste incin'!K19, IF(OR($B19=no,$B19=no),"-", IF($B19=que,que, pres)))</f>
        <v>Присутствует?</v>
      </c>
      <c r="G19" s="457" t="str">
        <f>IF(OR($B19=yes,$B19=yes),SUM('5-8 Waste incin'!V19:V22), IF(OR($B19=no,$B19=no),"-", IF($B19=que,que, pres)))</f>
        <v>Присутствует?</v>
      </c>
      <c r="H19" s="457" t="str">
        <f>IF(OR($B19=yes,$B19=yes),SUM('5-8 Waste incin'!W19:W22), IF(OR($B19=no,$B19=no),"-", IF($B19=que,que, pres)))</f>
        <v>Присутствует?</v>
      </c>
      <c r="I19" s="457" t="str">
        <f>IF(OR($B19=yes,$B19=yes),SUM('5-8 Waste incin'!X19:X22), IF(OR($B19=no,$B19=no),"-", IF($B19=que,que, pres)))</f>
        <v>Присутствует?</v>
      </c>
      <c r="J19" s="457" t="str">
        <f>IF(OR($B19=yes,$B19=yes),SUM('5-8 Waste incin'!Y19:Y22), IF(OR($B19=no,$B19=no),"-", IF($B19=que,que, pres)))</f>
        <v>Присутствует?</v>
      </c>
      <c r="K19" s="457" t="str">
        <f>IF(OR($B19=yes,$B19=yes),'5-8 Waste incin'!Z18, IF(OR($B19=no,$B19=no),"-", IF($B19=que,que, pres)))</f>
        <v>Присутствует?</v>
      </c>
      <c r="L19" s="457" t="str">
        <f>IF(OR($B19=yes,$B19=yes),'5-8 Waste incin'!AA18, IF(OR($B19=no,$B19=no),"-", IF($B19=que,que, pres)))</f>
        <v>Присутствует?</v>
      </c>
      <c r="M19" s="271" t="s">
        <v>205</v>
      </c>
      <c r="N19" s="458"/>
    </row>
    <row r="20" spans="1:14" ht="104.25" customHeight="1">
      <c r="A20" s="273"/>
      <c r="B20" s="271"/>
      <c r="C20" s="271"/>
      <c r="D20" s="654"/>
      <c r="E20" s="655" t="s">
        <v>1190</v>
      </c>
      <c r="F20" s="655"/>
      <c r="G20" s="655" t="s">
        <v>1222</v>
      </c>
      <c r="H20" s="655" t="s">
        <v>1223</v>
      </c>
      <c r="I20" s="655" t="s">
        <v>1240</v>
      </c>
      <c r="J20" s="655" t="s">
        <v>1224</v>
      </c>
      <c r="K20" s="457"/>
      <c r="L20" s="457"/>
      <c r="M20" s="271"/>
      <c r="N20" s="458"/>
    </row>
    <row r="21" spans="1:14" ht="25.5" thickBot="1">
      <c r="A21" s="273"/>
      <c r="B21" s="271"/>
      <c r="C21" s="271"/>
      <c r="D21" s="656" t="s">
        <v>1198</v>
      </c>
      <c r="E21" s="655" t="s">
        <v>1191</v>
      </c>
      <c r="F21" s="655"/>
      <c r="G21" s="658">
        <f>100-H21-I21-J21-K21-L21</f>
        <v>100</v>
      </c>
      <c r="H21" s="662"/>
      <c r="I21" s="662"/>
      <c r="J21" s="662"/>
      <c r="K21" s="457"/>
      <c r="L21" s="457"/>
      <c r="M21" s="701" t="s">
        <v>1257</v>
      </c>
      <c r="N21" s="459"/>
    </row>
    <row r="22" spans="1:14">
      <c r="A22" s="737" t="s">
        <v>972</v>
      </c>
      <c r="B22" s="614"/>
      <c r="C22" s="376"/>
      <c r="D22" s="534" t="s">
        <v>970</v>
      </c>
      <c r="E22" s="269"/>
      <c r="F22" s="456" t="str">
        <f>IF(OR($B22=yes,$B22=yes),'5-8 Waste incin'!K24, IF(OR($B22=no,$B22=no),"-", IF($B22=que,que, pres)))</f>
        <v>Присутствует?</v>
      </c>
      <c r="G22" s="457" t="str">
        <f>IF(OR($B22=yes,$B22=yes),'5-8 Waste incin'!V24, IF(OR($B22=no,$B22=no),"-", IF($B22=que,que, pres)))</f>
        <v>Присутствует?</v>
      </c>
      <c r="H22" s="457" t="str">
        <f>IF(OR($B22=yes,$B22=yes),'5-8 Waste incin'!W24, IF(OR($B22=no,$B22=no),"-", IF($B22=que,que, pres)))</f>
        <v>Присутствует?</v>
      </c>
      <c r="I22" s="457" t="str">
        <f>IF(OR($B22=yes,$B22=yes),'5-8 Waste incin'!X24, IF(OR($B22=no,$B22=no),"-", IF($B22=que,que, pres)))</f>
        <v>Присутствует?</v>
      </c>
      <c r="J22" s="457" t="str">
        <f>IF(OR($B22=yes,$B22=yes),'5-8 Waste incin'!Y24, IF(OR($B22=no,$B22=no),"-", IF($B22=que,que, pres)))</f>
        <v>Присутствует?</v>
      </c>
      <c r="K22" s="457" t="str">
        <f>IF(OR($B22=yes,$B22=yes),'5-8 Waste incin'!Z24, IF(OR($B22=no,$B22=no),"-", IF($B22=que,que, pres)))</f>
        <v>Присутствует?</v>
      </c>
      <c r="L22" s="457" t="str">
        <f>IF(OR($B22=yes,$B22=yes),'5-8 Waste incin'!AA24, IF(OR($B22=no,$B22=no),"-", IF($B22=que,que, pres)))</f>
        <v>Присутствует?</v>
      </c>
      <c r="M22" s="271" t="s">
        <v>207</v>
      </c>
      <c r="N22" s="458"/>
    </row>
    <row r="23" spans="1:14" ht="25.5" thickBot="1">
      <c r="A23" s="737" t="s">
        <v>973</v>
      </c>
      <c r="B23" s="615"/>
      <c r="C23" s="397"/>
      <c r="D23" s="765" t="s">
        <v>974</v>
      </c>
      <c r="E23" s="346"/>
      <c r="F23" s="456" t="str">
        <f>IF(OR($B23=yes,$B23=yes),'5-8 Waste incin'!K26, IF(OR($B23=no,$B23=no),"-", IF($B23=que,que, pres)))</f>
        <v>Присутствует?</v>
      </c>
      <c r="G23" s="457" t="str">
        <f>IF(OR($B23=yes,$B23=yes),'5-8 Waste incin'!V26, IF(OR($B23=no,$B23=no),"-", IF($B23=que,que, pres)))</f>
        <v>Присутствует?</v>
      </c>
      <c r="H23" s="457" t="str">
        <f>IF(OR($B23=yes,$B23=yes),'5-8 Waste incin'!W26, IF(OR($B23=no,$B23=no),"-", IF($B23=que,que, pres)))</f>
        <v>Присутствует?</v>
      </c>
      <c r="I23" s="457" t="str">
        <f>IF(OR($B23=yes,$B23=yes),'5-8 Waste incin'!X26, IF(OR($B23=no,$B23=no),"-", IF($B23=que,que, pres)))</f>
        <v>Присутствует?</v>
      </c>
      <c r="J23" s="457" t="str">
        <f>IF(OR($B23=yes,$B23=yes),'5-8 Waste incin'!Y26, IF(OR($B23=no,$B23=no),"-", IF($B23=que,que, pres)))</f>
        <v>Присутствует?</v>
      </c>
      <c r="K23" s="457" t="str">
        <f>IF(OR($B23=yes,$B23=yes),'5-8 Waste incin'!Z26, IF(OR($B23=no,$B23=no),"-", IF($B23=que,que, pres)))</f>
        <v>Присутствует?</v>
      </c>
      <c r="L23" s="457" t="str">
        <f>IF(OR($B23=yes,$B23=yes),'5-8 Waste incin'!AA26, IF(OR($B23=no,$B23=no),"-", IF($B23=que,que, pres)))</f>
        <v>Присутствует?</v>
      </c>
      <c r="M23" s="271" t="s">
        <v>209</v>
      </c>
      <c r="N23" s="458"/>
    </row>
    <row r="24" spans="1:14">
      <c r="A24" s="263"/>
      <c r="B24" s="347"/>
      <c r="C24" s="348"/>
      <c r="D24" s="365"/>
      <c r="E24" s="271"/>
      <c r="F24" s="456"/>
      <c r="G24" s="457"/>
      <c r="H24" s="457"/>
      <c r="I24" s="457"/>
      <c r="J24" s="457"/>
      <c r="K24" s="457"/>
      <c r="L24" s="457"/>
      <c r="M24" s="271"/>
      <c r="N24" s="458"/>
    </row>
    <row r="25" spans="1:14" ht="26.5" thickBot="1">
      <c r="A25" s="265" t="s">
        <v>975</v>
      </c>
      <c r="B25" s="344"/>
      <c r="C25" s="345"/>
      <c r="D25" s="365"/>
      <c r="E25" s="271"/>
      <c r="F25" s="456"/>
      <c r="G25" s="457"/>
      <c r="H25" s="457"/>
      <c r="I25" s="457"/>
      <c r="J25" s="457"/>
      <c r="K25" s="457"/>
      <c r="L25" s="457"/>
      <c r="M25" s="271"/>
      <c r="N25" s="458"/>
    </row>
    <row r="26" spans="1:14" ht="25">
      <c r="A26" s="273" t="s">
        <v>976</v>
      </c>
      <c r="B26" s="614"/>
      <c r="C26" s="376"/>
      <c r="D26" s="765" t="s">
        <v>979</v>
      </c>
      <c r="E26" s="346"/>
      <c r="F26" s="456" t="str">
        <f>IF(OR($B26=yes,$B26=yes),'5-9 Waste depo and water treatm'!K6, IF(OR($B26=no,$B26=no),"-", IF($B26=que,que, pres)))</f>
        <v>Присутствует?</v>
      </c>
      <c r="G26" s="457" t="str">
        <f>IF(OR($B26=yes,$B26=yes),'5-9 Waste depo and water treatm'!V6, IF(OR($B26=no,$B26=no),"-", IF($B26=que,que, pres)))</f>
        <v>Присутствует?</v>
      </c>
      <c r="H26" s="457" t="str">
        <f>IF(OR($B26=yes,$B26=yes),'5-9 Waste depo and water treatm'!W6, IF(OR($B26=no,$B26=no),"-", IF($B26=que,que, pres)))</f>
        <v>Присутствует?</v>
      </c>
      <c r="I26" s="457" t="str">
        <f>IF(OR($B26=yes,$B26=yes),'5-9 Waste depo and water treatm'!X6, IF(OR($B26=no,$B26=no),"-", IF($B26=que,que, pres)))</f>
        <v>Присутствует?</v>
      </c>
      <c r="J26" s="457" t="str">
        <f>IF(OR($B26=yes,$B26=yes),'5-9 Waste depo and water treatm'!Y6, IF(OR($B26=no,$B26=no),"-", IF($B26=que,que, pres)))</f>
        <v>Присутствует?</v>
      </c>
      <c r="K26" s="457" t="str">
        <f>IF(OR($B26=yes,$B26=yes),'5-9 Waste depo and water treatm'!Z6, IF(OR($B26=no,$B26=no),"-", IF($B26=que,que, pres)))</f>
        <v>Присутствует?</v>
      </c>
      <c r="L26" s="457" t="str">
        <f>IF(OR($B26=yes,$B26=yes),'5-9 Waste depo and water treatm'!AA6, IF(OR($B26=no,$B26=no),"-", IF($B26=que,que, pres)))</f>
        <v>Присутствует?</v>
      </c>
      <c r="M26" s="271" t="s">
        <v>291</v>
      </c>
      <c r="N26" s="458"/>
    </row>
    <row r="27" spans="1:14" ht="25.5" thickBot="1">
      <c r="A27" s="273" t="s">
        <v>977</v>
      </c>
      <c r="B27" s="615"/>
      <c r="C27" s="397"/>
      <c r="D27" s="765" t="s">
        <v>980</v>
      </c>
      <c r="E27" s="346"/>
      <c r="F27" s="456" t="str">
        <f>IF(OR($B27=yes,$B27=yes),'5-9 Waste depo and water treatm'!K13, IF(OR($B27=no,$B27=no),"-", IF($B27=que,que, pres)))</f>
        <v>Присутствует?</v>
      </c>
      <c r="G27" s="457" t="str">
        <f>IF(OR($B27=yes,$B27=yes),'5-9 Waste depo and water treatm'!V13, IF(OR($B27=no,$B27=no),"-", IF($B27=que,que, pres)))</f>
        <v>Присутствует?</v>
      </c>
      <c r="H27" s="457" t="str">
        <f>IF(OR($B27=yes,$B27=yes),'5-9 Waste depo and water treatm'!W13, IF(OR($B27=no,$B27=no),"-", IF($B27=que,que, pres)))</f>
        <v>Присутствует?</v>
      </c>
      <c r="I27" s="457" t="str">
        <f>IF(OR($B27=yes,$B27=yes),'5-9 Waste depo and water treatm'!X13, IF(OR($B27=no,$B27=no),"-", IF($B27=que,que, pres)))</f>
        <v>Присутствует?</v>
      </c>
      <c r="J27" s="457" t="str">
        <f>IF(OR($B27=yes,$B27=yes),'5-9 Waste depo and water treatm'!Y13, IF(OR($B27=no,$B27=no),"-", IF($B27=que,que, pres)))</f>
        <v>Присутствует?</v>
      </c>
      <c r="K27" s="457" t="str">
        <f>IF(OR($B27=yes,$B27=yes),'5-9 Waste depo and water treatm'!Z13, IF(OR($B27=no,$B27=no),"-", IF($B27=que,que, pres)))</f>
        <v>Присутствует?</v>
      </c>
      <c r="L27" s="457" t="str">
        <f>IF(OR($B27=yes,$B27=yes),'5-9 Waste depo and water treatm'!AA13, IF(OR($B27=no,$B27=no),"-", IF($B27=que,que, pres)))</f>
        <v>Присутствует?</v>
      </c>
      <c r="M27" s="271" t="s">
        <v>294</v>
      </c>
      <c r="N27" s="458"/>
    </row>
    <row r="28" spans="1:14" ht="13" thickBot="1">
      <c r="A28" s="365"/>
      <c r="B28" s="398"/>
      <c r="C28" s="399"/>
      <c r="D28" s="777"/>
      <c r="E28" s="271"/>
      <c r="F28" s="456"/>
      <c r="G28" s="457"/>
      <c r="H28" s="457"/>
      <c r="I28" s="457"/>
      <c r="J28" s="457"/>
      <c r="K28" s="457"/>
      <c r="L28" s="457"/>
      <c r="M28" s="271"/>
      <c r="N28" s="458"/>
    </row>
    <row r="29" spans="1:14" ht="25.5" thickBot="1">
      <c r="A29" s="477" t="s">
        <v>978</v>
      </c>
      <c r="B29" s="617"/>
      <c r="C29" s="400"/>
      <c r="D29" s="765" t="s">
        <v>981</v>
      </c>
      <c r="E29" s="661"/>
      <c r="F29" s="647" t="str">
        <f>IF(OR($B29=yes,$B29=yes),'5-9 Waste depo and water treatm'!K16, IF(OR($B29=no,$B29=no),"-", IF($B29=que,que, pres)))</f>
        <v>Присутствует?</v>
      </c>
      <c r="G29" s="648" t="str">
        <f>IF(OR($B29=yes,$B29=yes),SUM('5-9 Waste depo and water treatm'!V16:V19), IF(OR($B29=no,$B29=no),"-", IF($B29=que,que, pres)))</f>
        <v>Присутствует?</v>
      </c>
      <c r="H29" s="648" t="str">
        <f>IF(OR($B29=yes,$B29=yes),SUM('5-9 Waste depo and water treatm'!W16:W19), IF(OR($B29=no,$B29=no),"-", IF($B29=que,que, pres)))</f>
        <v>Присутствует?</v>
      </c>
      <c r="I29" s="648" t="str">
        <f>IF(OR($B29=yes,$B29=yes),SUM('5-9 Waste depo and water treatm'!X16:X19), IF(OR($B29=no,$B29=no),"-", IF($B29=que,que, pres)))</f>
        <v>Присутствует?</v>
      </c>
      <c r="J29" s="648" t="str">
        <f>IF(OR($B29=yes,$B29=yes),SUM('5-9 Waste depo and water treatm'!Y16:Y19), IF(OR($B29=no,$B29=no),"-", IF($B29=que,que, pres)))</f>
        <v>Присутствует?</v>
      </c>
      <c r="K29" s="648" t="str">
        <f>IF(OR($B29=yes,$B29=yes),SUM('5-9 Waste depo and water treatm'!Z16:Z19), IF(OR($B29=no,$B29=no),"-", IF($B29=que,que, pres)))</f>
        <v>Присутствует?</v>
      </c>
      <c r="L29" s="648" t="str">
        <f>IF(OR($B29=yes,$B29=yes),SUM('5-9 Waste depo and water treatm'!AA16:AA19), IF(OR($B29=no,$B29=no),"-", IF($B29=que,que, pres)))</f>
        <v>Присутствует?</v>
      </c>
      <c r="M29" s="660" t="s">
        <v>295</v>
      </c>
      <c r="N29" s="458"/>
    </row>
    <row r="30" spans="1:14" ht="100">
      <c r="A30" s="365"/>
      <c r="B30" s="271"/>
      <c r="C30" s="271"/>
      <c r="D30" s="654"/>
      <c r="E30" s="655" t="s">
        <v>1190</v>
      </c>
      <c r="F30" s="655"/>
      <c r="G30" s="655" t="s">
        <v>1225</v>
      </c>
      <c r="H30" s="655" t="s">
        <v>1226</v>
      </c>
      <c r="I30" s="655" t="s">
        <v>1227</v>
      </c>
      <c r="J30" s="655" t="s">
        <v>1228</v>
      </c>
      <c r="K30" s="457"/>
      <c r="L30" s="457"/>
      <c r="M30" s="271"/>
      <c r="N30" s="458"/>
    </row>
    <row r="31" spans="1:14" ht="25">
      <c r="A31" s="365"/>
      <c r="B31" s="271"/>
      <c r="C31" s="271"/>
      <c r="D31" s="656" t="s">
        <v>1198</v>
      </c>
      <c r="E31" s="655" t="s">
        <v>1191</v>
      </c>
      <c r="F31" s="655"/>
      <c r="G31" s="658">
        <f>100-H31-I31-J31-K31-L31</f>
        <v>0</v>
      </c>
      <c r="H31" s="662">
        <v>100</v>
      </c>
      <c r="I31" s="662"/>
      <c r="J31" s="662"/>
      <c r="K31" s="457"/>
      <c r="L31" s="457"/>
      <c r="M31" s="701" t="s">
        <v>1257</v>
      </c>
      <c r="N31" s="459"/>
    </row>
    <row r="34" spans="1:9">
      <c r="A34" s="593" t="s">
        <v>722</v>
      </c>
    </row>
    <row r="35" spans="1:9">
      <c r="A35" s="593"/>
    </row>
    <row r="36" spans="1:9" ht="28.5" customHeight="1">
      <c r="A36" s="890" t="s">
        <v>1260</v>
      </c>
      <c r="B36" s="891"/>
      <c r="C36" s="891"/>
      <c r="D36" s="891"/>
      <c r="E36" s="891"/>
      <c r="F36" s="679"/>
      <c r="G36" s="679"/>
      <c r="H36" s="679"/>
      <c r="I36" s="680"/>
    </row>
    <row r="37" spans="1:9" ht="25">
      <c r="A37" s="681" t="s">
        <v>1229</v>
      </c>
      <c r="B37" s="677"/>
      <c r="C37" s="678">
        <f>SUM('Уровень 1 - Суммарный итог'!E61,'Уровень 1 - Суммарный итог'!E65,'Уровень 1 - Суммарный итог'!E67,'Уровень 1 - Суммарный итог'!E68)</f>
        <v>0</v>
      </c>
      <c r="D37" s="781"/>
      <c r="E37" s="392"/>
      <c r="F37" s="392"/>
      <c r="G37" s="392"/>
      <c r="H37" s="392"/>
      <c r="I37" s="429"/>
    </row>
    <row r="38" spans="1:9" ht="37.5">
      <c r="A38" s="681" t="s">
        <v>1230</v>
      </c>
      <c r="B38" s="677"/>
      <c r="C38" s="678">
        <f>SUM('Уровень 1 - Суммарный итог'!J26,'Уровень 1 - Суммарный итог'!J27,'Уровень 1 - Суммарный итог'!J32:J56)</f>
        <v>0</v>
      </c>
      <c r="D38" s="781"/>
      <c r="E38" s="392"/>
      <c r="F38" s="392"/>
      <c r="G38" s="392"/>
      <c r="H38" s="392"/>
      <c r="I38" s="429"/>
    </row>
    <row r="39" spans="1:9" ht="25">
      <c r="A39" s="682" t="s">
        <v>1231</v>
      </c>
      <c r="B39" s="683"/>
      <c r="C39" s="684" t="str">
        <f>IF(C37&gt;2*C38,"Проведенные расчеты показывают, что стандартные вводные коэффициенты  для общих отходов могут чрезмерно оценить выбросы ртути из этих источников.","Проведенные расчеты показывают, что стандартные вводные коэффициенты  для общих отходов не обязательно переоценивают выбросы ртути из этих источников.")</f>
        <v>Проведенные расчеты показывают, что стандартные вводные коэффициенты  для общих отходов не обязательно переоценивают выбросы ртути из этих источников.</v>
      </c>
      <c r="D39" s="782"/>
      <c r="E39" s="684"/>
      <c r="F39" s="684"/>
      <c r="G39" s="684"/>
      <c r="H39" s="684"/>
      <c r="I39" s="486"/>
    </row>
    <row r="40" spans="1:9" ht="31.5" customHeight="1">
      <c r="A40" s="890" t="s">
        <v>1261</v>
      </c>
      <c r="B40" s="891"/>
      <c r="C40" s="891"/>
      <c r="D40" s="891"/>
      <c r="E40" s="891"/>
      <c r="F40" s="679"/>
      <c r="G40" s="679"/>
      <c r="H40" s="679"/>
      <c r="I40" s="680"/>
    </row>
    <row r="41" spans="1:9" ht="25">
      <c r="A41" s="681" t="s">
        <v>1229</v>
      </c>
      <c r="B41" s="677"/>
      <c r="C41" s="678">
        <f>SUM('Уровень 1-Кратк. сод.'!B19)</f>
        <v>0</v>
      </c>
      <c r="D41" s="781"/>
      <c r="E41" s="392"/>
      <c r="F41" s="392"/>
      <c r="G41" s="392"/>
      <c r="H41" s="392"/>
      <c r="I41" s="429"/>
    </row>
    <row r="42" spans="1:9" ht="37.5">
      <c r="A42" s="681" t="s">
        <v>1230</v>
      </c>
      <c r="B42" s="677"/>
      <c r="C42" s="678">
        <f>SUM('Уровень 1-Кратк. сод.'!D8,'Уровень 1-Кратк. сод.'!D10:D14)</f>
        <v>0</v>
      </c>
      <c r="D42" s="781"/>
      <c r="E42" s="392"/>
      <c r="F42" s="392"/>
      <c r="G42" s="392"/>
      <c r="H42" s="392"/>
      <c r="I42" s="429"/>
    </row>
    <row r="43" spans="1:9" ht="25">
      <c r="A43" s="682" t="s">
        <v>1231</v>
      </c>
      <c r="B43" s="683"/>
      <c r="C43" s="684" t="str">
        <f>IF(C41&gt;2*C42,"Проведенные расчеты показывают, что стандартные вводные коэффициенты  для общих отходов могут чрезмерно оценить выбросы ртути из этих источников.","Проведенные расчеты показывают, что стандартные вводные коэффициенты  для общих отходов не обязательно переоценивают выбросы ртути из этих источников.")</f>
        <v>Проведенные расчеты показывают, что стандартные вводные коэффициенты  для общих отходов не обязательно переоценивают выбросы ртути из этих источников.</v>
      </c>
      <c r="D43" s="782"/>
      <c r="E43" s="684"/>
      <c r="F43" s="684"/>
      <c r="G43" s="684"/>
      <c r="H43" s="684"/>
      <c r="I43" s="486"/>
    </row>
  </sheetData>
  <sheetProtection algorithmName="SHA-512" hashValue="1Hs8Pv3xAKQGSvuSlUxM5zk4idyRwsFPM4M6gNVEAMRU3WtFZwQ8P2q6DuJMQyOcjtNNGm1GKxkwMHM5x5s/Vw==" saltValue="nbj+htgVjAulbN1sHB/i3A==" spinCount="100000" sheet="1" objects="1" scenarios="1"/>
  <mergeCells count="5">
    <mergeCell ref="G7:L7"/>
    <mergeCell ref="A2:M2"/>
    <mergeCell ref="F4:G4"/>
    <mergeCell ref="A36:E36"/>
    <mergeCell ref="A40:E40"/>
  </mergeCells>
  <conditionalFormatting sqref="A2">
    <cfRule type="expression" dxfId="42" priority="34" stopIfTrue="1">
      <formula>$A$2&lt;&gt;""</formula>
    </cfRule>
  </conditionalFormatting>
  <conditionalFormatting sqref="F9:F10 F13 F26:F27 F29 F16 F19 F22:F23">
    <cfRule type="expression" dxfId="41" priority="36" stopIfTrue="1">
      <formula>AND(B9="y",O9="n")</formula>
    </cfRule>
  </conditionalFormatting>
  <conditionalFormatting sqref="E14:J14 E15:G15">
    <cfRule type="expression" dxfId="40" priority="24">
      <formula>OR($E$13="y", $E$13="s", $E$13="o", $E$13="Да")</formula>
    </cfRule>
  </conditionalFormatting>
  <conditionalFormatting sqref="H15:J15">
    <cfRule type="expression" dxfId="39" priority="23">
      <formula>OR($E$13="y", $E$13="s", $E$13="o", $E$13="Да")</formula>
    </cfRule>
  </conditionalFormatting>
  <conditionalFormatting sqref="G15">
    <cfRule type="expression" dxfId="38" priority="22">
      <formula>$G$15&lt;0</formula>
    </cfRule>
  </conditionalFormatting>
  <conditionalFormatting sqref="D15">
    <cfRule type="expression" dxfId="37" priority="21">
      <formula>$G$15&lt;0</formula>
    </cfRule>
  </conditionalFormatting>
  <conditionalFormatting sqref="E17:H17 E18:G18">
    <cfRule type="expression" dxfId="36" priority="20">
      <formula>OR($E$16="y", $E$16="s", $E$16="o", $E$16="Да")</formula>
    </cfRule>
  </conditionalFormatting>
  <conditionalFormatting sqref="H18:J18">
    <cfRule type="expression" dxfId="35" priority="19">
      <formula>OR($E$16="y", $E$16="s", $E$16="o", $E$16="Да")</formula>
    </cfRule>
  </conditionalFormatting>
  <conditionalFormatting sqref="G18">
    <cfRule type="expression" dxfId="34" priority="18">
      <formula>$G$18&lt;0</formula>
    </cfRule>
  </conditionalFormatting>
  <conditionalFormatting sqref="D18">
    <cfRule type="expression" dxfId="33" priority="17">
      <formula>$G$18&lt;0</formula>
    </cfRule>
  </conditionalFormatting>
  <conditionalFormatting sqref="E20:J20 E21:G21">
    <cfRule type="expression" dxfId="32" priority="16">
      <formula>OR($E$19="y", $E$19="s", $E$19="o", $E$19="Да")</formula>
    </cfRule>
  </conditionalFormatting>
  <conditionalFormatting sqref="H21:J21">
    <cfRule type="expression" dxfId="31" priority="15">
      <formula>OR($E$19="y", $E$19="s", $E$19="o", $E$19="Да")</formula>
    </cfRule>
  </conditionalFormatting>
  <conditionalFormatting sqref="G21">
    <cfRule type="expression" dxfId="30" priority="14">
      <formula>$G$21&lt;0</formula>
    </cfRule>
  </conditionalFormatting>
  <conditionalFormatting sqref="D21">
    <cfRule type="expression" dxfId="29" priority="13">
      <formula>$G$21&lt;0</formula>
    </cfRule>
  </conditionalFormatting>
  <conditionalFormatting sqref="E30:J30 E31:G31">
    <cfRule type="expression" dxfId="28" priority="12">
      <formula>OR($E$29="y", $E$29="s", $E$29="o", $E$29="Да")</formula>
    </cfRule>
  </conditionalFormatting>
  <conditionalFormatting sqref="H31:J31">
    <cfRule type="expression" dxfId="27" priority="11">
      <formula>OR($E$29="y", $E$29="s", $E$29="o", $E$29="Да")</formula>
    </cfRule>
  </conditionalFormatting>
  <conditionalFormatting sqref="G31">
    <cfRule type="expression" dxfId="26" priority="10">
      <formula>$G$31&lt;0</formula>
    </cfRule>
  </conditionalFormatting>
  <conditionalFormatting sqref="D31">
    <cfRule type="expression" dxfId="25" priority="9">
      <formula>$G$31&lt;0</formula>
    </cfRule>
  </conditionalFormatting>
  <conditionalFormatting sqref="I17:J17">
    <cfRule type="expression" dxfId="24" priority="8">
      <formula>OR($E$16="y", $E$16="s", $E$16="o", $E$16="Да")</formula>
    </cfRule>
  </conditionalFormatting>
  <conditionalFormatting sqref="B5:G5">
    <cfRule type="expression" dxfId="23" priority="7">
      <formula>OR(AND($B$4=no,$E$4=yes),$B$4="",$E$4="")</formula>
    </cfRule>
  </conditionalFormatting>
  <conditionalFormatting sqref="H5">
    <cfRule type="expression" dxfId="22" priority="6">
      <formula>OR(AND($B$4=no,$E$4=yes),$B$4="",$E$4="")</formula>
    </cfRule>
  </conditionalFormatting>
  <dataValidations xWindow="789" yWindow="460" count="9">
    <dataValidation type="list" allowBlank="1" showDropDown="1" showInputMessage="1" showErrorMessage="1" errorTitle="Input error" error="Enter only y, n or ? (or translation of these)" sqref="B28" xr:uid="{00000000-0002-0000-0800-000000000000}">
      <formula1>yn?</formula1>
    </dataValidation>
    <dataValidation type="list" allowBlank="1" showInputMessage="1" showErrorMessage="1" sqref="E29 E13 E16 E19" xr:uid="{00000000-0002-0000-0800-000001000000}">
      <formula1>yn</formula1>
    </dataValidation>
    <dataValidation allowBlank="1" showInputMessage="1" showErrorMessage="1" promptTitle="Controls" prompt="No treatment; direct release from sewage pipe" sqref="G30" xr:uid="{00000000-0002-0000-0800-000002000000}"/>
    <dataValidation type="list" allowBlank="1" showInputMessage="1" showErrorMessage="1" prompt="Введите наилучшие расчетные данные. Позже вы сможете изменить их. Укажите выбранный вами вариант в отчете.  Выбранный вами вариант влияет на расчет количества выбросов в результате использования продуктов, содержащих ртуть." sqref="E4 B4" xr:uid="{00000000-0002-0000-0800-000004000000}">
      <formula1>yn</formula1>
    </dataValidation>
    <dataValidation allowBlank="1" showInputMessage="1" showErrorMessage="1" prompt="Чтобы вернуться к стандартным настройкам контроля, выберите стандартные настройки во вкладке «Стандартные настройки контроля» для соответствующей подкатегории." sqref="M31 M15 M18 M21" xr:uid="{00000000-0002-0000-0800-000005000000}"/>
    <dataValidation type="decimal" allowBlank="1" showInputMessage="1" showErrorMessage="1" errorTitle="Input error" error="Use digits and decimal mark only." prompt="Используйте только цифры и десятичную метку" sqref="C9:C10 C13 C16 C19 C22:C23 C26:C27 C29" xr:uid="{00000000-0002-0000-0800-000007000000}">
      <formula1>-9.99999999999999E+22</formula1>
      <formula2>9.99999999999999E+22</formula2>
    </dataValidation>
    <dataValidation allowBlank="1" showErrorMessage="1" promptTitle="Controls" prompt="No filters in place (automatically calculated)" sqref="G21 G31" xr:uid="{00000000-0002-0000-0800-000008000000}"/>
    <dataValidation allowBlank="1" showInputMessage="1" showErrorMessage="1" prompt="Укажите процент общего фактора входа, используемый на объектах с вышеуказанной конфигурацией системы контроля." sqref="H15:J15 H21:J21 H31:J31" xr:uid="{00000000-0002-0000-0800-00000A000000}"/>
    <dataValidation type="list" allowBlank="1" showInputMessage="1" showErrorMessage="1" error="Введите только да или нет" prompt="Впишите только да, нет или ?" sqref="B9:B10 B13 B16 B19 B22:B23 B26:B27 B29" xr:uid="{00000000-0002-0000-0800-00000C000000}">
      <formula1>yn?</formula1>
    </dataValidation>
  </dataValidations>
  <pageMargins left="0.39370078740157483" right="0.39370078740157483" top="0.74803149606299213" bottom="0.74803149606299213" header="0.31496062992125984" footer="0.31496062992125984"/>
  <pageSetup paperSize="9" scale="64"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9" id="{C53B2ABA-6D60-4483-9AF2-0415F414F5A4}">
            <xm:f>'Вставьте рез. яч. IL2 '!$K$64&lt;&gt;""</xm:f>
            <x14:dxf>
              <font>
                <color rgb="FFFF0000"/>
              </font>
            </x14:dxf>
          </x14:cfRule>
          <xm:sqref>A34</xm:sqref>
        </x14:conditionalFormatting>
        <x14:conditionalFormatting xmlns:xm="http://schemas.microsoft.com/office/excel/2006/main">
          <x14:cfRule type="expression" priority="4" id="{755A1AFB-CCE1-4A24-A191-D5D09FB302C1}">
            <xm:f>OR($G$15&lt;&gt;'Controls defaults'!$C$44,$H$15&lt;&gt;'Controls defaults'!$D$44,$I$15&lt;&gt;'Controls defaults'!$E$44,$J$15&lt;&gt;'Controls defaults'!$F$44,$K$15&lt;&gt;'Controls defaults'!$G$44,$L$15&lt;&gt;'Controls defaults'!$H$44)</xm:f>
            <x14:dxf>
              <font>
                <color theme="1"/>
              </font>
              <fill>
                <patternFill>
                  <bgColor theme="8" tint="0.39994506668294322"/>
                </patternFill>
              </fill>
            </x14:dxf>
          </x14:cfRule>
          <xm:sqref>M15</xm:sqref>
        </x14:conditionalFormatting>
        <x14:conditionalFormatting xmlns:xm="http://schemas.microsoft.com/office/excel/2006/main">
          <x14:cfRule type="expression" priority="3" id="{DDD52C21-414F-40E2-9992-260BACD087D5}">
            <xm:f>OR($G$18&lt;&gt;'Controls defaults'!$C$47,$H$18&lt;&gt;'Controls defaults'!$D$47,$I$18&lt;&gt;'Controls defaults'!$E$47,$J$18&lt;&gt;'Controls defaults'!$F$47,$K$18&lt;&gt;'Controls defaults'!$G$47,$L$18&lt;&gt;'Controls defaults'!$H$47)</xm:f>
            <x14:dxf>
              <font>
                <color theme="1"/>
              </font>
              <fill>
                <patternFill>
                  <bgColor theme="8" tint="0.39994506668294322"/>
                </patternFill>
              </fill>
            </x14:dxf>
          </x14:cfRule>
          <xm:sqref>M18</xm:sqref>
        </x14:conditionalFormatting>
        <x14:conditionalFormatting xmlns:xm="http://schemas.microsoft.com/office/excel/2006/main">
          <x14:cfRule type="expression" priority="2" id="{3C0F1962-9382-413A-8D15-DD6172622E0B}">
            <xm:f>OR($G$21&lt;&gt;'Controls defaults'!$C$50,$H$21&lt;&gt;'Controls defaults'!$D$50,$I$21&lt;&gt;'Controls defaults'!$E$50,$J$21&lt;&gt;'Controls defaults'!$F$50,$K$21&lt;&gt;'Controls defaults'!$G$50,$L$21&lt;&gt;'Controls defaults'!$H$50)</xm:f>
            <x14:dxf>
              <font>
                <color theme="1"/>
              </font>
              <fill>
                <patternFill>
                  <bgColor theme="8" tint="0.39994506668294322"/>
                </patternFill>
              </fill>
            </x14:dxf>
          </x14:cfRule>
          <xm:sqref>M21</xm:sqref>
        </x14:conditionalFormatting>
        <x14:conditionalFormatting xmlns:xm="http://schemas.microsoft.com/office/excel/2006/main">
          <x14:cfRule type="expression" priority="1" id="{3D7B942E-11B5-4FF2-AC27-F8AF61D08162}">
            <xm:f>OR($G$31&lt;&gt;'Controls defaults'!$C$53,$H$31&lt;&gt;'Controls defaults'!$D$53,$I$31&lt;&gt;'Controls defaults'!$E$53,$J$31&lt;&gt;'Controls defaults'!$F$53,$K$31&lt;&gt;'Controls defaults'!$G$53,$L$31&lt;&gt;'Controls defaults'!$H$53)</xm:f>
            <x14:dxf>
              <font>
                <color theme="1"/>
              </font>
              <fill>
                <patternFill>
                  <bgColor theme="8" tint="0.39994506668294322"/>
                </patternFill>
              </fill>
            </x14:dxf>
          </x14:cfRule>
          <xm:sqref>M31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5EC5F424DF0438C02C794499518FB" ma:contentTypeVersion="0" ma:contentTypeDescription="Create a new document." ma:contentTypeScope="" ma:versionID="5ab65c60870f55e49362d4efb7fd413f">
  <xsd:schema xmlns:xsd="http://www.w3.org/2001/XMLSchema" xmlns:xs="http://www.w3.org/2001/XMLSchema" xmlns:p="http://schemas.microsoft.com/office/2006/metadata/properties" targetNamespace="http://schemas.microsoft.com/office/2006/metadata/properties" ma:root="true" ma:fieldsID="62ea347ee6c5493b9e14b1c149bab3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072A52-623B-42B3-804C-D8F39A917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3267E3B-D061-4D8F-9CB4-985A0A9D1A73}">
  <ds:schemaRefs>
    <ds:schemaRef ds:uri="http://schemas.microsoft.com/sharepoint/v3/contenttype/forms"/>
  </ds:schemaRefs>
</ds:datastoreItem>
</file>

<file path=customXml/itemProps3.xml><?xml version="1.0" encoding="utf-8"?>
<ds:datastoreItem xmlns:ds="http://schemas.openxmlformats.org/officeDocument/2006/customXml" ds:itemID="{4548986E-99A0-4F90-865A-B2513F560665}">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38</vt:i4>
      </vt:variant>
    </vt:vector>
  </HeadingPairs>
  <TitlesOfParts>
    <vt:vector size="71" baseType="lpstr">
      <vt:lpstr>Этап 1 - Информация о стране</vt:lpstr>
      <vt:lpstr>Этап 2 - Потребление энергии</vt:lpstr>
      <vt:lpstr>5-1 Fuels</vt:lpstr>
      <vt:lpstr>Этап 3 - Металлы - Сырье</vt:lpstr>
      <vt:lpstr>5-2 Prim metal</vt:lpstr>
      <vt:lpstr>5-3 Other min + mat</vt:lpstr>
      <vt:lpstr>Этап 4-Пром. прим. Hg</vt:lpstr>
      <vt:lpstr>5-4 Int Hg in Industry</vt:lpstr>
      <vt:lpstr>Этап5-Обраб. отходов+перераб.</vt:lpstr>
      <vt:lpstr>5-8 Waste incin</vt:lpstr>
      <vt:lpstr>5-9 Waste depo and water treatm</vt:lpstr>
      <vt:lpstr>5-7 Recycl metals</vt:lpstr>
      <vt:lpstr>Этап 6-Hg-продукция - вещ-ва</vt:lpstr>
      <vt:lpstr>Countrydata</vt:lpstr>
      <vt:lpstr>5-5 Cons prod</vt:lpstr>
      <vt:lpstr>5-6 Other int use</vt:lpstr>
      <vt:lpstr>Этап 7 - Крематории-кладбища</vt:lpstr>
      <vt:lpstr>Этап 8 - Прочие источники ртути</vt:lpstr>
      <vt:lpstr>Вставьте рез. яч. IL2 </vt:lpstr>
      <vt:lpstr>Range-thresholds</vt:lpstr>
      <vt:lpstr>Преобразование единиц</vt:lpstr>
      <vt:lpstr>Уровень 1-Кратк. сод.</vt:lpstr>
      <vt:lpstr>Уровень 1 - Схемы</vt:lpstr>
      <vt:lpstr>Уровень 1 - Опред. ист. Hg</vt:lpstr>
      <vt:lpstr>Ур.1-свод. инф. по факт.вх.Hg</vt:lpstr>
      <vt:lpstr>Ур.1-свод.инф. по выбросам</vt:lpstr>
      <vt:lpstr>Уровень 1 - Суммарный итог</vt:lpstr>
      <vt:lpstr>Стандартные  настройки контроля</vt:lpstr>
      <vt:lpstr>Level 2-introduction</vt:lpstr>
      <vt:lpstr>Level 2-summary</vt:lpstr>
      <vt:lpstr>Controls defaults</vt:lpstr>
      <vt:lpstr>Translation note</vt:lpstr>
      <vt:lpstr>5-10 Cremat and cem</vt:lpstr>
      <vt:lpstr>'5-7 Recycl metals'!_Ref49683512</vt:lpstr>
      <vt:lpstr>'5-7 Recycl metals'!_Ref49683522</vt:lpstr>
      <vt:lpstr>'5-7 Recycl metals'!_Ref49683534</vt:lpstr>
      <vt:lpstr>'5-9 Waste depo and water treatm'!_Ref50871338</vt:lpstr>
      <vt:lpstr>'5-9 Waste depo and water treatm'!_Ref50871349</vt:lpstr>
      <vt:lpstr>'5-6 Other int use'!_Ref52957575</vt:lpstr>
      <vt:lpstr>_SeF4</vt:lpstr>
      <vt:lpstr>Country</vt:lpstr>
      <vt:lpstr>no</vt:lpstr>
      <vt:lpstr>pres</vt:lpstr>
      <vt:lpstr>'Level 2-summary'!Print_Area</vt:lpstr>
      <vt:lpstr>'Вставьте рез. яч. IL2 '!Print_Area</vt:lpstr>
      <vt:lpstr>'Ур.1-свод. инф. по факт.вх.Hg'!Print_Area</vt:lpstr>
      <vt:lpstr>'Ур.1-свод.инф. по выбросам'!Print_Area</vt:lpstr>
      <vt:lpstr>'Уровень 1 - Опред. ист. Hg'!Print_Area</vt:lpstr>
      <vt:lpstr>'Уровень 1 - Суммарный итог'!Print_Area</vt:lpstr>
      <vt:lpstr>'Уровень 1 - Схемы'!Print_Area</vt:lpstr>
      <vt:lpstr>'Уровень 1-Кратк. сод.'!Print_Area</vt:lpstr>
      <vt:lpstr>'Этап 1 - Информация о стране'!Print_Area</vt:lpstr>
      <vt:lpstr>'Этап 2 - Потребление энергии'!Print_Area</vt:lpstr>
      <vt:lpstr>'Этап 3 - Металлы - Сырье'!Print_Area</vt:lpstr>
      <vt:lpstr>'Этап 4-Пром. прим. Hg'!Print_Area</vt:lpstr>
      <vt:lpstr>'Этап 6-Hg-продукция - вещ-ва'!Print_Area</vt:lpstr>
      <vt:lpstr>'Этап 7 - Крематории-кладбища'!Print_Area</vt:lpstr>
      <vt:lpstr>'Этап 8 - Прочие источники ртути'!Print_Area</vt:lpstr>
      <vt:lpstr>'Этап5-Обраб. отходов+перераб.'!Print_Area</vt:lpstr>
      <vt:lpstr>que</vt:lpstr>
      <vt:lpstr>quest</vt:lpstr>
      <vt:lpstr>quest2</vt:lpstr>
      <vt:lpstr>trans_warning</vt:lpstr>
      <vt:lpstr>trans1</vt:lpstr>
      <vt:lpstr>trans2</vt:lpstr>
      <vt:lpstr>trans3</vt:lpstr>
      <vt:lpstr>trans4</vt:lpstr>
      <vt:lpstr>trans5</vt:lpstr>
      <vt:lpstr>yes</vt:lpstr>
      <vt:lpstr>yn</vt:lpstr>
      <vt:lpstr>yn?</vt:lpstr>
    </vt:vector>
  </TitlesOfParts>
  <Company>COWI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dc:creator>
  <cp:lastModifiedBy>Angeline Djampou</cp:lastModifiedBy>
  <cp:lastPrinted>2012-09-10T09:31:09Z</cp:lastPrinted>
  <dcterms:created xsi:type="dcterms:W3CDTF">2005-10-18T14:46:44Z</dcterms:created>
  <dcterms:modified xsi:type="dcterms:W3CDTF">2019-11-08T19:24:56Z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142642220</vt:i4>
  </property>
  <property fmtid="{D5CDD505-2E9C-101B-9397-08002B2CF9AE}" pid="3" name="_NewReviewCycle">
    <vt:lpwstr/>
  </property>
  <property fmtid="{D5CDD505-2E9C-101B-9397-08002B2CF9AE}" pid="4" name="_EmailSubject">
    <vt:lpwstr>Hg-toolkit-IL1-JAM_SLAR_ver1-JAM-KS.xls - et par hurtige kommentarer/spørgsmål</vt:lpwstr>
  </property>
  <property fmtid="{D5CDD505-2E9C-101B-9397-08002B2CF9AE}" pid="5" name="_AuthorEmail">
    <vt:lpwstr>SLAR@cowi.dk</vt:lpwstr>
  </property>
  <property fmtid="{D5CDD505-2E9C-101B-9397-08002B2CF9AE}" pid="6" name="_AuthorEmailDisplayName">
    <vt:lpwstr>Søren Larsen</vt:lpwstr>
  </property>
  <property fmtid="{D5CDD505-2E9C-101B-9397-08002B2CF9AE}" pid="7" name="_PreviousAdHocReviewCycleID">
    <vt:i4>-217575388</vt:i4>
  </property>
  <property fmtid="{D5CDD505-2E9C-101B-9397-08002B2CF9AE}" pid="8" name="_ReviewingToolsShownOnce">
    <vt:lpwstr/>
  </property>
  <property fmtid="{D5CDD505-2E9C-101B-9397-08002B2CF9AE}" pid="9" name="ContentTypeId">
    <vt:lpwstr>0x010100C4B5EC5F424DF0438C02C794499518FB</vt:lpwstr>
  </property>
</Properties>
</file>