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showInkAnnotation="0" codeName="ThisWorkbook" defaultThemeVersion="124226"/>
  <mc:AlternateContent xmlns:mc="http://schemas.openxmlformats.org/markup-compatibility/2006">
    <mc:Choice Requires="x15">
      <x15ac:absPath xmlns:x15ac="http://schemas.microsoft.com/office/spreadsheetml/2010/11/ac" url="C:\Users\djampoua\Dropbox\tagging 2019\"/>
    </mc:Choice>
  </mc:AlternateContent>
  <xr:revisionPtr revIDLastSave="0" documentId="8_{223C1E39-5908-4682-96B6-823CED845824}" xr6:coauthVersionLast="41" xr6:coauthVersionMax="41" xr10:uidLastSave="{00000000-0000-0000-0000-000000000000}"/>
  <bookViews>
    <workbookView xWindow="-110" yWindow="-110" windowWidth="19420" windowHeight="10420" tabRatio="870" xr2:uid="{00000000-000D-0000-FFFF-FFFF00000000}"/>
  </bookViews>
  <sheets>
    <sheet name="Paso 1-Datos del país" sheetId="18" r:id="rId1"/>
    <sheet name="Paso 2-Energía" sheetId="14" r:id="rId2"/>
    <sheet name="5-1 Fuels" sheetId="2" state="hidden" r:id="rId3"/>
    <sheet name="Paso 3-Metales-Materias primas" sheetId="15" r:id="rId4"/>
    <sheet name="5-2 Prim metal" sheetId="5" state="hidden" r:id="rId5"/>
    <sheet name="5-3 Other min + mat" sheetId="7" state="hidden" r:id="rId6"/>
    <sheet name="Paso 4-Uso industrial de Hg" sheetId="16" r:id="rId7"/>
    <sheet name="5-4 Int Hg in Industry" sheetId="4" state="hidden" r:id="rId8"/>
    <sheet name="Paso 5-Trat.+recicl. desechos" sheetId="19" r:id="rId9"/>
    <sheet name="5-8 Waste incin" sheetId="8" state="hidden" r:id="rId10"/>
    <sheet name="5-9 Waste depo and water treatm" sheetId="11" state="hidden" r:id="rId11"/>
    <sheet name="5-7 Recycl metals" sheetId="10" state="hidden" r:id="rId12"/>
    <sheet name="Paso 6-Prod. y sust. con Hg" sheetId="17" r:id="rId13"/>
    <sheet name="Countrydata" sheetId="40" state="hidden" r:id="rId14"/>
    <sheet name="5-5 Cons prod" sheetId="3" state="hidden" r:id="rId15"/>
    <sheet name="5-6 Other int use" sheetId="9" state="hidden" r:id="rId16"/>
    <sheet name="Paso 7-Crematorios-cementerios" sheetId="25" r:id="rId17"/>
    <sheet name="Paso 8-Fuentes varias de Hg" sheetId="26" r:id="rId18"/>
    <sheet name="Inserte resultados de NI2" sheetId="41" r:id="rId19"/>
    <sheet name="Range-thresholds" sheetId="37" state="hidden" r:id="rId20"/>
    <sheet name="Conversión de unidades" sheetId="42" r:id="rId21"/>
    <sheet name="Nivel 1-Resumen ejec." sheetId="30" r:id="rId22"/>
    <sheet name="Nivel 1-Gráficas" sheetId="39" r:id="rId23"/>
    <sheet name="Nivel 1-Fuentes Hg identific." sheetId="32" r:id="rId24"/>
    <sheet name="Nivel 1-Resumen entradas de Hg" sheetId="44" r:id="rId25"/>
    <sheet name="Nivel 1-Resumen de emisiones" sheetId="31" r:id="rId26"/>
    <sheet name="Level 2-introduction" sheetId="6" state="hidden" r:id="rId27"/>
    <sheet name="Level 2-summary" sheetId="12" state="hidden" r:id="rId28"/>
    <sheet name="Nivel 1-Resumen total" sheetId="29" r:id="rId29"/>
    <sheet name="Controles defaults" sheetId="48" r:id="rId30"/>
    <sheet name="Nota para la traducción" sheetId="36" state="hidden" r:id="rId31"/>
    <sheet name="5-10 Cremat and cem" sheetId="13" state="hidden" r:id="rId32"/>
  </sheets>
  <externalReferences>
    <externalReference r:id="rId33"/>
    <externalReference r:id="rId34"/>
  </externalReferences>
  <definedNames>
    <definedName name="_Ref49683512" localSheetId="11">'5-7 Recycl metals'!$C$6</definedName>
    <definedName name="_Ref49683522" localSheetId="11">'5-7 Recycl metals'!$C$8</definedName>
    <definedName name="_Ref49683534" localSheetId="11">'5-7 Recycl metals'!$C$10</definedName>
    <definedName name="_Ref50871338" localSheetId="10">'5-9 Waste depo and water treatm'!$C$11</definedName>
    <definedName name="_Ref50871349" localSheetId="10">'5-9 Waste depo and water treatm'!$C$13</definedName>
    <definedName name="_Ref52957575" localSheetId="15">'5-6 Other int use'!$C$53</definedName>
    <definedName name="_SeF4" localSheetId="29">'[1]Translation note'!$B$16</definedName>
    <definedName name="_SeF4">'Nota para la traducción'!$B$16</definedName>
    <definedName name="Country" localSheetId="29">[1]Countrydata!$A$8:$A$206</definedName>
    <definedName name="Country">Countrydata!$A$8:$A$206</definedName>
    <definedName name="joo">'[2]Translation note'!$B$4</definedName>
    <definedName name="no" localSheetId="29">'[1]Translation note'!$B$5</definedName>
    <definedName name="no">'Nota para la traducción'!$B$5</definedName>
    <definedName name="noo">'[2]Translation note'!$B$5</definedName>
    <definedName name="pres" localSheetId="29">'[1]Translation note'!$B$3</definedName>
    <definedName name="pres">'Nota para la traducción'!$B$3</definedName>
    <definedName name="_xlnm.Print_Area" localSheetId="18">'Inserte resultados de NI2'!$A$9:$B$79</definedName>
    <definedName name="_xlnm.Print_Area" localSheetId="27">'Level 2-summary'!$A$11:$E$71</definedName>
    <definedName name="_xlnm.Print_Area" localSheetId="23">'Nivel 1-Fuentes Hg identific.'!$A$2:$B$72</definedName>
    <definedName name="_xlnm.Print_Area" localSheetId="22">'Nivel 1-Gráficas'!$A$6:$A$25</definedName>
    <definedName name="_xlnm.Print_Area" localSheetId="25">'Nivel 1-Resumen de emisiones'!$A$1:$G$75</definedName>
    <definedName name="_xlnm.Print_Area" localSheetId="21">'Nivel 1-Resumen ejec.'!$A$1:$J$33</definedName>
    <definedName name="_xlnm.Print_Area" localSheetId="24">'Nivel 1-Resumen entradas de Hg'!$A$2:$D$73</definedName>
    <definedName name="_xlnm.Print_Area" localSheetId="28">'Nivel 1-Resumen total'!$A$2:$D$73</definedName>
    <definedName name="_xlnm.Print_Area" localSheetId="0">'Paso 1-Datos del país'!$A$3:$B$20</definedName>
    <definedName name="_xlnm.Print_Area" localSheetId="1">'Paso 2-Energía'!$A$1:$M$26</definedName>
    <definedName name="_xlnm.Print_Area" localSheetId="3">'Paso 3-Metales-Materias primas'!$A$1:$M$31</definedName>
    <definedName name="_xlnm.Print_Area" localSheetId="6">'Paso 4-Uso industrial de Hg'!$A$1:$L$18</definedName>
    <definedName name="_xlnm.Print_Area" localSheetId="8">'Paso 5-Trat.+recicl. desechos'!$A$1:$M$29</definedName>
    <definedName name="_xlnm.Print_Area" localSheetId="12">'Paso 6-Prod. y sust. con Hg'!$A$1:$M$49</definedName>
    <definedName name="_xlnm.Print_Area" localSheetId="16">'Paso 7-Crematorios-cementerios'!$A$1:$L$6</definedName>
    <definedName name="_xlnm.Print_Area" localSheetId="17">'Paso 8-Fuentes varias de Hg'!$A$1:$B$30</definedName>
    <definedName name="que" localSheetId="29">'[1]Translation note'!$B$6</definedName>
    <definedName name="que">'Nota para la traducción'!$B$6</definedName>
    <definedName name="quest" localSheetId="29">'[1]Translation note'!$B$7</definedName>
    <definedName name="quest">'Nota para la traducción'!$B$7</definedName>
    <definedName name="quest2" localSheetId="29">'[1]Translation note'!$B$8</definedName>
    <definedName name="quest2">'Nota para la traducción'!$B$8</definedName>
    <definedName name="sdf">'[2]Translation note'!$B$6</definedName>
    <definedName name="trans_warning" localSheetId="29">'[1]Translation note'!$B$15</definedName>
    <definedName name="trans_warning">'Nota para la traducción'!$B$15</definedName>
    <definedName name="trans1" localSheetId="29">'[1]Translation note'!$B$10</definedName>
    <definedName name="trans1">'Nota para la traducción'!$B$10</definedName>
    <definedName name="trans2" localSheetId="29">'[1]Translation note'!$B$11</definedName>
    <definedName name="trans2">'Nota para la traducción'!$B$11</definedName>
    <definedName name="trans3" localSheetId="29">'[1]Translation note'!$B$12</definedName>
    <definedName name="trans3">'Nota para la traducción'!$B$12</definedName>
    <definedName name="trans4" localSheetId="29">'[1]Translation note'!$B$13</definedName>
    <definedName name="trans4">'Nota para la traducción'!$B$13</definedName>
    <definedName name="trans5" localSheetId="29">'[1]Translation note'!$B$14</definedName>
    <definedName name="trans5">'Nota para la traducción'!$B$14</definedName>
    <definedName name="yes" localSheetId="29">'[1]Translation note'!$B$4</definedName>
    <definedName name="yes">'Nota para la traducción'!$B$4</definedName>
    <definedName name="yn" localSheetId="29">'[1]Translation note'!$B$4:$B$5</definedName>
    <definedName name="yn">'Nota para la traducción'!$B$4:$B$5</definedName>
    <definedName name="yn?" localSheetId="29">'[1]Translation note'!$B$4:$B$6</definedName>
    <definedName name="yn?">'Nota para la traducción'!$B$4:$B$6</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M26" i="14" l="1"/>
  <c r="M21" i="14"/>
  <c r="M20" i="14"/>
  <c r="M18" i="14"/>
  <c r="M12" i="14"/>
  <c r="M11" i="14"/>
  <c r="M5" i="14"/>
  <c r="A4" i="31"/>
  <c r="A69" i="32"/>
  <c r="A68" i="32"/>
  <c r="A67" i="32"/>
  <c r="A66" i="32"/>
  <c r="A65" i="32"/>
  <c r="A64" i="32"/>
  <c r="A63" i="32"/>
  <c r="A62" i="32"/>
  <c r="B56" i="32"/>
  <c r="A56" i="32"/>
  <c r="B55" i="32"/>
  <c r="A55" i="32"/>
  <c r="B54" i="32"/>
  <c r="A54" i="32"/>
  <c r="B53" i="32"/>
  <c r="A53" i="32"/>
  <c r="B52" i="32"/>
  <c r="A52" i="32"/>
  <c r="B51" i="32"/>
  <c r="A51" i="32"/>
  <c r="B50" i="32"/>
  <c r="B49" i="32"/>
  <c r="B47" i="32"/>
  <c r="B48" i="32"/>
  <c r="B46" i="32"/>
  <c r="A46" i="32"/>
  <c r="A50" i="32"/>
  <c r="A49" i="32"/>
  <c r="A48" i="32"/>
  <c r="A47" i="32"/>
  <c r="A72" i="32"/>
  <c r="A71" i="32"/>
  <c r="A70" i="32"/>
  <c r="A61" i="32"/>
  <c r="A60" i="32"/>
  <c r="A59" i="32"/>
  <c r="A58" i="32"/>
  <c r="A57" i="32"/>
  <c r="A45" i="32"/>
  <c r="A44" i="32"/>
  <c r="A43" i="32"/>
  <c r="A42" i="32"/>
  <c r="A41" i="32"/>
  <c r="A40" i="32"/>
  <c r="A39" i="32"/>
  <c r="A38" i="32"/>
  <c r="A37" i="32"/>
  <c r="A36" i="32"/>
  <c r="A35" i="32"/>
  <c r="A34" i="32"/>
  <c r="A33" i="32"/>
  <c r="A32" i="32"/>
  <c r="A18" i="32"/>
  <c r="A31" i="32"/>
  <c r="A30" i="32"/>
  <c r="A29" i="32"/>
  <c r="A28" i="32"/>
  <c r="A27" i="32"/>
  <c r="A26" i="32"/>
  <c r="A25" i="32"/>
  <c r="A24" i="32"/>
  <c r="A23" i="32"/>
  <c r="A22" i="32"/>
  <c r="A21" i="32"/>
  <c r="A20" i="32"/>
  <c r="A19" i="32"/>
  <c r="A17" i="32"/>
  <c r="A16" i="32"/>
  <c r="A15" i="32"/>
  <c r="A14" i="32"/>
  <c r="A13" i="32"/>
  <c r="A11" i="32"/>
  <c r="A10" i="32"/>
  <c r="A9" i="32"/>
  <c r="A8" i="32"/>
  <c r="A7" i="32"/>
  <c r="A4" i="32"/>
  <c r="M8" i="14" l="1"/>
  <c r="D15" i="42" l="1"/>
  <c r="D8" i="25" l="1"/>
  <c r="A69" i="29" l="1"/>
  <c r="A68" i="29"/>
  <c r="A67" i="29"/>
  <c r="A65" i="29"/>
  <c r="A64" i="29"/>
  <c r="A63" i="29"/>
  <c r="A62" i="29"/>
  <c r="A61" i="29"/>
  <c r="B37" i="48"/>
  <c r="B35" i="48"/>
  <c r="A69" i="31"/>
  <c r="A68" i="31"/>
  <c r="A76" i="41"/>
  <c r="A75" i="41"/>
  <c r="A74" i="41"/>
  <c r="A72" i="41"/>
  <c r="A71" i="41"/>
  <c r="A70" i="41"/>
  <c r="A69" i="41"/>
  <c r="A68" i="41"/>
  <c r="M19" i="14" l="1"/>
  <c r="M24" i="14"/>
  <c r="M15" i="14" l="1"/>
  <c r="M25" i="14"/>
  <c r="D55" i="48" l="1"/>
  <c r="C55" i="48"/>
  <c r="A55" i="48"/>
  <c r="D52" i="48" l="1"/>
  <c r="E52" i="48"/>
  <c r="F52" i="48"/>
  <c r="C52" i="48"/>
  <c r="A52" i="48"/>
  <c r="D49" i="48"/>
  <c r="E49" i="48"/>
  <c r="F49" i="48"/>
  <c r="C49" i="48"/>
  <c r="A49" i="48"/>
  <c r="D46" i="48"/>
  <c r="E46" i="48"/>
  <c r="F46" i="48"/>
  <c r="C46" i="48"/>
  <c r="A46" i="48"/>
  <c r="D43" i="48"/>
  <c r="E43" i="48"/>
  <c r="F43" i="48"/>
  <c r="C43" i="48"/>
  <c r="A43" i="48"/>
  <c r="C40" i="48"/>
  <c r="D40" i="48"/>
  <c r="A40" i="48"/>
  <c r="D37" i="48"/>
  <c r="E37" i="48"/>
  <c r="F37" i="48"/>
  <c r="G37" i="48"/>
  <c r="C37" i="48"/>
  <c r="D35" i="48"/>
  <c r="E35" i="48"/>
  <c r="F35" i="48"/>
  <c r="G35" i="48"/>
  <c r="C35" i="48"/>
  <c r="A35" i="48"/>
  <c r="D32" i="48"/>
  <c r="C32" i="48"/>
  <c r="A32" i="48"/>
  <c r="D29" i="48"/>
  <c r="C29" i="48"/>
  <c r="A29" i="48"/>
  <c r="D26" i="48"/>
  <c r="E26" i="48"/>
  <c r="F26" i="48"/>
  <c r="C26" i="48"/>
  <c r="A26" i="48"/>
  <c r="D23" i="48"/>
  <c r="E23" i="48"/>
  <c r="F23" i="48"/>
  <c r="D20" i="48"/>
  <c r="E20" i="48"/>
  <c r="F20" i="48"/>
  <c r="C23" i="48"/>
  <c r="A23" i="48"/>
  <c r="C20" i="48"/>
  <c r="A20" i="48"/>
  <c r="D17" i="48"/>
  <c r="C17" i="48"/>
  <c r="A17" i="48"/>
  <c r="D14" i="48"/>
  <c r="E14" i="48"/>
  <c r="C14" i="48"/>
  <c r="A14" i="48"/>
  <c r="D11" i="48"/>
  <c r="E11" i="48"/>
  <c r="C11" i="48"/>
  <c r="A11" i="48"/>
  <c r="D8" i="48"/>
  <c r="E8" i="48"/>
  <c r="F8" i="48"/>
  <c r="G8" i="48"/>
  <c r="H8" i="48"/>
  <c r="C8" i="48"/>
  <c r="A8" i="48"/>
  <c r="D5" i="48"/>
  <c r="E5" i="48"/>
  <c r="F5" i="48"/>
  <c r="G5" i="48"/>
  <c r="H5" i="48"/>
  <c r="C5" i="48"/>
  <c r="A5" i="48"/>
  <c r="D206" i="40" l="1"/>
  <c r="C206" i="40"/>
  <c r="D205" i="40"/>
  <c r="D204" i="40"/>
  <c r="D203" i="40"/>
  <c r="D202" i="40"/>
  <c r="E201" i="40"/>
  <c r="D201" i="40"/>
  <c r="D200" i="40"/>
  <c r="E199" i="40"/>
  <c r="D199" i="40" s="1"/>
  <c r="D198" i="40"/>
  <c r="D197" i="40"/>
  <c r="D195" i="40"/>
  <c r="D193" i="40"/>
  <c r="D192" i="40"/>
  <c r="D191" i="40"/>
  <c r="D190" i="40"/>
  <c r="D189" i="40"/>
  <c r="D187" i="40"/>
  <c r="D186" i="40"/>
  <c r="D185" i="40"/>
  <c r="D184" i="40"/>
  <c r="D183" i="40"/>
  <c r="D182" i="40"/>
  <c r="D181" i="40"/>
  <c r="D180" i="40"/>
  <c r="E179" i="40"/>
  <c r="D179" i="40" s="1"/>
  <c r="D178" i="40"/>
  <c r="D177" i="40"/>
  <c r="D174" i="40"/>
  <c r="D173" i="40"/>
  <c r="D172" i="40"/>
  <c r="D170" i="40"/>
  <c r="D169" i="40"/>
  <c r="D168" i="40"/>
  <c r="D165" i="40"/>
  <c r="D164" i="40"/>
  <c r="D163" i="40"/>
  <c r="D162" i="40"/>
  <c r="D161" i="40"/>
  <c r="D160" i="40"/>
  <c r="D159" i="40"/>
  <c r="D158" i="40"/>
  <c r="D157" i="40"/>
  <c r="D156" i="40"/>
  <c r="D155" i="40"/>
  <c r="D154" i="40"/>
  <c r="D153" i="40"/>
  <c r="D152" i="40"/>
  <c r="D151" i="40"/>
  <c r="D150" i="40"/>
  <c r="D149" i="40"/>
  <c r="D147" i="40"/>
  <c r="D144" i="40"/>
  <c r="D143" i="40"/>
  <c r="D142" i="40"/>
  <c r="D141" i="40"/>
  <c r="D140" i="40"/>
  <c r="D139" i="40"/>
  <c r="D138" i="40"/>
  <c r="D137" i="40"/>
  <c r="D135" i="40"/>
  <c r="D134" i="40"/>
  <c r="D133" i="40"/>
  <c r="D132" i="40"/>
  <c r="D129" i="40"/>
  <c r="E128" i="40"/>
  <c r="D128" i="40" s="1"/>
  <c r="D127" i="40"/>
  <c r="D126" i="40"/>
  <c r="D125" i="40"/>
  <c r="D124" i="40"/>
  <c r="D123" i="40"/>
  <c r="D122" i="40"/>
  <c r="D121" i="40"/>
  <c r="D120" i="40"/>
  <c r="D118" i="40"/>
  <c r="D117" i="40"/>
  <c r="D116" i="40"/>
  <c r="D115" i="40"/>
  <c r="D114" i="40"/>
  <c r="D113" i="40"/>
  <c r="D112" i="40"/>
  <c r="E111" i="40"/>
  <c r="D111" i="40" s="1"/>
  <c r="D110" i="40"/>
  <c r="D108" i="40"/>
  <c r="D107" i="40"/>
  <c r="D106" i="40"/>
  <c r="D105" i="40"/>
  <c r="D104" i="40"/>
  <c r="D103" i="40"/>
  <c r="D102" i="40"/>
  <c r="D101" i="40"/>
  <c r="D100" i="40"/>
  <c r="D99" i="40"/>
  <c r="C99" i="40"/>
  <c r="D98" i="40"/>
  <c r="D97" i="40"/>
  <c r="D96" i="40"/>
  <c r="D94" i="40"/>
  <c r="D90" i="40"/>
  <c r="D89" i="40"/>
  <c r="D88" i="40"/>
  <c r="D87" i="40"/>
  <c r="D84" i="40"/>
  <c r="D83" i="40"/>
  <c r="D82" i="40"/>
  <c r="D81" i="40"/>
  <c r="D80" i="40"/>
  <c r="D79" i="40"/>
  <c r="D78" i="40"/>
  <c r="D76" i="40"/>
  <c r="D74" i="40"/>
  <c r="D73" i="40"/>
  <c r="D72" i="40"/>
  <c r="D69" i="40"/>
  <c r="E68" i="40"/>
  <c r="D68" i="40" s="1"/>
  <c r="D67" i="40"/>
  <c r="D66" i="40"/>
  <c r="D65" i="40"/>
  <c r="D64" i="40"/>
  <c r="C64" i="40"/>
  <c r="D63" i="40"/>
  <c r="D62" i="40"/>
  <c r="D61" i="40"/>
  <c r="D60" i="40"/>
  <c r="D59" i="40"/>
  <c r="D58" i="40"/>
  <c r="D56" i="40"/>
  <c r="D55" i="40"/>
  <c r="D53" i="40"/>
  <c r="D52" i="40"/>
  <c r="D51" i="40"/>
  <c r="D50" i="40"/>
  <c r="D49" i="40"/>
  <c r="D48" i="40"/>
  <c r="D47" i="40"/>
  <c r="D46" i="40"/>
  <c r="E45" i="40"/>
  <c r="D45" i="40" s="1"/>
  <c r="D44" i="40"/>
  <c r="D42" i="40"/>
  <c r="D41" i="40"/>
  <c r="D40" i="40"/>
  <c r="D38" i="40"/>
  <c r="D37" i="40"/>
  <c r="D36" i="40"/>
  <c r="D35" i="40"/>
  <c r="D34" i="40"/>
  <c r="D33" i="40"/>
  <c r="D32" i="40"/>
  <c r="D31" i="40"/>
  <c r="D30" i="40"/>
  <c r="D29" i="40"/>
  <c r="D28" i="40"/>
  <c r="D27" i="40"/>
  <c r="D26" i="40"/>
  <c r="D24" i="40"/>
  <c r="D23" i="40"/>
  <c r="D22" i="40"/>
  <c r="D21" i="40"/>
  <c r="D20" i="40"/>
  <c r="D19" i="40"/>
  <c r="D17" i="40"/>
  <c r="D16" i="40"/>
  <c r="D15" i="40"/>
  <c r="D14" i="40"/>
  <c r="D13" i="40"/>
  <c r="D12" i="40"/>
  <c r="D11" i="40"/>
  <c r="D10" i="40"/>
  <c r="D9" i="40"/>
  <c r="F71" i="37" l="1"/>
  <c r="F67" i="37"/>
  <c r="F61" i="37"/>
  <c r="F58" i="37"/>
  <c r="F45" i="37"/>
  <c r="F36" i="37"/>
  <c r="F32" i="37"/>
  <c r="F29" i="37"/>
  <c r="F19" i="37"/>
  <c r="F15" i="37"/>
  <c r="J9" i="19"/>
  <c r="D22" i="42" l="1"/>
  <c r="D21" i="42"/>
  <c r="D20" i="42"/>
  <c r="F16" i="42"/>
  <c r="A6" i="32" l="1"/>
  <c r="D72" i="44" l="1"/>
  <c r="B72" i="44"/>
  <c r="D71" i="44"/>
  <c r="B71" i="44"/>
  <c r="D69" i="44"/>
  <c r="B69" i="44"/>
  <c r="D68" i="44"/>
  <c r="B68" i="44"/>
  <c r="D67" i="44"/>
  <c r="B67" i="44"/>
  <c r="D65" i="44"/>
  <c r="B65" i="44"/>
  <c r="D64" i="44"/>
  <c r="B64" i="44"/>
  <c r="D63" i="44"/>
  <c r="B63" i="44"/>
  <c r="D62" i="44"/>
  <c r="B62" i="44"/>
  <c r="D61" i="44"/>
  <c r="B61" i="44"/>
  <c r="D59" i="44"/>
  <c r="B59" i="44"/>
  <c r="D58" i="44"/>
  <c r="B58" i="44"/>
  <c r="D56" i="44"/>
  <c r="B56" i="44"/>
  <c r="D55" i="44"/>
  <c r="B55" i="44"/>
  <c r="D54" i="44"/>
  <c r="B54" i="44"/>
  <c r="D53" i="44"/>
  <c r="B53" i="44"/>
  <c r="D52" i="44"/>
  <c r="B52" i="44"/>
  <c r="D51" i="44"/>
  <c r="B51" i="44"/>
  <c r="D50" i="44"/>
  <c r="B50" i="44"/>
  <c r="D49" i="44"/>
  <c r="D48" i="44"/>
  <c r="D47" i="44"/>
  <c r="B47" i="44"/>
  <c r="D46" i="44"/>
  <c r="D45" i="44"/>
  <c r="B45" i="44"/>
  <c r="D43" i="44"/>
  <c r="B43" i="44"/>
  <c r="D42" i="44"/>
  <c r="B42" i="44"/>
  <c r="D41" i="44"/>
  <c r="B41" i="44"/>
  <c r="D40" i="44"/>
  <c r="B40" i="44"/>
  <c r="D39" i="44"/>
  <c r="B39" i="44"/>
  <c r="D38" i="44"/>
  <c r="B38" i="44"/>
  <c r="D37" i="44"/>
  <c r="B37" i="44"/>
  <c r="D36" i="44"/>
  <c r="B36" i="44"/>
  <c r="D34" i="44"/>
  <c r="B34" i="44"/>
  <c r="D33" i="44"/>
  <c r="B33" i="44"/>
  <c r="D32" i="44"/>
  <c r="B32" i="44"/>
  <c r="D30" i="44"/>
  <c r="B30" i="44"/>
  <c r="D29" i="44"/>
  <c r="B29" i="44"/>
  <c r="D27" i="44"/>
  <c r="B27" i="44"/>
  <c r="D26" i="44"/>
  <c r="B26" i="44"/>
  <c r="D25" i="44"/>
  <c r="B25" i="44"/>
  <c r="D24" i="44"/>
  <c r="B24" i="44"/>
  <c r="D23" i="44"/>
  <c r="B23" i="44"/>
  <c r="D22" i="44"/>
  <c r="B22" i="44"/>
  <c r="D21" i="44"/>
  <c r="B21" i="44"/>
  <c r="D20" i="44"/>
  <c r="B20" i="44"/>
  <c r="D19" i="44"/>
  <c r="B19" i="44"/>
  <c r="D17" i="44"/>
  <c r="B17" i="44"/>
  <c r="D16" i="44"/>
  <c r="B16" i="44"/>
  <c r="D15" i="44"/>
  <c r="B15" i="44"/>
  <c r="D13" i="44"/>
  <c r="B13" i="44"/>
  <c r="D12" i="44"/>
  <c r="B12" i="44"/>
  <c r="D11" i="44"/>
  <c r="B11" i="44"/>
  <c r="D10" i="44"/>
  <c r="B10" i="44"/>
  <c r="D9" i="44"/>
  <c r="B9" i="44"/>
  <c r="D8" i="44"/>
  <c r="B8" i="44"/>
  <c r="D7" i="44"/>
  <c r="B7" i="44"/>
  <c r="D6" i="44"/>
  <c r="B6" i="44"/>
  <c r="D5" i="44"/>
  <c r="B5" i="44"/>
  <c r="G10" i="14" l="1"/>
  <c r="G13" i="17" l="1"/>
  <c r="I10" i="5" l="1"/>
  <c r="G21" i="15"/>
  <c r="I9" i="5" l="1"/>
  <c r="G6" i="17" l="1"/>
  <c r="G5" i="17"/>
  <c r="G33" i="15" l="1"/>
  <c r="D18" i="42" l="1"/>
  <c r="N27" i="9" l="1"/>
  <c r="N25" i="9"/>
  <c r="N18" i="9"/>
  <c r="N16" i="9"/>
  <c r="N45" i="3"/>
  <c r="N43" i="3"/>
  <c r="N30" i="3"/>
  <c r="N28" i="3"/>
  <c r="N23" i="3"/>
  <c r="N21" i="3"/>
  <c r="N15" i="3"/>
  <c r="N13" i="3"/>
  <c r="G24" i="15" l="1"/>
  <c r="I12" i="5"/>
  <c r="I11" i="5" l="1"/>
  <c r="G30" i="15"/>
  <c r="I19" i="7" l="1"/>
  <c r="I7" i="7"/>
  <c r="G31" i="19" l="1"/>
  <c r="G21" i="19"/>
  <c r="G18" i="19"/>
  <c r="G15" i="19" l="1"/>
  <c r="K10" i="5"/>
  <c r="K11" i="5"/>
  <c r="K9" i="5"/>
  <c r="N11" i="5" l="1"/>
  <c r="N10" i="5"/>
  <c r="Z10" i="5" s="1"/>
  <c r="F19" i="15"/>
  <c r="N9" i="5"/>
  <c r="G15" i="15"/>
  <c r="V22" i="5"/>
  <c r="G12" i="15"/>
  <c r="W10" i="5" l="1"/>
  <c r="AA10" i="5"/>
  <c r="V10" i="5"/>
  <c r="Y10" i="5"/>
  <c r="X10" i="5"/>
  <c r="V9" i="5"/>
  <c r="Z9" i="5"/>
  <c r="V15" i="5"/>
  <c r="G9" i="15"/>
  <c r="G19" i="15" l="1"/>
  <c r="G28" i="14"/>
  <c r="G17" i="14" l="1"/>
  <c r="I39" i="2" l="1"/>
  <c r="G14" i="14"/>
  <c r="G7" i="14" l="1"/>
  <c r="B6" i="32" l="1"/>
  <c r="B6" i="29"/>
  <c r="C6" i="29"/>
  <c r="C6" i="44" s="1"/>
  <c r="D6" i="29"/>
  <c r="I18" i="2"/>
  <c r="I28" i="2"/>
  <c r="G28" i="2"/>
  <c r="G18" i="2"/>
  <c r="L6" i="29" l="1"/>
  <c r="A6" i="29" l="1"/>
  <c r="A13" i="41"/>
  <c r="A7" i="37"/>
  <c r="A6" i="31"/>
  <c r="A6" i="44" l="1"/>
  <c r="AA25" i="7"/>
  <c r="Z25" i="7"/>
  <c r="Y25" i="7"/>
  <c r="X25" i="7"/>
  <c r="W25" i="7"/>
  <c r="V25" i="7"/>
  <c r="AA24" i="7"/>
  <c r="Z24" i="7"/>
  <c r="Y24" i="7"/>
  <c r="X24" i="7"/>
  <c r="W24" i="7"/>
  <c r="V24" i="7"/>
  <c r="AA23" i="7"/>
  <c r="Z23" i="7"/>
  <c r="Y23" i="7"/>
  <c r="X23" i="7"/>
  <c r="W23" i="7"/>
  <c r="V23" i="7"/>
  <c r="AA22" i="7"/>
  <c r="Z22" i="7"/>
  <c r="Y22" i="7"/>
  <c r="X22" i="7"/>
  <c r="W22" i="7"/>
  <c r="V22" i="7"/>
  <c r="AA21" i="7"/>
  <c r="Z21" i="7"/>
  <c r="Y21" i="7"/>
  <c r="X21" i="7"/>
  <c r="W21" i="7"/>
  <c r="V21" i="7"/>
  <c r="AA20" i="7"/>
  <c r="Z20" i="7"/>
  <c r="Y20" i="7"/>
  <c r="X20" i="7"/>
  <c r="W20" i="7"/>
  <c r="V20" i="7"/>
  <c r="AA13" i="7"/>
  <c r="Z13" i="7"/>
  <c r="Y13" i="7"/>
  <c r="X13" i="7"/>
  <c r="W13" i="7"/>
  <c r="V13" i="7"/>
  <c r="AA12" i="7"/>
  <c r="Z12" i="7"/>
  <c r="Y12" i="7"/>
  <c r="X12" i="7"/>
  <c r="W12" i="7"/>
  <c r="V12" i="7"/>
  <c r="AA11" i="7"/>
  <c r="Z11" i="7"/>
  <c r="Y11" i="7"/>
  <c r="X11" i="7"/>
  <c r="W11" i="7"/>
  <c r="V11" i="7"/>
  <c r="AA10" i="7"/>
  <c r="Z10" i="7"/>
  <c r="Y10" i="7"/>
  <c r="X10" i="7"/>
  <c r="W10" i="7"/>
  <c r="V10" i="7"/>
  <c r="AA9" i="7"/>
  <c r="Z9" i="7"/>
  <c r="Y9" i="7"/>
  <c r="X9" i="7"/>
  <c r="W9" i="7"/>
  <c r="V9" i="7"/>
  <c r="P23" i="2" l="1"/>
  <c r="U23" i="2" s="1"/>
  <c r="P22" i="2"/>
  <c r="U22" i="2" s="1"/>
  <c r="P21" i="2"/>
  <c r="U21" i="2" s="1"/>
  <c r="P20" i="2"/>
  <c r="U20" i="2" s="1"/>
  <c r="P24" i="2"/>
  <c r="U24" i="2" s="1"/>
  <c r="AA32" i="2"/>
  <c r="Z32" i="2"/>
  <c r="Y32" i="2"/>
  <c r="X32" i="2"/>
  <c r="W32" i="2"/>
  <c r="V32" i="2"/>
  <c r="AA31" i="2"/>
  <c r="Z31" i="2"/>
  <c r="Y31" i="2"/>
  <c r="X31" i="2"/>
  <c r="W31" i="2"/>
  <c r="V31" i="2"/>
  <c r="AA30" i="2"/>
  <c r="Z30" i="2"/>
  <c r="Y30" i="2"/>
  <c r="X30" i="2"/>
  <c r="W30" i="2"/>
  <c r="V30" i="2"/>
  <c r="AA28" i="2"/>
  <c r="Z28" i="2"/>
  <c r="Y28" i="2"/>
  <c r="X28" i="2"/>
  <c r="W28" i="2"/>
  <c r="V28" i="2"/>
  <c r="K28" i="2"/>
  <c r="AA27" i="2"/>
  <c r="Z27" i="2"/>
  <c r="Y27" i="2"/>
  <c r="X27" i="2"/>
  <c r="W27" i="2"/>
  <c r="V27" i="2"/>
  <c r="K27" i="2"/>
  <c r="P14" i="2"/>
  <c r="U14" i="2" s="1"/>
  <c r="P13" i="2"/>
  <c r="U13" i="2" s="1"/>
  <c r="P12" i="2"/>
  <c r="U12" i="2" s="1"/>
  <c r="P11" i="2"/>
  <c r="U11" i="2" s="1"/>
  <c r="P10" i="2"/>
  <c r="U10" i="2" s="1"/>
  <c r="N29" i="2" l="1"/>
  <c r="Z29" i="2" s="1"/>
  <c r="Z26" i="2" s="1"/>
  <c r="K11" i="14" s="1"/>
  <c r="K26" i="2"/>
  <c r="F11" i="14" s="1"/>
  <c r="K11" i="41"/>
  <c r="K25" i="41"/>
  <c r="K38" i="41"/>
  <c r="K51" i="41"/>
  <c r="K64" i="41"/>
  <c r="A77" i="41"/>
  <c r="K77" i="41"/>
  <c r="Y29" i="2" l="1"/>
  <c r="Y26" i="2" s="1"/>
  <c r="J11" i="14" s="1"/>
  <c r="V29" i="2"/>
  <c r="V26" i="2" s="1"/>
  <c r="G11" i="14" s="1"/>
  <c r="W29" i="2"/>
  <c r="W26" i="2" s="1"/>
  <c r="H11" i="14" s="1"/>
  <c r="X29" i="2"/>
  <c r="X26" i="2" s="1"/>
  <c r="I11" i="14" s="1"/>
  <c r="AA29" i="2"/>
  <c r="AA26" i="2" s="1"/>
  <c r="L11" i="14" s="1"/>
  <c r="R6" i="5"/>
  <c r="Q6" i="5"/>
  <c r="P6" i="5"/>
  <c r="I50" i="2"/>
  <c r="K50" i="2" s="1"/>
  <c r="G71" i="37"/>
  <c r="G67" i="37"/>
  <c r="G61" i="37"/>
  <c r="G58" i="37"/>
  <c r="G45" i="37"/>
  <c r="G36" i="37"/>
  <c r="G32" i="37"/>
  <c r="G29" i="37"/>
  <c r="G19" i="37"/>
  <c r="G15" i="37"/>
  <c r="A73" i="37"/>
  <c r="A72" i="44" s="1"/>
  <c r="A72" i="37"/>
  <c r="A71" i="44" s="1"/>
  <c r="A71" i="37"/>
  <c r="A70" i="44" s="1"/>
  <c r="A70" i="37"/>
  <c r="A69" i="37"/>
  <c r="A68" i="37"/>
  <c r="A67" i="37"/>
  <c r="A66" i="37"/>
  <c r="A65" i="37"/>
  <c r="A64" i="37"/>
  <c r="A63" i="37"/>
  <c r="A62" i="37"/>
  <c r="A61" i="37"/>
  <c r="A60" i="37"/>
  <c r="A59" i="37"/>
  <c r="A58" i="37"/>
  <c r="A57" i="37"/>
  <c r="A56" i="37"/>
  <c r="A55" i="44" s="1"/>
  <c r="A55" i="37"/>
  <c r="A54" i="37"/>
  <c r="A53" i="44" s="1"/>
  <c r="A53" i="37"/>
  <c r="A52" i="37"/>
  <c r="A51" i="37"/>
  <c r="A50" i="37"/>
  <c r="A49" i="44" s="1"/>
  <c r="A49" i="37"/>
  <c r="A48" i="37"/>
  <c r="A47" i="44" s="1"/>
  <c r="A47" i="37"/>
  <c r="A46" i="37"/>
  <c r="A45" i="37"/>
  <c r="A44" i="37"/>
  <c r="A43" i="44" s="1"/>
  <c r="A43" i="37"/>
  <c r="A42" i="37"/>
  <c r="A41" i="37"/>
  <c r="A40" i="37"/>
  <c r="A39" i="37"/>
  <c r="A38" i="37"/>
  <c r="A37" i="37"/>
  <c r="A36" i="37"/>
  <c r="A35" i="37"/>
  <c r="A34" i="37"/>
  <c r="A33" i="37"/>
  <c r="A32" i="37"/>
  <c r="A31" i="37"/>
  <c r="A30" i="37"/>
  <c r="A29" i="37"/>
  <c r="A28" i="37"/>
  <c r="A27" i="37"/>
  <c r="A26" i="37"/>
  <c r="A25" i="37"/>
  <c r="A24" i="37"/>
  <c r="A23" i="37"/>
  <c r="A22" i="37"/>
  <c r="A21" i="37"/>
  <c r="A20" i="37"/>
  <c r="A19" i="37"/>
  <c r="A5" i="37"/>
  <c r="A18" i="37"/>
  <c r="A17" i="37"/>
  <c r="A16" i="37"/>
  <c r="A15" i="37"/>
  <c r="A14" i="37"/>
  <c r="A12" i="37"/>
  <c r="A11" i="37"/>
  <c r="A10" i="37"/>
  <c r="A9" i="44" s="1"/>
  <c r="A9" i="37"/>
  <c r="A8" i="37"/>
  <c r="D57" i="37"/>
  <c r="E57" i="37"/>
  <c r="D56" i="37"/>
  <c r="E56" i="37" s="1"/>
  <c r="D55" i="37"/>
  <c r="E55" i="37" s="1"/>
  <c r="D51" i="37"/>
  <c r="E51" i="37" s="1"/>
  <c r="D48" i="37"/>
  <c r="E48" i="37"/>
  <c r="D46" i="37"/>
  <c r="E46" i="37" s="1"/>
  <c r="D39" i="37"/>
  <c r="D36" i="37"/>
  <c r="E36" i="37"/>
  <c r="D34" i="37"/>
  <c r="D28" i="37"/>
  <c r="D23" i="37"/>
  <c r="D21" i="37"/>
  <c r="D17" i="37"/>
  <c r="D12" i="37"/>
  <c r="D8" i="37"/>
  <c r="D35" i="37"/>
  <c r="E35" i="37" s="1"/>
  <c r="B42" i="37"/>
  <c r="B41" i="37"/>
  <c r="B38" i="37"/>
  <c r="B37" i="37"/>
  <c r="C24" i="37"/>
  <c r="D24" i="37"/>
  <c r="C9" i="37"/>
  <c r="D9" i="37" s="1"/>
  <c r="C10" i="37"/>
  <c r="D10" i="37" s="1"/>
  <c r="C11" i="37"/>
  <c r="D11" i="37" s="1"/>
  <c r="C13" i="37"/>
  <c r="D13" i="37"/>
  <c r="C14" i="37"/>
  <c r="D14" i="37" s="1"/>
  <c r="C15" i="37"/>
  <c r="D15" i="37" s="1"/>
  <c r="C16" i="37"/>
  <c r="D16" i="37" s="1"/>
  <c r="C18" i="37"/>
  <c r="D18" i="37"/>
  <c r="C19" i="37"/>
  <c r="D19" i="37" s="1"/>
  <c r="C20" i="37"/>
  <c r="D20" i="37" s="1"/>
  <c r="C22" i="37"/>
  <c r="D22" i="37" s="1"/>
  <c r="C25" i="37"/>
  <c r="D25" i="37" s="1"/>
  <c r="C26" i="37"/>
  <c r="D26" i="37" s="1"/>
  <c r="C27" i="37"/>
  <c r="D27" i="37" s="1"/>
  <c r="C29" i="37"/>
  <c r="D29" i="37" s="1"/>
  <c r="C30" i="37"/>
  <c r="D30" i="37" s="1"/>
  <c r="C31" i="37"/>
  <c r="D31" i="37" s="1"/>
  <c r="C32" i="37"/>
  <c r="D32" i="37" s="1"/>
  <c r="C33" i="37"/>
  <c r="D33" i="37" s="1"/>
  <c r="C35" i="37"/>
  <c r="C36" i="37"/>
  <c r="C37" i="37"/>
  <c r="C38" i="37"/>
  <c r="C40" i="37"/>
  <c r="D40" i="37"/>
  <c r="C41" i="37"/>
  <c r="C42" i="37"/>
  <c r="C43" i="37"/>
  <c r="D43" i="37"/>
  <c r="D44" i="37"/>
  <c r="C45" i="37"/>
  <c r="D45" i="37" s="1"/>
  <c r="C46" i="37"/>
  <c r="C47" i="37"/>
  <c r="D47" i="37" s="1"/>
  <c r="C48" i="37"/>
  <c r="C49" i="37"/>
  <c r="D49" i="37" s="1"/>
  <c r="C50" i="37"/>
  <c r="D50" i="37"/>
  <c r="C51" i="37"/>
  <c r="D52" i="37"/>
  <c r="D53" i="37"/>
  <c r="C54" i="37"/>
  <c r="D54" i="37" s="1"/>
  <c r="C55" i="37"/>
  <c r="C56" i="37"/>
  <c r="C57" i="37"/>
  <c r="C58" i="37"/>
  <c r="D58" i="37" s="1"/>
  <c r="C59" i="37"/>
  <c r="D59" i="37"/>
  <c r="C60" i="37"/>
  <c r="D60" i="37" s="1"/>
  <c r="C61" i="37"/>
  <c r="D61" i="37"/>
  <c r="C62" i="37"/>
  <c r="D62" i="37" s="1"/>
  <c r="C63" i="37"/>
  <c r="D63" i="37"/>
  <c r="C64" i="37"/>
  <c r="D64" i="37" s="1"/>
  <c r="D65" i="37"/>
  <c r="C66" i="37"/>
  <c r="D66" i="37" s="1"/>
  <c r="C67" i="37"/>
  <c r="D67" i="37" s="1"/>
  <c r="C68" i="37"/>
  <c r="D68" i="37" s="1"/>
  <c r="C69" i="37"/>
  <c r="D69" i="37" s="1"/>
  <c r="C70" i="37"/>
  <c r="D70" i="37" s="1"/>
  <c r="C71" i="37"/>
  <c r="D71" i="37" s="1"/>
  <c r="D72" i="37"/>
  <c r="C73" i="37"/>
  <c r="D73" i="37" s="1"/>
  <c r="C6" i="37"/>
  <c r="D6" i="37" s="1"/>
  <c r="J88" i="2"/>
  <c r="K18" i="2"/>
  <c r="I8" i="2"/>
  <c r="K8" i="2" s="1"/>
  <c r="D16" i="42"/>
  <c r="D14" i="42"/>
  <c r="D13" i="42"/>
  <c r="D12" i="42"/>
  <c r="B39" i="29"/>
  <c r="D9" i="42"/>
  <c r="D10" i="42"/>
  <c r="D8" i="42"/>
  <c r="B79" i="41"/>
  <c r="A79" i="41"/>
  <c r="B78" i="41"/>
  <c r="A78" i="41"/>
  <c r="B76" i="41"/>
  <c r="B75" i="41"/>
  <c r="B74" i="41"/>
  <c r="A73" i="41"/>
  <c r="B72" i="41"/>
  <c r="B71" i="41"/>
  <c r="B70" i="41"/>
  <c r="B69" i="41"/>
  <c r="B68" i="41"/>
  <c r="A67" i="41"/>
  <c r="B66" i="41"/>
  <c r="A66" i="41"/>
  <c r="B65" i="41"/>
  <c r="A65" i="41"/>
  <c r="A64" i="41"/>
  <c r="B63" i="41"/>
  <c r="A63" i="41"/>
  <c r="B62" i="41"/>
  <c r="A62" i="41"/>
  <c r="B61" i="41"/>
  <c r="A61" i="41"/>
  <c r="B60" i="41"/>
  <c r="A60" i="41"/>
  <c r="B59" i="41"/>
  <c r="A59" i="41"/>
  <c r="B58" i="41"/>
  <c r="A58" i="41"/>
  <c r="B57" i="41"/>
  <c r="A57" i="41"/>
  <c r="B56" i="41"/>
  <c r="A56" i="41"/>
  <c r="B55" i="41"/>
  <c r="A55" i="41"/>
  <c r="B54" i="41"/>
  <c r="A54" i="41"/>
  <c r="B53" i="41"/>
  <c r="A53" i="41"/>
  <c r="B52" i="41"/>
  <c r="A52" i="41"/>
  <c r="A51" i="41"/>
  <c r="B50" i="41"/>
  <c r="A50" i="41"/>
  <c r="B49" i="41"/>
  <c r="A49" i="41"/>
  <c r="B48" i="41"/>
  <c r="A48" i="41"/>
  <c r="B47" i="41"/>
  <c r="A47" i="41"/>
  <c r="B46" i="41"/>
  <c r="A46" i="41"/>
  <c r="B45" i="41"/>
  <c r="A45" i="41"/>
  <c r="B44" i="41"/>
  <c r="A44" i="41"/>
  <c r="B43" i="41"/>
  <c r="A43" i="41"/>
  <c r="A42" i="41"/>
  <c r="B41" i="41"/>
  <c r="A41" i="41"/>
  <c r="B40" i="41"/>
  <c r="A40" i="41"/>
  <c r="B39" i="41"/>
  <c r="A39" i="41"/>
  <c r="A38" i="41"/>
  <c r="B37" i="41"/>
  <c r="A37" i="41"/>
  <c r="B36" i="41"/>
  <c r="A36" i="41"/>
  <c r="A35" i="41"/>
  <c r="B34" i="41"/>
  <c r="A34" i="41"/>
  <c r="B33" i="41"/>
  <c r="A33" i="41"/>
  <c r="B32" i="41"/>
  <c r="A32" i="41"/>
  <c r="B31" i="41"/>
  <c r="A31" i="41"/>
  <c r="B30" i="41"/>
  <c r="A30" i="41"/>
  <c r="B29" i="41"/>
  <c r="A29" i="41"/>
  <c r="B28" i="41"/>
  <c r="A28" i="41"/>
  <c r="B27" i="41"/>
  <c r="A27" i="41"/>
  <c r="B26" i="41"/>
  <c r="A26" i="41"/>
  <c r="A25" i="41"/>
  <c r="A24" i="41"/>
  <c r="A23" i="41"/>
  <c r="A22" i="41"/>
  <c r="A21" i="41"/>
  <c r="A20" i="41"/>
  <c r="A18" i="41"/>
  <c r="A17" i="41"/>
  <c r="A16" i="41"/>
  <c r="A15" i="41"/>
  <c r="A14" i="41"/>
  <c r="A11" i="41"/>
  <c r="D23" i="18"/>
  <c r="C46" i="17" s="1"/>
  <c r="B23" i="18"/>
  <c r="C23" i="18"/>
  <c r="C11" i="17" s="1"/>
  <c r="C8" i="25" s="1"/>
  <c r="B7" i="36"/>
  <c r="I47" i="3"/>
  <c r="K47" i="3" s="1"/>
  <c r="F31" i="17" s="1"/>
  <c r="I43" i="3"/>
  <c r="K43" i="3" s="1"/>
  <c r="F29" i="17" s="1"/>
  <c r="I33" i="3"/>
  <c r="K33" i="3" s="1"/>
  <c r="I32" i="3"/>
  <c r="K32" i="3" s="1"/>
  <c r="I31" i="3"/>
  <c r="K31" i="3" s="1"/>
  <c r="I30" i="3"/>
  <c r="K30" i="3" s="1"/>
  <c r="I29" i="3"/>
  <c r="K29" i="3" s="1"/>
  <c r="F25" i="17" s="1"/>
  <c r="I16" i="3"/>
  <c r="K16" i="3" s="1"/>
  <c r="I15" i="3"/>
  <c r="K15" i="3" s="1"/>
  <c r="I14" i="3"/>
  <c r="K14" i="3" s="1"/>
  <c r="I13" i="3"/>
  <c r="K13" i="3" s="1"/>
  <c r="B15" i="17"/>
  <c r="B32" i="29"/>
  <c r="B72" i="29"/>
  <c r="B71" i="29"/>
  <c r="B69" i="29"/>
  <c r="B68" i="29"/>
  <c r="B67" i="29"/>
  <c r="B65" i="29"/>
  <c r="B64" i="29"/>
  <c r="B63" i="29"/>
  <c r="B62" i="29"/>
  <c r="B61" i="29"/>
  <c r="B59" i="29"/>
  <c r="B58" i="29"/>
  <c r="B56" i="29"/>
  <c r="B55" i="29"/>
  <c r="B54" i="29"/>
  <c r="B53" i="29"/>
  <c r="B52" i="29"/>
  <c r="B51" i="29"/>
  <c r="B50" i="29"/>
  <c r="B47" i="29"/>
  <c r="B45" i="29"/>
  <c r="B43" i="29"/>
  <c r="B42" i="29"/>
  <c r="B41" i="29"/>
  <c r="B40" i="29"/>
  <c r="B38" i="29"/>
  <c r="B37" i="29"/>
  <c r="B36" i="29"/>
  <c r="B34" i="29"/>
  <c r="B33" i="29"/>
  <c r="B30" i="29"/>
  <c r="B29" i="29"/>
  <c r="B27" i="29"/>
  <c r="B26" i="29"/>
  <c r="B25" i="29"/>
  <c r="B24" i="29"/>
  <c r="B23" i="29"/>
  <c r="B22" i="29"/>
  <c r="B21" i="29"/>
  <c r="B20" i="29"/>
  <c r="B19" i="29"/>
  <c r="B17" i="29"/>
  <c r="B16" i="29"/>
  <c r="B15" i="29"/>
  <c r="B13" i="29"/>
  <c r="B12" i="29"/>
  <c r="B11" i="29"/>
  <c r="B10" i="29"/>
  <c r="B9" i="29"/>
  <c r="B8" i="29"/>
  <c r="B7" i="29"/>
  <c r="B5" i="29"/>
  <c r="B8" i="36"/>
  <c r="I6" i="25"/>
  <c r="I72" i="29" s="1"/>
  <c r="E72" i="31" s="1"/>
  <c r="I5" i="25"/>
  <c r="I71" i="29" s="1"/>
  <c r="L27" i="19"/>
  <c r="K68" i="29" s="1"/>
  <c r="H18" i="30" s="1"/>
  <c r="K27" i="19"/>
  <c r="J68" i="29" s="1"/>
  <c r="G18" i="30" s="1"/>
  <c r="J27" i="19"/>
  <c r="I68" i="29" s="1"/>
  <c r="B72" i="32"/>
  <c r="B71" i="32"/>
  <c r="B69" i="32"/>
  <c r="B68" i="32"/>
  <c r="B67" i="32"/>
  <c r="B65" i="32"/>
  <c r="B64" i="32"/>
  <c r="B63" i="32"/>
  <c r="B62" i="32"/>
  <c r="B61" i="32"/>
  <c r="B59" i="32"/>
  <c r="B58" i="32"/>
  <c r="B45" i="32"/>
  <c r="B43" i="32"/>
  <c r="B42" i="32"/>
  <c r="B41" i="32"/>
  <c r="B40" i="32"/>
  <c r="B39" i="32"/>
  <c r="B38" i="32"/>
  <c r="B37" i="32"/>
  <c r="B36" i="32"/>
  <c r="B34" i="32"/>
  <c r="B33" i="32"/>
  <c r="B32" i="32"/>
  <c r="B30" i="32"/>
  <c r="B29" i="32"/>
  <c r="B27" i="32"/>
  <c r="B26" i="32"/>
  <c r="B25" i="32"/>
  <c r="B24" i="32"/>
  <c r="B23" i="32"/>
  <c r="B22" i="32"/>
  <c r="B21" i="32"/>
  <c r="B20" i="32"/>
  <c r="B19" i="32"/>
  <c r="B17" i="32"/>
  <c r="B16" i="32"/>
  <c r="B15" i="32"/>
  <c r="B13" i="32"/>
  <c r="B12" i="32"/>
  <c r="B11" i="32"/>
  <c r="B10" i="32"/>
  <c r="B9" i="32"/>
  <c r="B8" i="32"/>
  <c r="B7" i="32"/>
  <c r="B5" i="32"/>
  <c r="B28" i="17"/>
  <c r="B23" i="17"/>
  <c r="I45" i="3"/>
  <c r="K45" i="3" s="1"/>
  <c r="I28" i="3"/>
  <c r="K28" i="3" s="1"/>
  <c r="F24" i="17" s="1"/>
  <c r="A11" i="31"/>
  <c r="A10" i="31"/>
  <c r="C11" i="29"/>
  <c r="C11" i="44" s="1"/>
  <c r="A11" i="29"/>
  <c r="C10" i="29"/>
  <c r="C10" i="44" s="1"/>
  <c r="A10" i="29"/>
  <c r="I53" i="2"/>
  <c r="K53" i="2" s="1"/>
  <c r="I52" i="2"/>
  <c r="K52" i="2" s="1"/>
  <c r="D11" i="29"/>
  <c r="I6" i="5"/>
  <c r="K6" i="5" s="1"/>
  <c r="N6" i="5" s="1"/>
  <c r="AA18" i="9"/>
  <c r="Z18" i="9"/>
  <c r="Y18" i="9"/>
  <c r="X18" i="9"/>
  <c r="W18" i="9"/>
  <c r="V18" i="9"/>
  <c r="A72" i="31"/>
  <c r="A71" i="31"/>
  <c r="A70" i="31"/>
  <c r="A67" i="31"/>
  <c r="A66" i="31"/>
  <c r="A65" i="31"/>
  <c r="A64" i="31"/>
  <c r="A63" i="31"/>
  <c r="A62" i="31"/>
  <c r="A61" i="31"/>
  <c r="A60" i="31"/>
  <c r="A59" i="31"/>
  <c r="A58" i="31"/>
  <c r="A57" i="31"/>
  <c r="A56" i="31"/>
  <c r="A55" i="31"/>
  <c r="A54" i="31"/>
  <c r="A53" i="31"/>
  <c r="A52" i="31"/>
  <c r="A51" i="31"/>
  <c r="A50" i="31"/>
  <c r="A49" i="31"/>
  <c r="A48" i="31"/>
  <c r="A47" i="31"/>
  <c r="A46" i="31"/>
  <c r="A45" i="31"/>
  <c r="A44" i="31"/>
  <c r="A43" i="31"/>
  <c r="A42" i="31"/>
  <c r="A41" i="31"/>
  <c r="A40" i="31"/>
  <c r="A39" i="31"/>
  <c r="A38" i="31"/>
  <c r="A37" i="31"/>
  <c r="A36" i="31"/>
  <c r="A35" i="31"/>
  <c r="A34" i="31"/>
  <c r="A33" i="31"/>
  <c r="A32" i="31"/>
  <c r="A31" i="31"/>
  <c r="A30" i="31"/>
  <c r="A28" i="31"/>
  <c r="A27" i="31"/>
  <c r="A26" i="31"/>
  <c r="A25" i="31"/>
  <c r="A24" i="31"/>
  <c r="A23" i="31"/>
  <c r="A22" i="31"/>
  <c r="A21" i="31"/>
  <c r="A20" i="31"/>
  <c r="A19" i="31"/>
  <c r="A18" i="31"/>
  <c r="A17" i="31"/>
  <c r="A16" i="31"/>
  <c r="A15" i="31"/>
  <c r="A14" i="31"/>
  <c r="A13" i="31"/>
  <c r="A9" i="31"/>
  <c r="A8" i="31"/>
  <c r="A7" i="31"/>
  <c r="L72" i="29"/>
  <c r="D72" i="29"/>
  <c r="C72" i="29"/>
  <c r="C72" i="44" s="1"/>
  <c r="A72" i="29"/>
  <c r="L71" i="29"/>
  <c r="D71" i="29"/>
  <c r="C71" i="29"/>
  <c r="C71" i="44" s="1"/>
  <c r="A71" i="29"/>
  <c r="A70" i="29"/>
  <c r="L69" i="29"/>
  <c r="D69" i="29"/>
  <c r="C69" i="29"/>
  <c r="C69" i="44" s="1"/>
  <c r="L68" i="29"/>
  <c r="D68" i="29"/>
  <c r="C68" i="29"/>
  <c r="C68" i="44" s="1"/>
  <c r="L67" i="29"/>
  <c r="D67" i="29"/>
  <c r="C67" i="29"/>
  <c r="C67" i="44" s="1"/>
  <c r="A66" i="29"/>
  <c r="L65" i="29"/>
  <c r="D65" i="29"/>
  <c r="C65" i="29"/>
  <c r="C65" i="44" s="1"/>
  <c r="L64" i="29"/>
  <c r="D64" i="29"/>
  <c r="C64" i="29"/>
  <c r="C64" i="44" s="1"/>
  <c r="L63" i="29"/>
  <c r="D63" i="29"/>
  <c r="C63" i="29"/>
  <c r="C63" i="44" s="1"/>
  <c r="L62" i="29"/>
  <c r="D62" i="29"/>
  <c r="C62" i="29"/>
  <c r="C62" i="44" s="1"/>
  <c r="L61" i="29"/>
  <c r="D61" i="29"/>
  <c r="C61" i="29"/>
  <c r="C61" i="44" s="1"/>
  <c r="A60" i="29"/>
  <c r="L59" i="29"/>
  <c r="D59" i="29"/>
  <c r="C59" i="29"/>
  <c r="C59" i="44" s="1"/>
  <c r="A59" i="29"/>
  <c r="L58" i="29"/>
  <c r="D58" i="29"/>
  <c r="C58" i="29"/>
  <c r="C58" i="44" s="1"/>
  <c r="A58" i="29"/>
  <c r="A57" i="29"/>
  <c r="L56" i="29"/>
  <c r="D56" i="29"/>
  <c r="A56" i="29"/>
  <c r="L55" i="29"/>
  <c r="D55" i="29"/>
  <c r="A55" i="29"/>
  <c r="L54" i="29"/>
  <c r="D54" i="29"/>
  <c r="A54" i="29"/>
  <c r="L53" i="29"/>
  <c r="D53" i="29"/>
  <c r="C53" i="29"/>
  <c r="C53" i="44" s="1"/>
  <c r="A53" i="29"/>
  <c r="L52" i="29"/>
  <c r="D52" i="29"/>
  <c r="C52" i="29"/>
  <c r="C52" i="44" s="1"/>
  <c r="A52" i="29"/>
  <c r="L51" i="29"/>
  <c r="D51" i="29"/>
  <c r="C51" i="29"/>
  <c r="C51" i="44" s="1"/>
  <c r="A51" i="29"/>
  <c r="L50" i="29"/>
  <c r="D50" i="29"/>
  <c r="A50" i="29"/>
  <c r="L49" i="29"/>
  <c r="D49" i="29"/>
  <c r="A49" i="29"/>
  <c r="L48" i="29"/>
  <c r="D48" i="29"/>
  <c r="A48" i="29"/>
  <c r="L47" i="29"/>
  <c r="D47" i="29"/>
  <c r="A47" i="29"/>
  <c r="L46" i="29"/>
  <c r="D46" i="29"/>
  <c r="A46" i="29"/>
  <c r="L45" i="29"/>
  <c r="D45" i="29"/>
  <c r="A45" i="29"/>
  <c r="A44" i="29"/>
  <c r="L43" i="29"/>
  <c r="D43" i="29"/>
  <c r="C43" i="29"/>
  <c r="C43" i="44" s="1"/>
  <c r="A43" i="29"/>
  <c r="L42" i="29"/>
  <c r="D42" i="29"/>
  <c r="C42" i="29"/>
  <c r="C42" i="44" s="1"/>
  <c r="A42" i="29"/>
  <c r="L41" i="29"/>
  <c r="D41" i="29"/>
  <c r="C41" i="29"/>
  <c r="C41" i="44" s="1"/>
  <c r="A41" i="29"/>
  <c r="L40" i="29"/>
  <c r="D40" i="29"/>
  <c r="C40" i="29"/>
  <c r="C40" i="44" s="1"/>
  <c r="A40" i="29"/>
  <c r="L39" i="29"/>
  <c r="D39" i="29"/>
  <c r="C39" i="29"/>
  <c r="C39" i="44" s="1"/>
  <c r="A39" i="29"/>
  <c r="L38" i="29"/>
  <c r="D38" i="29"/>
  <c r="C38" i="29"/>
  <c r="C38" i="44" s="1"/>
  <c r="A38" i="29"/>
  <c r="L37" i="29"/>
  <c r="D37" i="29"/>
  <c r="C37" i="29"/>
  <c r="C37" i="44" s="1"/>
  <c r="A37" i="29"/>
  <c r="L36" i="29"/>
  <c r="D36" i="29"/>
  <c r="C36" i="29"/>
  <c r="C36" i="44" s="1"/>
  <c r="A36" i="29"/>
  <c r="L34" i="29"/>
  <c r="D34" i="29"/>
  <c r="C34" i="29"/>
  <c r="C34" i="44" s="1"/>
  <c r="A34" i="29"/>
  <c r="L33" i="29"/>
  <c r="D33" i="29"/>
  <c r="C33" i="29"/>
  <c r="C33" i="44" s="1"/>
  <c r="A33" i="29"/>
  <c r="L32" i="29"/>
  <c r="D32" i="29"/>
  <c r="C32" i="29"/>
  <c r="C32" i="44" s="1"/>
  <c r="A32" i="29"/>
  <c r="A31" i="29"/>
  <c r="L30" i="29"/>
  <c r="D30" i="29"/>
  <c r="C30" i="29"/>
  <c r="C30" i="44" s="1"/>
  <c r="A30" i="29"/>
  <c r="L29" i="29"/>
  <c r="D29" i="29"/>
  <c r="C29" i="29"/>
  <c r="C29" i="44" s="1"/>
  <c r="A28" i="29"/>
  <c r="L27" i="29"/>
  <c r="D27" i="29"/>
  <c r="C27" i="29"/>
  <c r="C27" i="44" s="1"/>
  <c r="A27" i="29"/>
  <c r="L26" i="29"/>
  <c r="D26" i="29"/>
  <c r="C26" i="29"/>
  <c r="C26" i="44" s="1"/>
  <c r="A26" i="29"/>
  <c r="L25" i="29"/>
  <c r="D25" i="29"/>
  <c r="C25" i="29"/>
  <c r="C25" i="44" s="1"/>
  <c r="A25" i="29"/>
  <c r="L24" i="29"/>
  <c r="D24" i="29"/>
  <c r="C24" i="29"/>
  <c r="C24" i="44" s="1"/>
  <c r="A24" i="29"/>
  <c r="L23" i="29"/>
  <c r="D23" i="29"/>
  <c r="C23" i="29"/>
  <c r="C23" i="44" s="1"/>
  <c r="A23" i="29"/>
  <c r="L22" i="29"/>
  <c r="D22" i="29"/>
  <c r="C22" i="29"/>
  <c r="C22" i="44" s="1"/>
  <c r="A22" i="29"/>
  <c r="L21" i="29"/>
  <c r="D21" i="29"/>
  <c r="C21" i="29"/>
  <c r="C21" i="44" s="1"/>
  <c r="A21" i="29"/>
  <c r="L20" i="29"/>
  <c r="D20" i="29"/>
  <c r="C20" i="29"/>
  <c r="C20" i="44" s="1"/>
  <c r="A20" i="29"/>
  <c r="L19" i="29"/>
  <c r="D19" i="29"/>
  <c r="C19" i="29"/>
  <c r="C19" i="44" s="1"/>
  <c r="A19" i="29"/>
  <c r="A18" i="29"/>
  <c r="A17" i="29"/>
  <c r="D16" i="29"/>
  <c r="C16" i="29"/>
  <c r="C16" i="44" s="1"/>
  <c r="A16" i="29"/>
  <c r="D15" i="29"/>
  <c r="C15" i="29"/>
  <c r="C15" i="44" s="1"/>
  <c r="A15" i="29"/>
  <c r="A14" i="29"/>
  <c r="D13" i="29"/>
  <c r="C13" i="29"/>
  <c r="C13" i="44" s="1"/>
  <c r="A13" i="29"/>
  <c r="D12" i="29"/>
  <c r="C12" i="29"/>
  <c r="C12" i="44" s="1"/>
  <c r="D9" i="29"/>
  <c r="C9" i="29"/>
  <c r="C9" i="44" s="1"/>
  <c r="A9" i="29"/>
  <c r="D8" i="29"/>
  <c r="C8" i="29"/>
  <c r="C8" i="44" s="1"/>
  <c r="A8" i="29"/>
  <c r="D7" i="29"/>
  <c r="C7" i="29"/>
  <c r="C7" i="44" s="1"/>
  <c r="A7" i="29"/>
  <c r="D5" i="29"/>
  <c r="C5" i="29"/>
  <c r="C5" i="44" s="1"/>
  <c r="A4" i="29"/>
  <c r="B20" i="41"/>
  <c r="L12" i="29"/>
  <c r="I43" i="2"/>
  <c r="K43" i="2" s="1"/>
  <c r="K38" i="2"/>
  <c r="C28" i="17"/>
  <c r="C49" i="29" s="1"/>
  <c r="C49" i="44" s="1"/>
  <c r="C23" i="17"/>
  <c r="C48" i="29" s="1"/>
  <c r="C48" i="44" s="1"/>
  <c r="C15" i="17"/>
  <c r="C46" i="29" s="1"/>
  <c r="C46" i="44" s="1"/>
  <c r="I7" i="3"/>
  <c r="K7" i="3" s="1"/>
  <c r="H91" i="9"/>
  <c r="Y70" i="9"/>
  <c r="Y69" i="9"/>
  <c r="Y68" i="9"/>
  <c r="Y67" i="9"/>
  <c r="Y66" i="9"/>
  <c r="Y65" i="9"/>
  <c r="Y64" i="9"/>
  <c r="Y63" i="9"/>
  <c r="Y62" i="9"/>
  <c r="Y61" i="9"/>
  <c r="Y60" i="9"/>
  <c r="Y59" i="9"/>
  <c r="Y58" i="9"/>
  <c r="Y57" i="9"/>
  <c r="Y56" i="9"/>
  <c r="Y55" i="9"/>
  <c r="Y54" i="9"/>
  <c r="Y49" i="9"/>
  <c r="Y48" i="9"/>
  <c r="Y47" i="9"/>
  <c r="Y46" i="9"/>
  <c r="Y45" i="9"/>
  <c r="Y44" i="9"/>
  <c r="Y43" i="9"/>
  <c r="Y42" i="9"/>
  <c r="Y41" i="9"/>
  <c r="Y40" i="9"/>
  <c r="Y39" i="9"/>
  <c r="Y35" i="9" s="1"/>
  <c r="H49" i="12" s="1"/>
  <c r="Y32" i="9"/>
  <c r="Y31" i="9"/>
  <c r="Y30" i="9"/>
  <c r="Y29" i="9"/>
  <c r="Y28" i="9"/>
  <c r="Y27" i="9"/>
  <c r="I15" i="9"/>
  <c r="K15" i="9" s="1"/>
  <c r="V16" i="9"/>
  <c r="I65" i="3"/>
  <c r="K65" i="3" s="1"/>
  <c r="N65" i="3" s="1"/>
  <c r="I61" i="3"/>
  <c r="K61" i="3" s="1"/>
  <c r="F36" i="17" s="1"/>
  <c r="E51" i="29" s="1"/>
  <c r="Y57" i="3"/>
  <c r="Y45" i="3"/>
  <c r="Y30" i="3"/>
  <c r="Y23" i="3"/>
  <c r="Y15" i="3"/>
  <c r="I16" i="11"/>
  <c r="K16" i="11" s="1"/>
  <c r="I13" i="11"/>
  <c r="K13" i="11" s="1"/>
  <c r="N13" i="11" s="1"/>
  <c r="V13" i="11" s="1"/>
  <c r="E66" i="12" s="1"/>
  <c r="I6" i="11"/>
  <c r="K6" i="11" s="1"/>
  <c r="N6" i="11" s="1"/>
  <c r="V6" i="11" s="1"/>
  <c r="E63" i="12" s="1"/>
  <c r="I26" i="8"/>
  <c r="K26" i="8" s="1"/>
  <c r="N26" i="8" s="1"/>
  <c r="AA26" i="8" s="1"/>
  <c r="I24" i="8"/>
  <c r="K24" i="8" s="1"/>
  <c r="N24" i="8" s="1"/>
  <c r="I19" i="8"/>
  <c r="K19" i="8" s="1"/>
  <c r="I13" i="8"/>
  <c r="K13" i="8" s="1"/>
  <c r="I7" i="8"/>
  <c r="K7" i="8" s="1"/>
  <c r="K10" i="10"/>
  <c r="N10" i="10" s="1"/>
  <c r="I8" i="10"/>
  <c r="K8" i="10" s="1"/>
  <c r="I6" i="10"/>
  <c r="K6" i="10" s="1"/>
  <c r="F9" i="19" s="1"/>
  <c r="I8" i="13"/>
  <c r="I6" i="13"/>
  <c r="I64" i="3"/>
  <c r="K64" i="3" s="1"/>
  <c r="I60" i="3"/>
  <c r="K60" i="3" s="1"/>
  <c r="I56" i="3"/>
  <c r="K56" i="3" s="1"/>
  <c r="N56" i="3" s="1"/>
  <c r="I14" i="9"/>
  <c r="K14" i="9" s="1"/>
  <c r="N14" i="9" s="1"/>
  <c r="I36" i="3"/>
  <c r="K36" i="3" s="1"/>
  <c r="I26" i="3"/>
  <c r="K26" i="3" s="1"/>
  <c r="I19" i="3"/>
  <c r="K19" i="3" s="1"/>
  <c r="I12" i="4"/>
  <c r="K12" i="4" s="1"/>
  <c r="E7" i="16" s="1"/>
  <c r="E34" i="29" s="1"/>
  <c r="E34" i="44" s="1"/>
  <c r="F35" i="37" s="1"/>
  <c r="I10" i="4"/>
  <c r="K10" i="4" s="1"/>
  <c r="I7" i="4"/>
  <c r="K7" i="4" s="1"/>
  <c r="N8" i="4" s="1"/>
  <c r="I35" i="2"/>
  <c r="K35" i="2" s="1"/>
  <c r="I36" i="2"/>
  <c r="K36" i="2" s="1"/>
  <c r="N36" i="2" s="1"/>
  <c r="I31" i="7"/>
  <c r="K31" i="7" s="1"/>
  <c r="I35" i="5"/>
  <c r="K35" i="5" s="1"/>
  <c r="N35" i="5" s="1"/>
  <c r="Y35" i="5" s="1"/>
  <c r="H25" i="12" s="1"/>
  <c r="I43" i="5"/>
  <c r="K43" i="5" s="1"/>
  <c r="I38" i="5"/>
  <c r="K38" i="5" s="1"/>
  <c r="N38" i="5" s="1"/>
  <c r="I30" i="5"/>
  <c r="K30" i="5" s="1"/>
  <c r="I23" i="5"/>
  <c r="K23" i="5" s="1"/>
  <c r="I16" i="5"/>
  <c r="K16" i="5" s="1"/>
  <c r="K12" i="5"/>
  <c r="I63" i="2"/>
  <c r="K63" i="2" s="1"/>
  <c r="I62" i="2"/>
  <c r="K62" i="2" s="1"/>
  <c r="A6" i="37"/>
  <c r="A5" i="44" s="1"/>
  <c r="A12" i="29"/>
  <c r="L17" i="29"/>
  <c r="B15" i="41"/>
  <c r="L7" i="29"/>
  <c r="B12" i="41"/>
  <c r="AA38" i="7"/>
  <c r="Z38" i="7"/>
  <c r="Y38" i="7"/>
  <c r="X38" i="7"/>
  <c r="W38" i="7"/>
  <c r="V38" i="7"/>
  <c r="W17" i="2"/>
  <c r="W18" i="2"/>
  <c r="X17" i="2"/>
  <c r="X18" i="2"/>
  <c r="Y17" i="2"/>
  <c r="Y18" i="2"/>
  <c r="Z17" i="2"/>
  <c r="Z18" i="2"/>
  <c r="AA17" i="2"/>
  <c r="AA18" i="2"/>
  <c r="V17" i="2"/>
  <c r="V18" i="2"/>
  <c r="C47" i="12"/>
  <c r="D57" i="12"/>
  <c r="K64" i="12"/>
  <c r="X7" i="2"/>
  <c r="W39" i="9"/>
  <c r="X39" i="9"/>
  <c r="Z39" i="9"/>
  <c r="AA39" i="9"/>
  <c r="V39" i="9"/>
  <c r="K57" i="2"/>
  <c r="K17" i="2"/>
  <c r="K7" i="2"/>
  <c r="D12" i="12"/>
  <c r="C63" i="12"/>
  <c r="B69" i="12"/>
  <c r="C69" i="12"/>
  <c r="D69" i="12"/>
  <c r="H69" i="12"/>
  <c r="B70" i="12"/>
  <c r="C70" i="12"/>
  <c r="D70" i="12"/>
  <c r="H70" i="12"/>
  <c r="C68" i="12"/>
  <c r="A68" i="12"/>
  <c r="B63" i="12"/>
  <c r="D63" i="12"/>
  <c r="B64" i="12"/>
  <c r="C64" i="12"/>
  <c r="D64" i="12"/>
  <c r="E64" i="12"/>
  <c r="F64" i="12"/>
  <c r="G64" i="12"/>
  <c r="H64" i="12"/>
  <c r="I64" i="12"/>
  <c r="J64" i="12"/>
  <c r="B65" i="12"/>
  <c r="C65" i="12"/>
  <c r="D65" i="12"/>
  <c r="V11" i="11"/>
  <c r="E65" i="12" s="1"/>
  <c r="W11" i="11"/>
  <c r="F65" i="12" s="1"/>
  <c r="X11" i="11"/>
  <c r="G65" i="12" s="1"/>
  <c r="H65" i="12"/>
  <c r="I65" i="12"/>
  <c r="J65" i="12"/>
  <c r="B66" i="12"/>
  <c r="C66" i="12"/>
  <c r="D66" i="12"/>
  <c r="H66" i="12"/>
  <c r="I66" i="12"/>
  <c r="J66" i="12"/>
  <c r="B67" i="12"/>
  <c r="C67" i="12"/>
  <c r="D67" i="12"/>
  <c r="C62" i="12"/>
  <c r="A62" i="12"/>
  <c r="B57" i="12"/>
  <c r="C57" i="12"/>
  <c r="B58" i="12"/>
  <c r="C58" i="12"/>
  <c r="D58" i="12"/>
  <c r="B59" i="12"/>
  <c r="C59" i="12"/>
  <c r="D59" i="12"/>
  <c r="B60" i="12"/>
  <c r="C60" i="12"/>
  <c r="D60" i="12"/>
  <c r="B61" i="12"/>
  <c r="C61" i="12"/>
  <c r="D61" i="12"/>
  <c r="C56" i="12"/>
  <c r="A56" i="12"/>
  <c r="B53" i="12"/>
  <c r="C53" i="12"/>
  <c r="D53" i="12"/>
  <c r="H53" i="12"/>
  <c r="B54" i="12"/>
  <c r="C54" i="12"/>
  <c r="D54" i="12"/>
  <c r="B55" i="12"/>
  <c r="C55" i="12"/>
  <c r="D55" i="12"/>
  <c r="C52" i="12"/>
  <c r="A52" i="12"/>
  <c r="B47" i="12"/>
  <c r="D47" i="12"/>
  <c r="B48" i="12"/>
  <c r="C48" i="12"/>
  <c r="D48" i="12"/>
  <c r="B49" i="12"/>
  <c r="C49" i="12"/>
  <c r="D49" i="12"/>
  <c r="K39" i="9"/>
  <c r="B50" i="12"/>
  <c r="C50" i="12"/>
  <c r="D50" i="12"/>
  <c r="V51" i="9"/>
  <c r="E50" i="12" s="1"/>
  <c r="W51" i="9"/>
  <c r="F50" i="12" s="1"/>
  <c r="X51" i="9"/>
  <c r="G50" i="12"/>
  <c r="Y51" i="9"/>
  <c r="H50" i="12" s="1"/>
  <c r="Z51" i="9"/>
  <c r="I50" i="12"/>
  <c r="AA51" i="9"/>
  <c r="J50" i="12" s="1"/>
  <c r="B51" i="12"/>
  <c r="C51" i="12"/>
  <c r="D51" i="12"/>
  <c r="V54" i="9"/>
  <c r="W54" i="9"/>
  <c r="X54" i="9"/>
  <c r="Z54" i="9"/>
  <c r="AA54" i="9"/>
  <c r="AA53" i="9" s="1"/>
  <c r="J51" i="12" s="1"/>
  <c r="C46" i="12"/>
  <c r="A46" i="12"/>
  <c r="K37" i="3"/>
  <c r="K38" i="3"/>
  <c r="K39" i="3"/>
  <c r="K40" i="3"/>
  <c r="K41" i="3"/>
  <c r="W45" i="3"/>
  <c r="AA45" i="3"/>
  <c r="V45" i="3"/>
  <c r="W15" i="3"/>
  <c r="X15" i="3"/>
  <c r="Z15" i="3"/>
  <c r="AA15" i="3"/>
  <c r="K8" i="3"/>
  <c r="K9" i="3"/>
  <c r="K10" i="3"/>
  <c r="K11" i="3"/>
  <c r="V15" i="3"/>
  <c r="B44" i="12"/>
  <c r="C44" i="12"/>
  <c r="D44" i="12"/>
  <c r="B45" i="12"/>
  <c r="C45" i="12"/>
  <c r="D45" i="12"/>
  <c r="B39" i="12"/>
  <c r="C39" i="12"/>
  <c r="D39" i="12"/>
  <c r="B40" i="12"/>
  <c r="C40" i="12"/>
  <c r="D40" i="12"/>
  <c r="B41" i="12"/>
  <c r="C41" i="12"/>
  <c r="D41" i="12"/>
  <c r="B42" i="12"/>
  <c r="C42" i="12"/>
  <c r="D42" i="12"/>
  <c r="B43" i="12"/>
  <c r="C43" i="12"/>
  <c r="D43" i="12"/>
  <c r="C38" i="12"/>
  <c r="A38" i="12"/>
  <c r="B34" i="12"/>
  <c r="C34" i="12"/>
  <c r="D34" i="12"/>
  <c r="B35" i="12"/>
  <c r="C35" i="12"/>
  <c r="D35" i="12"/>
  <c r="B36" i="12"/>
  <c r="C36" i="12"/>
  <c r="D36" i="12"/>
  <c r="B37" i="12"/>
  <c r="C37" i="12"/>
  <c r="D37" i="12"/>
  <c r="V14" i="4"/>
  <c r="E37" i="12" s="1"/>
  <c r="W14" i="4"/>
  <c r="F37" i="12" s="1"/>
  <c r="X14" i="4"/>
  <c r="G37" i="12" s="1"/>
  <c r="Y14" i="4"/>
  <c r="H37" i="12" s="1"/>
  <c r="Z14" i="4"/>
  <c r="I37" i="12" s="1"/>
  <c r="AA14" i="4"/>
  <c r="J37" i="12" s="1"/>
  <c r="C33" i="12"/>
  <c r="A33" i="12"/>
  <c r="B31" i="12"/>
  <c r="C31" i="12"/>
  <c r="D31" i="12"/>
  <c r="B32" i="12"/>
  <c r="C32" i="12"/>
  <c r="D32" i="12"/>
  <c r="V35" i="7"/>
  <c r="W35" i="7"/>
  <c r="X35" i="7"/>
  <c r="Y35" i="7"/>
  <c r="Z35" i="7"/>
  <c r="AA35" i="7"/>
  <c r="B30" i="12"/>
  <c r="C30" i="12"/>
  <c r="D30" i="12"/>
  <c r="C29" i="12"/>
  <c r="A29" i="12"/>
  <c r="W65" i="2"/>
  <c r="F18" i="12" s="1"/>
  <c r="X65" i="2"/>
  <c r="G18" i="12"/>
  <c r="Y65" i="2"/>
  <c r="H18" i="12" s="1"/>
  <c r="Z65" i="2"/>
  <c r="I18" i="12" s="1"/>
  <c r="AA65" i="2"/>
  <c r="J18" i="12" s="1"/>
  <c r="V65" i="2"/>
  <c r="E18" i="12" s="1"/>
  <c r="B21" i="12"/>
  <c r="C21" i="12"/>
  <c r="D21" i="12"/>
  <c r="B22" i="12"/>
  <c r="C22" i="12"/>
  <c r="D22" i="12"/>
  <c r="W15" i="5"/>
  <c r="X15" i="5"/>
  <c r="Y15" i="5"/>
  <c r="Z15" i="5"/>
  <c r="AA15" i="5"/>
  <c r="B23" i="12"/>
  <c r="C23" i="12"/>
  <c r="D23" i="12"/>
  <c r="W22" i="5"/>
  <c r="X22" i="5"/>
  <c r="Y22" i="5"/>
  <c r="Z22" i="5"/>
  <c r="AA22" i="5"/>
  <c r="B24" i="12"/>
  <c r="C24" i="12"/>
  <c r="D24" i="12"/>
  <c r="V29" i="5"/>
  <c r="W29" i="5"/>
  <c r="X29" i="5"/>
  <c r="Y29" i="5"/>
  <c r="Z29" i="5"/>
  <c r="AA29" i="5"/>
  <c r="B25" i="12"/>
  <c r="C25" i="12"/>
  <c r="D25" i="12"/>
  <c r="B26" i="12"/>
  <c r="C26" i="12"/>
  <c r="D26" i="12"/>
  <c r="V39" i="5"/>
  <c r="W39" i="5"/>
  <c r="X39" i="5"/>
  <c r="Y39" i="5"/>
  <c r="Z39" i="5"/>
  <c r="AA39" i="5"/>
  <c r="B27" i="12"/>
  <c r="C27" i="12"/>
  <c r="D27" i="12"/>
  <c r="V41" i="5"/>
  <c r="E27" i="12" s="1"/>
  <c r="W41" i="5"/>
  <c r="F27" i="12" s="1"/>
  <c r="X41" i="5"/>
  <c r="G27" i="12" s="1"/>
  <c r="Y41" i="5"/>
  <c r="H27" i="12" s="1"/>
  <c r="Z41" i="5"/>
  <c r="I27" i="12" s="1"/>
  <c r="AA41" i="5"/>
  <c r="J27" i="12" s="1"/>
  <c r="B28" i="12"/>
  <c r="C28" i="12"/>
  <c r="D28" i="12"/>
  <c r="K39" i="2"/>
  <c r="K44" i="2"/>
  <c r="K45" i="2"/>
  <c r="B20" i="12"/>
  <c r="C20" i="12"/>
  <c r="D20" i="12"/>
  <c r="C19" i="12"/>
  <c r="A19" i="12"/>
  <c r="B17" i="12"/>
  <c r="C17" i="12"/>
  <c r="D17" i="12"/>
  <c r="B18" i="12"/>
  <c r="C18" i="12"/>
  <c r="D18" i="12"/>
  <c r="B15" i="12"/>
  <c r="C15" i="12"/>
  <c r="D15" i="12"/>
  <c r="B16" i="12"/>
  <c r="C16" i="12"/>
  <c r="D16" i="12"/>
  <c r="V57" i="2"/>
  <c r="V58" i="2"/>
  <c r="V56" i="2" s="1"/>
  <c r="E16" i="12" s="1"/>
  <c r="W57" i="2"/>
  <c r="W58" i="2"/>
  <c r="X57" i="2"/>
  <c r="X58" i="2"/>
  <c r="X56" i="2" s="1"/>
  <c r="G16" i="12" s="1"/>
  <c r="Y57" i="2"/>
  <c r="Y58" i="2"/>
  <c r="Z57" i="2"/>
  <c r="Z58" i="2"/>
  <c r="Z56" i="2" s="1"/>
  <c r="I16" i="12" s="1"/>
  <c r="AA57" i="2"/>
  <c r="AA58" i="2"/>
  <c r="B14" i="12"/>
  <c r="C14" i="12"/>
  <c r="D14" i="12"/>
  <c r="B13" i="12"/>
  <c r="C13" i="12"/>
  <c r="D13" i="12"/>
  <c r="V7" i="2"/>
  <c r="W7" i="2"/>
  <c r="Y7" i="2"/>
  <c r="Z7" i="2"/>
  <c r="AA7" i="2"/>
  <c r="B12" i="12"/>
  <c r="C12" i="12"/>
  <c r="C11" i="12"/>
  <c r="A11" i="12"/>
  <c r="K48" i="9"/>
  <c r="K49" i="9"/>
  <c r="K47" i="9"/>
  <c r="K46" i="9"/>
  <c r="K45" i="9"/>
  <c r="K44" i="9"/>
  <c r="K43" i="9"/>
  <c r="K42" i="9"/>
  <c r="K41" i="9"/>
  <c r="K40" i="9"/>
  <c r="K25" i="9"/>
  <c r="K26" i="9"/>
  <c r="K27" i="9"/>
  <c r="K28" i="9"/>
  <c r="K29" i="9"/>
  <c r="K30" i="9"/>
  <c r="K31" i="9"/>
  <c r="K32" i="9"/>
  <c r="AA49" i="9"/>
  <c r="Z49" i="9"/>
  <c r="X49" i="9"/>
  <c r="W49" i="9"/>
  <c r="V49" i="9"/>
  <c r="AA48" i="9"/>
  <c r="Z48" i="9"/>
  <c r="X48" i="9"/>
  <c r="W48" i="9"/>
  <c r="V48" i="9"/>
  <c r="AA47" i="9"/>
  <c r="Z47" i="9"/>
  <c r="X47" i="9"/>
  <c r="W47" i="9"/>
  <c r="V47" i="9"/>
  <c r="AA46" i="9"/>
  <c r="Z46" i="9"/>
  <c r="X46" i="9"/>
  <c r="W46" i="9"/>
  <c r="V46" i="9"/>
  <c r="AA45" i="9"/>
  <c r="Z45" i="9"/>
  <c r="X45" i="9"/>
  <c r="W45" i="9"/>
  <c r="V45" i="9"/>
  <c r="AA44" i="9"/>
  <c r="Z44" i="9"/>
  <c r="X44" i="9"/>
  <c r="W44" i="9"/>
  <c r="V44" i="9"/>
  <c r="AA43" i="9"/>
  <c r="Z43" i="9"/>
  <c r="X43" i="9"/>
  <c r="W43" i="9"/>
  <c r="V43" i="9"/>
  <c r="AA42" i="9"/>
  <c r="Z42" i="9"/>
  <c r="X42" i="9"/>
  <c r="W42" i="9"/>
  <c r="V42" i="9"/>
  <c r="AA41" i="9"/>
  <c r="Z41" i="9"/>
  <c r="X41" i="9"/>
  <c r="W41" i="9"/>
  <c r="V41" i="9"/>
  <c r="AA40" i="9"/>
  <c r="Z40" i="9"/>
  <c r="X40" i="9"/>
  <c r="W40" i="9"/>
  <c r="V40" i="9"/>
  <c r="AA32" i="9"/>
  <c r="Z32" i="9"/>
  <c r="X32" i="9"/>
  <c r="W32" i="9"/>
  <c r="V32" i="9"/>
  <c r="AA31" i="9"/>
  <c r="Z31" i="9"/>
  <c r="X31" i="9"/>
  <c r="W31" i="9"/>
  <c r="V31" i="9"/>
  <c r="AA30" i="9"/>
  <c r="Z30" i="9"/>
  <c r="X30" i="9"/>
  <c r="W30" i="9"/>
  <c r="V30" i="9"/>
  <c r="AA29" i="9"/>
  <c r="Z29" i="9"/>
  <c r="X29" i="9"/>
  <c r="W29" i="9"/>
  <c r="V29" i="9"/>
  <c r="AA28" i="9"/>
  <c r="Z28" i="9"/>
  <c r="X28" i="9"/>
  <c r="W28" i="9"/>
  <c r="V28" i="9"/>
  <c r="AA27" i="9"/>
  <c r="Z27" i="9"/>
  <c r="X27" i="9"/>
  <c r="W27" i="9"/>
  <c r="V27" i="9"/>
  <c r="AA70" i="9"/>
  <c r="Z70" i="9"/>
  <c r="X70" i="9"/>
  <c r="W70" i="9"/>
  <c r="V70" i="9"/>
  <c r="V55" i="9"/>
  <c r="W55" i="9"/>
  <c r="X55" i="9"/>
  <c r="Z55" i="9"/>
  <c r="AA55" i="9"/>
  <c r="V56" i="9"/>
  <c r="W56" i="9"/>
  <c r="X56" i="9"/>
  <c r="Z56" i="9"/>
  <c r="AA56" i="9"/>
  <c r="V57" i="9"/>
  <c r="W57" i="9"/>
  <c r="X57" i="9"/>
  <c r="Z57" i="9"/>
  <c r="AA57" i="9"/>
  <c r="V58" i="9"/>
  <c r="W58" i="9"/>
  <c r="X58" i="9"/>
  <c r="Z58" i="9"/>
  <c r="AA58" i="9"/>
  <c r="V59" i="9"/>
  <c r="W59" i="9"/>
  <c r="X59" i="9"/>
  <c r="Z59" i="9"/>
  <c r="AA59" i="9"/>
  <c r="V60" i="9"/>
  <c r="W60" i="9"/>
  <c r="X60" i="9"/>
  <c r="Z60" i="9"/>
  <c r="AA60" i="9"/>
  <c r="V61" i="9"/>
  <c r="W61" i="9"/>
  <c r="X61" i="9"/>
  <c r="Z61" i="9"/>
  <c r="AA61" i="9"/>
  <c r="V62" i="9"/>
  <c r="W62" i="9"/>
  <c r="X62" i="9"/>
  <c r="Z62" i="9"/>
  <c r="AA62" i="9"/>
  <c r="V63" i="9"/>
  <c r="W63" i="9"/>
  <c r="X63" i="9"/>
  <c r="Z63" i="9"/>
  <c r="AA63" i="9"/>
  <c r="V64" i="9"/>
  <c r="W64" i="9"/>
  <c r="X64" i="9"/>
  <c r="Z64" i="9"/>
  <c r="AA64" i="9"/>
  <c r="V65" i="9"/>
  <c r="W65" i="9"/>
  <c r="X65" i="9"/>
  <c r="Z65" i="9"/>
  <c r="AA65" i="9"/>
  <c r="V66" i="9"/>
  <c r="W66" i="9"/>
  <c r="X66" i="9"/>
  <c r="Z66" i="9"/>
  <c r="AA66" i="9"/>
  <c r="V67" i="9"/>
  <c r="W67" i="9"/>
  <c r="X67" i="9"/>
  <c r="Z67" i="9"/>
  <c r="AA67" i="9"/>
  <c r="V68" i="9"/>
  <c r="W68" i="9"/>
  <c r="X68" i="9"/>
  <c r="Z68" i="9"/>
  <c r="AA68" i="9"/>
  <c r="V69" i="9"/>
  <c r="W69" i="9"/>
  <c r="X69" i="9"/>
  <c r="Z69" i="9"/>
  <c r="AA69" i="9"/>
  <c r="AA36" i="7"/>
  <c r="Z36" i="7"/>
  <c r="Y36" i="7"/>
  <c r="X36" i="7"/>
  <c r="W36" i="7"/>
  <c r="V36" i="7"/>
  <c r="V44" i="2"/>
  <c r="W44" i="2"/>
  <c r="X44" i="2"/>
  <c r="Y44" i="2"/>
  <c r="Z44" i="2"/>
  <c r="AA44" i="2"/>
  <c r="AA57" i="3"/>
  <c r="Z57" i="3"/>
  <c r="X57" i="3"/>
  <c r="W57" i="3"/>
  <c r="V57" i="3"/>
  <c r="Z45" i="3"/>
  <c r="X45" i="3"/>
  <c r="AA30" i="3"/>
  <c r="Z30" i="3"/>
  <c r="X30" i="3"/>
  <c r="W30" i="3"/>
  <c r="V30" i="3"/>
  <c r="AA23" i="3"/>
  <c r="Z23" i="3"/>
  <c r="X23" i="3"/>
  <c r="W23" i="3"/>
  <c r="V23" i="3"/>
  <c r="W8" i="2"/>
  <c r="X8" i="2"/>
  <c r="Y8" i="2"/>
  <c r="Z8" i="2"/>
  <c r="AA8" i="2"/>
  <c r="V8" i="2"/>
  <c r="J26" i="19"/>
  <c r="I67" i="29" s="1"/>
  <c r="E67" i="31" s="1"/>
  <c r="L26" i="19"/>
  <c r="K67" i="29" s="1"/>
  <c r="G67" i="31" s="1"/>
  <c r="D10" i="29"/>
  <c r="H63" i="12"/>
  <c r="J63" i="12"/>
  <c r="I44" i="3"/>
  <c r="K44" i="3" s="1"/>
  <c r="I46" i="3"/>
  <c r="K46" i="3" s="1"/>
  <c r="K26" i="19"/>
  <c r="J67" i="29" s="1"/>
  <c r="G17" i="30" s="1"/>
  <c r="I63" i="12"/>
  <c r="D42" i="37"/>
  <c r="D38" i="37"/>
  <c r="D17" i="29"/>
  <c r="F16" i="15"/>
  <c r="E23" i="29" s="1"/>
  <c r="F17" i="15"/>
  <c r="E24" i="29" s="1"/>
  <c r="F18" i="17"/>
  <c r="J16" i="15"/>
  <c r="I23" i="29" s="1"/>
  <c r="E23" i="31" s="1"/>
  <c r="F20" i="17"/>
  <c r="E47" i="29" s="1"/>
  <c r="L17" i="15"/>
  <c r="K24" i="29" s="1"/>
  <c r="G24" i="31" s="1"/>
  <c r="H17" i="15"/>
  <c r="G24" i="29" s="1"/>
  <c r="C24" i="31" s="1"/>
  <c r="G17" i="15"/>
  <c r="F24" i="29" s="1"/>
  <c r="B24" i="31" s="1"/>
  <c r="J17" i="15"/>
  <c r="I24" i="29" s="1"/>
  <c r="E24" i="31" s="1"/>
  <c r="K17" i="15"/>
  <c r="J24" i="29" s="1"/>
  <c r="F24" i="31" s="1"/>
  <c r="I17" i="15"/>
  <c r="H24" i="29" s="1"/>
  <c r="D24" i="31" s="1"/>
  <c r="L20" i="17"/>
  <c r="K47" i="29" s="1"/>
  <c r="H20" i="17"/>
  <c r="G47" i="29" s="1"/>
  <c r="C47" i="31" s="1"/>
  <c r="K20" i="17"/>
  <c r="J47" i="29" s="1"/>
  <c r="F47" i="31" s="1"/>
  <c r="G20" i="17"/>
  <c r="F47" i="29" s="1"/>
  <c r="B47" i="31" s="1"/>
  <c r="J20" i="17"/>
  <c r="I47" i="29" s="1"/>
  <c r="E47" i="31" s="1"/>
  <c r="I20" i="17"/>
  <c r="H47" i="29" s="1"/>
  <c r="D47" i="31" s="1"/>
  <c r="Z25" i="9"/>
  <c r="N52" i="3"/>
  <c r="V52" i="3" s="1"/>
  <c r="V35" i="9" l="1"/>
  <c r="E49" i="12" s="1"/>
  <c r="X35" i="9"/>
  <c r="G49" i="12" s="1"/>
  <c r="W53" i="9"/>
  <c r="F51" i="12" s="1"/>
  <c r="N8" i="13"/>
  <c r="Z8" i="13" s="1"/>
  <c r="K8" i="13"/>
  <c r="E6" i="25" s="1"/>
  <c r="E72" i="29" s="1"/>
  <c r="E72" i="44" s="1"/>
  <c r="F73" i="37" s="1"/>
  <c r="K6" i="13"/>
  <c r="B6" i="18"/>
  <c r="E42" i="37" s="1"/>
  <c r="AA8" i="13"/>
  <c r="Y10" i="10"/>
  <c r="H55" i="12" s="1"/>
  <c r="X10" i="10"/>
  <c r="G55" i="12" s="1"/>
  <c r="V10" i="10"/>
  <c r="E55" i="12" s="1"/>
  <c r="Z10" i="10"/>
  <c r="I55" i="12" s="1"/>
  <c r="V53" i="9"/>
  <c r="E51" i="12" s="1"/>
  <c r="Z53" i="9"/>
  <c r="I51" i="12" s="1"/>
  <c r="AA35" i="9"/>
  <c r="J49" i="12" s="1"/>
  <c r="X53" i="9"/>
  <c r="G51" i="12" s="1"/>
  <c r="Z35" i="9"/>
  <c r="I49" i="12" s="1"/>
  <c r="W35" i="9"/>
  <c r="F49" i="12" s="1"/>
  <c r="Y53" i="9"/>
  <c r="H51" i="12" s="1"/>
  <c r="D41" i="37"/>
  <c r="D37" i="37"/>
  <c r="E3" i="19"/>
  <c r="B3" i="19"/>
  <c r="B3" i="29"/>
  <c r="B3" i="44"/>
  <c r="B3" i="26"/>
  <c r="B4" i="25"/>
  <c r="B4" i="16"/>
  <c r="B4" i="17"/>
  <c r="B4" i="15"/>
  <c r="B8" i="19"/>
  <c r="B4" i="14"/>
  <c r="N8" i="10"/>
  <c r="F10" i="19"/>
  <c r="A54" i="44"/>
  <c r="A56" i="44"/>
  <c r="A48" i="44"/>
  <c r="A51" i="44"/>
  <c r="A50" i="44"/>
  <c r="A52" i="44"/>
  <c r="A46" i="44"/>
  <c r="A44" i="44"/>
  <c r="A45" i="44"/>
  <c r="A60" i="44"/>
  <c r="A68" i="44"/>
  <c r="A57" i="44"/>
  <c r="A61" i="44"/>
  <c r="A65" i="44"/>
  <c r="A69" i="44"/>
  <c r="A58" i="44"/>
  <c r="A62" i="44"/>
  <c r="A66" i="44"/>
  <c r="A64" i="44"/>
  <c r="A59" i="44"/>
  <c r="A63" i="44"/>
  <c r="A67" i="44"/>
  <c r="A37" i="44"/>
  <c r="A31" i="44"/>
  <c r="A35" i="44"/>
  <c r="A39" i="44"/>
  <c r="A33" i="44"/>
  <c r="A41" i="44"/>
  <c r="A34" i="44"/>
  <c r="A38" i="44"/>
  <c r="A42" i="44"/>
  <c r="A32" i="44"/>
  <c r="A36" i="44"/>
  <c r="A40" i="44"/>
  <c r="A30" i="44"/>
  <c r="A28" i="44"/>
  <c r="A26" i="44"/>
  <c r="A27" i="44"/>
  <c r="A25" i="44"/>
  <c r="A23" i="44"/>
  <c r="A24" i="44"/>
  <c r="A22" i="44"/>
  <c r="A21" i="44"/>
  <c r="A18" i="44"/>
  <c r="A19" i="44"/>
  <c r="A20" i="44"/>
  <c r="A15" i="44"/>
  <c r="A16" i="44"/>
  <c r="A14" i="44"/>
  <c r="A17" i="44"/>
  <c r="A11" i="44"/>
  <c r="A13" i="44"/>
  <c r="A10" i="44"/>
  <c r="A8" i="44"/>
  <c r="A7" i="44"/>
  <c r="A4" i="44"/>
  <c r="B49" i="44"/>
  <c r="B46" i="44"/>
  <c r="E24" i="44"/>
  <c r="F25" i="37" s="1"/>
  <c r="G25" i="37" s="1"/>
  <c r="E47" i="44"/>
  <c r="F48" i="37" s="1"/>
  <c r="G48" i="37" s="1"/>
  <c r="E23" i="44"/>
  <c r="F24" i="37" s="1"/>
  <c r="E51" i="44"/>
  <c r="F52" i="37" s="1"/>
  <c r="B48" i="44"/>
  <c r="V34" i="7"/>
  <c r="E32" i="12" s="1"/>
  <c r="AA10" i="10"/>
  <c r="J55" i="12" s="1"/>
  <c r="W10" i="10"/>
  <c r="F55" i="12" s="1"/>
  <c r="Y34" i="7"/>
  <c r="H32" i="12" s="1"/>
  <c r="Z34" i="7"/>
  <c r="I32" i="12" s="1"/>
  <c r="F17" i="17"/>
  <c r="N19" i="11"/>
  <c r="N18" i="11"/>
  <c r="N17" i="11"/>
  <c r="Y17" i="11" s="1"/>
  <c r="N16" i="11"/>
  <c r="C17" i="29"/>
  <c r="C17" i="44" s="1"/>
  <c r="F38" i="17"/>
  <c r="E52" i="29" s="1"/>
  <c r="N61" i="3"/>
  <c r="B46" i="29"/>
  <c r="B48" i="29"/>
  <c r="E68" i="37"/>
  <c r="E27" i="37"/>
  <c r="E26" i="37"/>
  <c r="E53" i="37"/>
  <c r="E11" i="37"/>
  <c r="E14" i="37"/>
  <c r="E37" i="37"/>
  <c r="E20" i="37"/>
  <c r="E25" i="37"/>
  <c r="E16" i="37"/>
  <c r="E33" i="37"/>
  <c r="E13" i="37"/>
  <c r="E66" i="37"/>
  <c r="E8" i="37"/>
  <c r="C45" i="17"/>
  <c r="C55" i="29" s="1"/>
  <c r="E31" i="37"/>
  <c r="C34" i="17"/>
  <c r="E32" i="37"/>
  <c r="C48" i="17"/>
  <c r="C56" i="29" s="1"/>
  <c r="E44" i="37"/>
  <c r="E30" i="37"/>
  <c r="E69" i="37"/>
  <c r="E47" i="37"/>
  <c r="E40" i="37"/>
  <c r="E70" i="37"/>
  <c r="C21" i="17"/>
  <c r="C9" i="17"/>
  <c r="E65" i="37"/>
  <c r="E59" i="37"/>
  <c r="E39" i="37"/>
  <c r="E50" i="37"/>
  <c r="E73" i="37"/>
  <c r="E63" i="37"/>
  <c r="C8" i="17"/>
  <c r="C45" i="29" s="1"/>
  <c r="E60" i="37"/>
  <c r="I7" i="9"/>
  <c r="K7" i="9" s="1"/>
  <c r="C43" i="17"/>
  <c r="C49" i="17"/>
  <c r="E21" i="37"/>
  <c r="F12" i="14"/>
  <c r="E8" i="29" s="1"/>
  <c r="N41" i="2"/>
  <c r="N40" i="2"/>
  <c r="N39" i="2"/>
  <c r="N47" i="2"/>
  <c r="N46" i="2"/>
  <c r="N45" i="2"/>
  <c r="K6" i="2"/>
  <c r="F5" i="14" s="1"/>
  <c r="E5" i="29" s="1"/>
  <c r="E5" i="44" s="1"/>
  <c r="F6" i="37" s="1"/>
  <c r="N13" i="2"/>
  <c r="N12" i="2"/>
  <c r="N11" i="2"/>
  <c r="N14" i="2"/>
  <c r="N10" i="2"/>
  <c r="N9" i="2"/>
  <c r="N51" i="2"/>
  <c r="N50" i="2"/>
  <c r="V50" i="2" s="1"/>
  <c r="N21" i="2"/>
  <c r="N24" i="2"/>
  <c r="N20" i="2"/>
  <c r="N23" i="2"/>
  <c r="N22" i="2"/>
  <c r="N19" i="2"/>
  <c r="AA19" i="2" s="1"/>
  <c r="B3" i="32"/>
  <c r="F30" i="17"/>
  <c r="F26" i="17"/>
  <c r="Z21" i="3"/>
  <c r="F31" i="15"/>
  <c r="E30" i="29" s="1"/>
  <c r="E30" i="44" s="1"/>
  <c r="F31" i="37" s="1"/>
  <c r="N33" i="7"/>
  <c r="W33" i="7" s="1"/>
  <c r="N32" i="7"/>
  <c r="X34" i="7"/>
  <c r="G32" i="12" s="1"/>
  <c r="AA34" i="7"/>
  <c r="J32" i="12" s="1"/>
  <c r="W34" i="7"/>
  <c r="F32" i="12" s="1"/>
  <c r="N17" i="9"/>
  <c r="Z17" i="9" s="1"/>
  <c r="F40" i="17"/>
  <c r="E53" i="29" s="1"/>
  <c r="B49" i="29"/>
  <c r="K27" i="3"/>
  <c r="E13" i="16"/>
  <c r="E39" i="29" s="1"/>
  <c r="N36" i="3"/>
  <c r="AA36" i="3" s="1"/>
  <c r="K13" i="16" s="1"/>
  <c r="K39" i="29" s="1"/>
  <c r="G39" i="31" s="1"/>
  <c r="X8" i="4"/>
  <c r="N12" i="5"/>
  <c r="Y12" i="5" s="1"/>
  <c r="F22" i="15"/>
  <c r="E27" i="29" s="1"/>
  <c r="N31" i="5"/>
  <c r="N30" i="5"/>
  <c r="N33" i="5"/>
  <c r="N32" i="5"/>
  <c r="N17" i="5"/>
  <c r="N16" i="5"/>
  <c r="N8" i="8"/>
  <c r="V8" i="8" s="1"/>
  <c r="N10" i="8"/>
  <c r="N9" i="8"/>
  <c r="N7" i="8"/>
  <c r="N16" i="8"/>
  <c r="N15" i="8"/>
  <c r="N14" i="8"/>
  <c r="W14" i="8" s="1"/>
  <c r="N13" i="8"/>
  <c r="N22" i="8"/>
  <c r="N21" i="8"/>
  <c r="N20" i="8"/>
  <c r="V20" i="8" s="1"/>
  <c r="N19" i="8"/>
  <c r="F16" i="19"/>
  <c r="E62" i="29" s="1"/>
  <c r="X17" i="11"/>
  <c r="Z16" i="9"/>
  <c r="F27" i="19"/>
  <c r="Y14" i="9"/>
  <c r="I14" i="16" s="1"/>
  <c r="I40" i="29" s="1"/>
  <c r="E40" i="31" s="1"/>
  <c r="AA14" i="9"/>
  <c r="K14" i="16" s="1"/>
  <c r="K40" i="29" s="1"/>
  <c r="G40" i="31" s="1"/>
  <c r="N12" i="4"/>
  <c r="X12" i="4" s="1"/>
  <c r="G36" i="12" s="1"/>
  <c r="E6" i="16"/>
  <c r="E33" i="29" s="1"/>
  <c r="N10" i="4"/>
  <c r="V10" i="4" s="1"/>
  <c r="X14" i="9"/>
  <c r="H14" i="16" s="1"/>
  <c r="H40" i="29" s="1"/>
  <c r="D40" i="31" s="1"/>
  <c r="W14" i="9"/>
  <c r="G14" i="16" s="1"/>
  <c r="G40" i="29" s="1"/>
  <c r="C40" i="31" s="1"/>
  <c r="V14" i="9"/>
  <c r="F14" i="16" s="1"/>
  <c r="F40" i="29" s="1"/>
  <c r="B40" i="31" s="1"/>
  <c r="E11" i="16"/>
  <c r="E37" i="29" s="1"/>
  <c r="N19" i="3"/>
  <c r="AA19" i="3" s="1"/>
  <c r="K11" i="16" s="1"/>
  <c r="K37" i="29" s="1"/>
  <c r="G37" i="31" s="1"/>
  <c r="AA8" i="4"/>
  <c r="E5" i="16"/>
  <c r="E32" i="29" s="1"/>
  <c r="H7" i="16"/>
  <c r="H34" i="29" s="1"/>
  <c r="D34" i="31" s="1"/>
  <c r="E14" i="16"/>
  <c r="E40" i="29" s="1"/>
  <c r="Z14" i="9"/>
  <c r="J14" i="16" s="1"/>
  <c r="J40" i="29" s="1"/>
  <c r="F40" i="31" s="1"/>
  <c r="X9" i="5"/>
  <c r="I19" i="15" s="1"/>
  <c r="N26" i="5"/>
  <c r="N24" i="5"/>
  <c r="N25" i="5"/>
  <c r="F10" i="15"/>
  <c r="E21" i="29" s="1"/>
  <c r="N23" i="5"/>
  <c r="N19" i="5"/>
  <c r="N18" i="5"/>
  <c r="I10" i="7"/>
  <c r="I9" i="7"/>
  <c r="AE9" i="7" s="1"/>
  <c r="I12" i="7"/>
  <c r="I13" i="7"/>
  <c r="I11" i="7"/>
  <c r="I25" i="7"/>
  <c r="I22" i="7"/>
  <c r="I24" i="7"/>
  <c r="I21" i="7"/>
  <c r="AE21" i="7" s="1"/>
  <c r="I23" i="7"/>
  <c r="E7" i="29"/>
  <c r="K16" i="2"/>
  <c r="F8" i="14" s="1"/>
  <c r="E6" i="29" s="1"/>
  <c r="E6" i="44" s="1"/>
  <c r="E16" i="16"/>
  <c r="E42" i="29" s="1"/>
  <c r="N60" i="3"/>
  <c r="K12" i="3"/>
  <c r="N14" i="3" s="1"/>
  <c r="AA14" i="3" s="1"/>
  <c r="F16" i="17"/>
  <c r="E17" i="16"/>
  <c r="E43" i="29" s="1"/>
  <c r="N64" i="3"/>
  <c r="AA56" i="3"/>
  <c r="V56" i="3"/>
  <c r="Z56" i="3"/>
  <c r="W56" i="3"/>
  <c r="X56" i="3"/>
  <c r="Y56" i="3"/>
  <c r="E10" i="16"/>
  <c r="E36" i="29" s="1"/>
  <c r="N7" i="3"/>
  <c r="Z7" i="3" s="1"/>
  <c r="K42" i="3"/>
  <c r="F28" i="17" s="1"/>
  <c r="N26" i="3"/>
  <c r="E12" i="16"/>
  <c r="E38" i="29" s="1"/>
  <c r="W65" i="3"/>
  <c r="H38" i="17" s="1"/>
  <c r="G52" i="29" s="1"/>
  <c r="C52" i="31" s="1"/>
  <c r="V65" i="3"/>
  <c r="G38" i="17" s="1"/>
  <c r="F52" i="29" s="1"/>
  <c r="B52" i="31" s="1"/>
  <c r="AA65" i="3"/>
  <c r="L38" i="17" s="1"/>
  <c r="K52" i="29" s="1"/>
  <c r="G52" i="31" s="1"/>
  <c r="Z65" i="3"/>
  <c r="K38" i="17" s="1"/>
  <c r="J52" i="29" s="1"/>
  <c r="F52" i="31" s="1"/>
  <c r="X65" i="3"/>
  <c r="I38" i="17" s="1"/>
  <c r="H52" i="29" s="1"/>
  <c r="D52" i="31" s="1"/>
  <c r="Y65" i="3"/>
  <c r="J38" i="17" s="1"/>
  <c r="I52" i="29" s="1"/>
  <c r="E52" i="31" s="1"/>
  <c r="Y28" i="3"/>
  <c r="W28" i="3"/>
  <c r="E15" i="16"/>
  <c r="E41" i="29" s="1"/>
  <c r="Z52" i="3"/>
  <c r="W52" i="3"/>
  <c r="V8" i="4"/>
  <c r="K6" i="4"/>
  <c r="W35" i="5"/>
  <c r="F13" i="15"/>
  <c r="E22" i="29" s="1"/>
  <c r="F7" i="15"/>
  <c r="E20" i="29" s="1"/>
  <c r="E26" i="29"/>
  <c r="W9" i="5"/>
  <c r="H19" i="15" s="1"/>
  <c r="Y38" i="5"/>
  <c r="Y37" i="5" s="1"/>
  <c r="H26" i="12" s="1"/>
  <c r="AA38" i="5"/>
  <c r="AA37" i="5" s="1"/>
  <c r="J26" i="12" s="1"/>
  <c r="W38" i="5"/>
  <c r="W37" i="5" s="1"/>
  <c r="F26" i="12" s="1"/>
  <c r="Z38" i="5"/>
  <c r="Z37" i="5" s="1"/>
  <c r="I26" i="12" s="1"/>
  <c r="V38" i="5"/>
  <c r="V37" i="5" s="1"/>
  <c r="E26" i="12" s="1"/>
  <c r="X38" i="5"/>
  <c r="X37" i="5" s="1"/>
  <c r="G26" i="12" s="1"/>
  <c r="V35" i="5"/>
  <c r="Z35" i="5"/>
  <c r="AA35" i="5"/>
  <c r="X35" i="5"/>
  <c r="L5" i="29"/>
  <c r="AA56" i="2"/>
  <c r="J16" i="12" s="1"/>
  <c r="Y56" i="2"/>
  <c r="H16" i="12" s="1"/>
  <c r="W56" i="2"/>
  <c r="F16" i="12" s="1"/>
  <c r="N63" i="2"/>
  <c r="V63" i="2" s="1"/>
  <c r="G21" i="14" s="1"/>
  <c r="F13" i="29" s="1"/>
  <c r="B13" i="31" s="1"/>
  <c r="F21" i="14"/>
  <c r="E13" i="29" s="1"/>
  <c r="L13" i="29"/>
  <c r="B14" i="41"/>
  <c r="B18" i="41"/>
  <c r="L11" i="29"/>
  <c r="A5" i="29"/>
  <c r="B17" i="41"/>
  <c r="B24" i="41"/>
  <c r="A5" i="31"/>
  <c r="L10" i="29"/>
  <c r="F19" i="14"/>
  <c r="E11" i="29" s="1"/>
  <c r="N53" i="2"/>
  <c r="Z53" i="2" s="1"/>
  <c r="K19" i="14" s="1"/>
  <c r="J11" i="29" s="1"/>
  <c r="F11" i="31" s="1"/>
  <c r="A12" i="41"/>
  <c r="L8" i="29"/>
  <c r="A13" i="37"/>
  <c r="A12" i="31"/>
  <c r="A19" i="41"/>
  <c r="F15" i="14"/>
  <c r="E9" i="29" s="1"/>
  <c r="B19" i="41"/>
  <c r="N62" i="2"/>
  <c r="F20" i="14"/>
  <c r="E12" i="29" s="1"/>
  <c r="N35" i="2"/>
  <c r="F24" i="14"/>
  <c r="E15" i="29" s="1"/>
  <c r="Z38" i="2"/>
  <c r="N52" i="2"/>
  <c r="F18" i="14"/>
  <c r="E10" i="29" s="1"/>
  <c r="W36" i="2"/>
  <c r="H25" i="14" s="1"/>
  <c r="G16" i="29" s="1"/>
  <c r="C16" i="31" s="1"/>
  <c r="V36" i="2"/>
  <c r="G25" i="14" s="1"/>
  <c r="F16" i="29" s="1"/>
  <c r="B16" i="31" s="1"/>
  <c r="Z36" i="2"/>
  <c r="K25" i="14" s="1"/>
  <c r="J16" i="29" s="1"/>
  <c r="F16" i="31" s="1"/>
  <c r="X36" i="2"/>
  <c r="I25" i="14" s="1"/>
  <c r="H16" i="29" s="1"/>
  <c r="D16" i="31" s="1"/>
  <c r="Y36" i="2"/>
  <c r="J25" i="14" s="1"/>
  <c r="I16" i="29" s="1"/>
  <c r="E16" i="31" s="1"/>
  <c r="AA36" i="2"/>
  <c r="L25" i="14" s="1"/>
  <c r="K16" i="29" s="1"/>
  <c r="G16" i="31" s="1"/>
  <c r="F26" i="14"/>
  <c r="E17" i="29" s="1"/>
  <c r="F25" i="14"/>
  <c r="E16" i="29" s="1"/>
  <c r="AA52" i="3"/>
  <c r="X28" i="3"/>
  <c r="F13" i="19"/>
  <c r="E61" i="29" s="1"/>
  <c r="X52" i="3"/>
  <c r="AA28" i="3"/>
  <c r="Z28" i="3"/>
  <c r="F22" i="19"/>
  <c r="E64" i="29" s="1"/>
  <c r="N6" i="10"/>
  <c r="X6" i="10" s="1"/>
  <c r="I9" i="19" s="1"/>
  <c r="L23" i="19"/>
  <c r="K65" i="29" s="1"/>
  <c r="G65" i="31" s="1"/>
  <c r="J61" i="12"/>
  <c r="AA21" i="3"/>
  <c r="V21" i="3"/>
  <c r="AA16" i="9"/>
  <c r="W16" i="9"/>
  <c r="Y52" i="3"/>
  <c r="Y21" i="3"/>
  <c r="W21" i="3"/>
  <c r="Y16" i="9"/>
  <c r="X16" i="9"/>
  <c r="F23" i="19"/>
  <c r="E65" i="29" s="1"/>
  <c r="F26" i="19"/>
  <c r="E67" i="29" s="1"/>
  <c r="F19" i="19"/>
  <c r="E63" i="29" s="1"/>
  <c r="X21" i="3"/>
  <c r="G26" i="19"/>
  <c r="F67" i="29" s="1"/>
  <c r="B67" i="31" s="1"/>
  <c r="G27" i="19"/>
  <c r="F68" i="29" s="1"/>
  <c r="C18" i="30" s="1"/>
  <c r="C22" i="39" s="1"/>
  <c r="F29" i="19"/>
  <c r="E69" i="29" s="1"/>
  <c r="G22" i="39"/>
  <c r="AA24" i="8"/>
  <c r="Y24" i="8"/>
  <c r="Z24" i="8"/>
  <c r="AA25" i="9"/>
  <c r="X13" i="11"/>
  <c r="H22" i="39"/>
  <c r="X8" i="10"/>
  <c r="I10" i="19" s="1"/>
  <c r="V8" i="10"/>
  <c r="W8" i="10"/>
  <c r="H10" i="19" s="1"/>
  <c r="Z8" i="10"/>
  <c r="K10" i="19" s="1"/>
  <c r="Y8" i="10"/>
  <c r="J10" i="19" s="1"/>
  <c r="AA8" i="10"/>
  <c r="L10" i="19" s="1"/>
  <c r="V25" i="9"/>
  <c r="X25" i="9"/>
  <c r="W25" i="9"/>
  <c r="Y25" i="9"/>
  <c r="Z26" i="8"/>
  <c r="W26" i="8"/>
  <c r="W13" i="11"/>
  <c r="V28" i="3"/>
  <c r="F22" i="39"/>
  <c r="V24" i="8"/>
  <c r="X24" i="8"/>
  <c r="W24" i="8"/>
  <c r="X6" i="11"/>
  <c r="V26" i="8"/>
  <c r="X26" i="8"/>
  <c r="Y26" i="8"/>
  <c r="W6" i="11"/>
  <c r="F17" i="30"/>
  <c r="G68" i="31"/>
  <c r="F68" i="31"/>
  <c r="F21" i="39"/>
  <c r="F6" i="15"/>
  <c r="E19" i="29" s="1"/>
  <c r="X6" i="5"/>
  <c r="I6" i="15" s="1"/>
  <c r="H19" i="29" s="1"/>
  <c r="D19" i="31" s="1"/>
  <c r="V6" i="5"/>
  <c r="G6" i="15" s="1"/>
  <c r="Y6" i="5"/>
  <c r="Z6" i="5"/>
  <c r="F18" i="15"/>
  <c r="E25" i="29" s="1"/>
  <c r="N43" i="5"/>
  <c r="W43" i="2"/>
  <c r="Z43" i="2"/>
  <c r="V43" i="2"/>
  <c r="AA43" i="2"/>
  <c r="X43" i="2"/>
  <c r="Y43" i="2"/>
  <c r="W6" i="5"/>
  <c r="AA6" i="5"/>
  <c r="E68" i="31"/>
  <c r="F18" i="30"/>
  <c r="F20" i="30"/>
  <c r="F24" i="39" s="1"/>
  <c r="E71" i="31"/>
  <c r="H21" i="39"/>
  <c r="H17" i="30"/>
  <c r="G35" i="37"/>
  <c r="F67" i="31"/>
  <c r="G21" i="39"/>
  <c r="G47" i="31"/>
  <c r="V8" i="13" l="1"/>
  <c r="E18" i="37"/>
  <c r="E71" i="37"/>
  <c r="E29" i="37"/>
  <c r="E61" i="37"/>
  <c r="E34" i="37"/>
  <c r="E10" i="37"/>
  <c r="E43" i="37"/>
  <c r="E58" i="37"/>
  <c r="C33" i="17"/>
  <c r="E49" i="37"/>
  <c r="E38" i="37"/>
  <c r="C10" i="17"/>
  <c r="E23" i="37"/>
  <c r="E54" i="37"/>
  <c r="E72" i="37"/>
  <c r="X8" i="13"/>
  <c r="W8" i="13"/>
  <c r="F70" i="12" s="1"/>
  <c r="E19" i="37"/>
  <c r="E12" i="37"/>
  <c r="E6" i="37"/>
  <c r="C20" i="17"/>
  <c r="C47" i="29" s="1"/>
  <c r="C42" i="17"/>
  <c r="I37" i="9" s="1"/>
  <c r="K37" i="9" s="1"/>
  <c r="N37" i="9" s="1"/>
  <c r="AA37" i="9" s="1"/>
  <c r="L45" i="17" s="1"/>
  <c r="K55" i="29" s="1"/>
  <c r="G55" i="31" s="1"/>
  <c r="E45" i="37"/>
  <c r="E52" i="37"/>
  <c r="E17" i="37"/>
  <c r="E67" i="37"/>
  <c r="I20" i="3"/>
  <c r="E24" i="37"/>
  <c r="G24" i="37" s="1"/>
  <c r="E9" i="37"/>
  <c r="E41" i="37"/>
  <c r="E15" i="37"/>
  <c r="E22" i="37"/>
  <c r="E64" i="37"/>
  <c r="E28" i="37"/>
  <c r="E62" i="37"/>
  <c r="G73" i="37"/>
  <c r="E61" i="44"/>
  <c r="F62" i="37" s="1"/>
  <c r="E5" i="25"/>
  <c r="E71" i="29" s="1"/>
  <c r="N6" i="13"/>
  <c r="I70" i="12"/>
  <c r="J6" i="25"/>
  <c r="J72" i="29" s="1"/>
  <c r="F72" i="31" s="1"/>
  <c r="E70" i="12"/>
  <c r="F6" i="25"/>
  <c r="F72" i="29" s="1"/>
  <c r="B72" i="31" s="1"/>
  <c r="J70" i="12"/>
  <c r="K6" i="25"/>
  <c r="K72" i="29" s="1"/>
  <c r="G72" i="31" s="1"/>
  <c r="G70" i="12"/>
  <c r="H6" i="25"/>
  <c r="H72" i="29" s="1"/>
  <c r="D72" i="31" s="1"/>
  <c r="G6" i="25"/>
  <c r="G72" i="29" s="1"/>
  <c r="C72" i="31" s="1"/>
  <c r="J25" i="12"/>
  <c r="L16" i="15"/>
  <c r="K23" i="29" s="1"/>
  <c r="G23" i="31" s="1"/>
  <c r="G25" i="12"/>
  <c r="I16" i="15"/>
  <c r="H23" i="29" s="1"/>
  <c r="D23" i="31" s="1"/>
  <c r="I25" i="12"/>
  <c r="K16" i="15"/>
  <c r="J23" i="29" s="1"/>
  <c r="F23" i="31" s="1"/>
  <c r="F25" i="12"/>
  <c r="H16" i="15"/>
  <c r="G23" i="29" s="1"/>
  <c r="C23" i="31" s="1"/>
  <c r="E25" i="12"/>
  <c r="G16" i="15"/>
  <c r="F23" i="29" s="1"/>
  <c r="B23" i="31" s="1"/>
  <c r="G52" i="37"/>
  <c r="E59" i="29"/>
  <c r="E59" i="44" s="1"/>
  <c r="F60" i="37" s="1"/>
  <c r="G60" i="37" s="1"/>
  <c r="O10" i="19" s="1"/>
  <c r="G10" i="19"/>
  <c r="A12" i="44"/>
  <c r="E16" i="44"/>
  <c r="F17" i="37" s="1"/>
  <c r="E10" i="44"/>
  <c r="F11" i="37" s="1"/>
  <c r="G11" i="37" s="1"/>
  <c r="O18" i="14" s="1"/>
  <c r="E15" i="44"/>
  <c r="F16" i="37" s="1"/>
  <c r="G16" i="37" s="1"/>
  <c r="O24" i="14" s="1"/>
  <c r="E22" i="44"/>
  <c r="F23" i="37" s="1"/>
  <c r="E38" i="44"/>
  <c r="F39" i="37" s="1"/>
  <c r="E36" i="44"/>
  <c r="F37" i="37" s="1"/>
  <c r="G37" i="37" s="1"/>
  <c r="N10" i="16" s="1"/>
  <c r="E43" i="44"/>
  <c r="F44" i="37" s="1"/>
  <c r="G44" i="37" s="1"/>
  <c r="N17" i="16" s="1"/>
  <c r="E42" i="44"/>
  <c r="F43" i="37" s="1"/>
  <c r="G43" i="37" s="1"/>
  <c r="N16" i="16" s="1"/>
  <c r="E40" i="44"/>
  <c r="F41" i="37" s="1"/>
  <c r="C55" i="44"/>
  <c r="E52" i="44"/>
  <c r="F53" i="37" s="1"/>
  <c r="G53" i="37" s="1"/>
  <c r="O38" i="17" s="1"/>
  <c r="E25" i="44"/>
  <c r="F26" i="37" s="1"/>
  <c r="E63" i="44"/>
  <c r="F64" i="37" s="1"/>
  <c r="E64" i="44"/>
  <c r="F65" i="37" s="1"/>
  <c r="G65" i="37" s="1"/>
  <c r="E17" i="44"/>
  <c r="F18" i="37" s="1"/>
  <c r="G18" i="37" s="1"/>
  <c r="O26" i="14" s="1"/>
  <c r="E9" i="44"/>
  <c r="F10" i="37" s="1"/>
  <c r="G10" i="37" s="1"/>
  <c r="O15" i="14" s="1"/>
  <c r="E11" i="44"/>
  <c r="F12" i="37" s="1"/>
  <c r="E13" i="44"/>
  <c r="F14" i="37" s="1"/>
  <c r="G14" i="37" s="1"/>
  <c r="O21" i="14" s="1"/>
  <c r="E37" i="44"/>
  <c r="F38" i="37" s="1"/>
  <c r="G38" i="37" s="1"/>
  <c r="N11" i="16" s="1"/>
  <c r="E62" i="44"/>
  <c r="F63" i="37" s="1"/>
  <c r="G63" i="37" s="1"/>
  <c r="E27" i="44"/>
  <c r="F28" i="37" s="1"/>
  <c r="E39" i="44"/>
  <c r="F40" i="37" s="1"/>
  <c r="G40" i="37" s="1"/>
  <c r="N13" i="16" s="1"/>
  <c r="E53" i="44"/>
  <c r="F54" i="37" s="1"/>
  <c r="G54" i="37" s="1"/>
  <c r="O40" i="17" s="1"/>
  <c r="B19" i="30"/>
  <c r="C41" i="19" s="1"/>
  <c r="E69" i="44"/>
  <c r="F70" i="37" s="1"/>
  <c r="G70" i="37" s="1"/>
  <c r="E19" i="44"/>
  <c r="F20" i="37" s="1"/>
  <c r="G20" i="37" s="1"/>
  <c r="E67" i="44"/>
  <c r="F68" i="37" s="1"/>
  <c r="G68" i="37" s="1"/>
  <c r="E8" i="44"/>
  <c r="F9" i="37" s="1"/>
  <c r="G9" i="37" s="1"/>
  <c r="O12" i="14" s="1"/>
  <c r="E12" i="44"/>
  <c r="F13" i="37" s="1"/>
  <c r="G13" i="37" s="1"/>
  <c r="O20" i="14" s="1"/>
  <c r="E26" i="44"/>
  <c r="F27" i="37" s="1"/>
  <c r="E7" i="44"/>
  <c r="F8" i="37" s="1"/>
  <c r="G8" i="37" s="1"/>
  <c r="O11" i="14" s="1"/>
  <c r="E21" i="44"/>
  <c r="F22" i="37" s="1"/>
  <c r="B10" i="30"/>
  <c r="B14" i="39" s="1"/>
  <c r="E32" i="44"/>
  <c r="F33" i="37" s="1"/>
  <c r="G33" i="37" s="1"/>
  <c r="N5" i="16" s="1"/>
  <c r="E33" i="44"/>
  <c r="F34" i="37" s="1"/>
  <c r="G34" i="37" s="1"/>
  <c r="N6" i="16" s="1"/>
  <c r="C47" i="44"/>
  <c r="E65" i="44"/>
  <c r="F66" i="37" s="1"/>
  <c r="G66" i="37" s="1"/>
  <c r="E20" i="44"/>
  <c r="F21" i="37" s="1"/>
  <c r="G21" i="37" s="1"/>
  <c r="G42" i="37"/>
  <c r="N15" i="16" s="1"/>
  <c r="E41" i="44"/>
  <c r="F42" i="37" s="1"/>
  <c r="C45" i="44"/>
  <c r="C56" i="44"/>
  <c r="Z12" i="4"/>
  <c r="W12" i="4"/>
  <c r="Y12" i="4"/>
  <c r="B22" i="39"/>
  <c r="E68" i="29"/>
  <c r="C37" i="19" s="1"/>
  <c r="Z36" i="3"/>
  <c r="J13" i="16" s="1"/>
  <c r="J39" i="29" s="1"/>
  <c r="F39" i="31" s="1"/>
  <c r="G31" i="37"/>
  <c r="Y18" i="11"/>
  <c r="X18" i="11"/>
  <c r="W18" i="11"/>
  <c r="AA18" i="11"/>
  <c r="V18" i="11"/>
  <c r="Z18" i="11"/>
  <c r="AA17" i="11"/>
  <c r="W17" i="11"/>
  <c r="V19" i="11"/>
  <c r="Z19" i="11"/>
  <c r="Y19" i="11"/>
  <c r="X19" i="11"/>
  <c r="W19" i="11"/>
  <c r="AA19" i="11"/>
  <c r="L29" i="19" s="1"/>
  <c r="K69" i="29" s="1"/>
  <c r="V17" i="11"/>
  <c r="Z17" i="11"/>
  <c r="X16" i="11"/>
  <c r="W16" i="11"/>
  <c r="AA16" i="11"/>
  <c r="V16" i="11"/>
  <c r="Z16" i="11"/>
  <c r="Y16" i="11"/>
  <c r="X36" i="3"/>
  <c r="H13" i="16" s="1"/>
  <c r="H39" i="29" s="1"/>
  <c r="D39" i="31" s="1"/>
  <c r="N10" i="9"/>
  <c r="N8" i="9"/>
  <c r="N11" i="9"/>
  <c r="V36" i="3"/>
  <c r="F13" i="16" s="1"/>
  <c r="F39" i="29" s="1"/>
  <c r="B39" i="31" s="1"/>
  <c r="Y36" i="3"/>
  <c r="I13" i="16" s="1"/>
  <c r="I39" i="29" s="1"/>
  <c r="E39" i="31" s="1"/>
  <c r="W36" i="3"/>
  <c r="G13" i="16" s="1"/>
  <c r="G39" i="29" s="1"/>
  <c r="C39" i="31" s="1"/>
  <c r="Y61" i="3"/>
  <c r="J36" i="17" s="1"/>
  <c r="I51" i="29" s="1"/>
  <c r="E51" i="31" s="1"/>
  <c r="AA61" i="3"/>
  <c r="L36" i="17" s="1"/>
  <c r="K51" i="29" s="1"/>
  <c r="G51" i="31" s="1"/>
  <c r="W61" i="3"/>
  <c r="H36" i="17" s="1"/>
  <c r="G51" i="29" s="1"/>
  <c r="C51" i="31" s="1"/>
  <c r="X61" i="3"/>
  <c r="I36" i="17" s="1"/>
  <c r="H51" i="29" s="1"/>
  <c r="D51" i="31" s="1"/>
  <c r="Z61" i="3"/>
  <c r="K36" i="17" s="1"/>
  <c r="J51" i="29" s="1"/>
  <c r="F51" i="31" s="1"/>
  <c r="V61" i="3"/>
  <c r="G36" i="17" s="1"/>
  <c r="F51" i="29" s="1"/>
  <c r="B51" i="31" s="1"/>
  <c r="G28" i="37"/>
  <c r="G27" i="37"/>
  <c r="F45" i="17"/>
  <c r="E55" i="29" s="1"/>
  <c r="G64" i="37"/>
  <c r="G23" i="37"/>
  <c r="G26" i="37"/>
  <c r="G22" i="37"/>
  <c r="G41" i="37"/>
  <c r="N14" i="16" s="1"/>
  <c r="C54" i="29"/>
  <c r="K20" i="3"/>
  <c r="N22" i="3" s="1"/>
  <c r="X22" i="3" s="1"/>
  <c r="G17" i="37"/>
  <c r="O25" i="14" s="1"/>
  <c r="F7" i="17"/>
  <c r="N7" i="9"/>
  <c r="I51" i="3"/>
  <c r="K51" i="3" s="1"/>
  <c r="C50" i="29"/>
  <c r="G12" i="37"/>
  <c r="O19" i="14" s="1"/>
  <c r="G39" i="37"/>
  <c r="N12" i="16" s="1"/>
  <c r="Z20" i="8"/>
  <c r="Y22" i="2"/>
  <c r="V22" i="2"/>
  <c r="Z22" i="2"/>
  <c r="W22" i="2"/>
  <c r="AA22" i="2"/>
  <c r="X22" i="2"/>
  <c r="W21" i="2"/>
  <c r="X21" i="2"/>
  <c r="Y21" i="2"/>
  <c r="Z21" i="2"/>
  <c r="AA21" i="2"/>
  <c r="V21" i="2"/>
  <c r="W10" i="2"/>
  <c r="X10" i="2"/>
  <c r="Y10" i="2"/>
  <c r="Z10" i="2"/>
  <c r="AA10" i="2"/>
  <c r="V10" i="2"/>
  <c r="Y13" i="2"/>
  <c r="V13" i="2"/>
  <c r="Z13" i="2"/>
  <c r="W13" i="2"/>
  <c r="AA13" i="2"/>
  <c r="X13" i="2"/>
  <c r="Y63" i="2"/>
  <c r="J21" i="14" s="1"/>
  <c r="I13" i="29" s="1"/>
  <c r="E13" i="31" s="1"/>
  <c r="W23" i="2"/>
  <c r="AA23" i="2"/>
  <c r="X23" i="2"/>
  <c r="Y23" i="2"/>
  <c r="V23" i="2"/>
  <c r="Z23" i="2"/>
  <c r="W14" i="2"/>
  <c r="AA14" i="2"/>
  <c r="X14" i="2"/>
  <c r="Y14" i="2"/>
  <c r="V14" i="2"/>
  <c r="Z14" i="2"/>
  <c r="Y45" i="2"/>
  <c r="V45" i="2"/>
  <c r="Z45" i="2"/>
  <c r="W45" i="2"/>
  <c r="AA45" i="2"/>
  <c r="X45" i="2"/>
  <c r="W20" i="2"/>
  <c r="X20" i="2"/>
  <c r="Y20" i="2"/>
  <c r="Z20" i="2"/>
  <c r="AA20" i="2"/>
  <c r="V20" i="2"/>
  <c r="W11" i="2"/>
  <c r="X11" i="2"/>
  <c r="Y11" i="2"/>
  <c r="Z11" i="2"/>
  <c r="AA11" i="2"/>
  <c r="V11" i="2"/>
  <c r="W46" i="2"/>
  <c r="AA46" i="2"/>
  <c r="X46" i="2"/>
  <c r="Y46" i="2"/>
  <c r="V46" i="2"/>
  <c r="Z46" i="2"/>
  <c r="W24" i="2"/>
  <c r="X24" i="2"/>
  <c r="Y24" i="2"/>
  <c r="Z24" i="2"/>
  <c r="AA24" i="2"/>
  <c r="V24" i="2"/>
  <c r="W12" i="2"/>
  <c r="X12" i="2"/>
  <c r="Y12" i="2"/>
  <c r="Z12" i="2"/>
  <c r="AA12" i="2"/>
  <c r="V12" i="2"/>
  <c r="W47" i="2"/>
  <c r="AA47" i="2"/>
  <c r="X47" i="2"/>
  <c r="Y47" i="2"/>
  <c r="V47" i="2"/>
  <c r="Z47" i="2"/>
  <c r="K23" i="7"/>
  <c r="AG23" i="7" s="1"/>
  <c r="AE23" i="7"/>
  <c r="K25" i="7"/>
  <c r="AG25" i="7" s="1"/>
  <c r="AE25" i="7"/>
  <c r="K11" i="7"/>
  <c r="AG11" i="7" s="1"/>
  <c r="AE11" i="7"/>
  <c r="K10" i="7"/>
  <c r="AG10" i="7" s="1"/>
  <c r="AE10" i="7"/>
  <c r="K24" i="7"/>
  <c r="AG24" i="7" s="1"/>
  <c r="AE24" i="7"/>
  <c r="K13" i="7"/>
  <c r="AG13" i="7" s="1"/>
  <c r="AE13" i="7"/>
  <c r="K22" i="7"/>
  <c r="AG22" i="7" s="1"/>
  <c r="AE22" i="7"/>
  <c r="K12" i="7"/>
  <c r="AG12" i="7" s="1"/>
  <c r="AE12" i="7"/>
  <c r="G6" i="37"/>
  <c r="O5" i="14" s="1"/>
  <c r="V14" i="3"/>
  <c r="Z15" i="9"/>
  <c r="K40" i="17" s="1"/>
  <c r="J53" i="29" s="1"/>
  <c r="F53" i="31" s="1"/>
  <c r="X14" i="3"/>
  <c r="Y14" i="3"/>
  <c r="W14" i="3"/>
  <c r="X37" i="9"/>
  <c r="I45" i="17" s="1"/>
  <c r="H55" i="29" s="1"/>
  <c r="D55" i="31" s="1"/>
  <c r="V37" i="9"/>
  <c r="G45" i="17" s="1"/>
  <c r="F55" i="29" s="1"/>
  <c r="B55" i="31" s="1"/>
  <c r="Y37" i="9"/>
  <c r="J45" i="17" s="1"/>
  <c r="I55" i="29" s="1"/>
  <c r="E55" i="31" s="1"/>
  <c r="Z37" i="9"/>
  <c r="K45" i="17" s="1"/>
  <c r="J55" i="29" s="1"/>
  <c r="F55" i="31" s="1"/>
  <c r="Z14" i="3"/>
  <c r="G62" i="37"/>
  <c r="O13" i="19" s="1"/>
  <c r="AA12" i="5"/>
  <c r="AA33" i="7"/>
  <c r="X32" i="7"/>
  <c r="AA32" i="7"/>
  <c r="W32" i="7"/>
  <c r="W31" i="7" s="1"/>
  <c r="Z32" i="7"/>
  <c r="V32" i="7"/>
  <c r="Y32" i="7"/>
  <c r="X33" i="7"/>
  <c r="Z33" i="7"/>
  <c r="Z31" i="7" s="1"/>
  <c r="Y33" i="7"/>
  <c r="V33" i="7"/>
  <c r="X12" i="5"/>
  <c r="X8" i="8"/>
  <c r="Y17" i="9"/>
  <c r="Y15" i="9" s="1"/>
  <c r="V17" i="9"/>
  <c r="V15" i="9" s="1"/>
  <c r="G40" i="17" s="1"/>
  <c r="F53" i="29" s="1"/>
  <c r="B53" i="31" s="1"/>
  <c r="W17" i="9"/>
  <c r="W15" i="9" s="1"/>
  <c r="H40" i="17" s="1"/>
  <c r="G53" i="29" s="1"/>
  <c r="C53" i="31" s="1"/>
  <c r="AA17" i="9"/>
  <c r="AA15" i="9" s="1"/>
  <c r="X17" i="9"/>
  <c r="X15" i="9" s="1"/>
  <c r="I40" i="17" s="1"/>
  <c r="H53" i="29" s="1"/>
  <c r="D53" i="31" s="1"/>
  <c r="E49" i="29"/>
  <c r="AA43" i="3"/>
  <c r="N44" i="3"/>
  <c r="N29" i="3"/>
  <c r="F23" i="17"/>
  <c r="AA8" i="8"/>
  <c r="Y8" i="8"/>
  <c r="Z8" i="8"/>
  <c r="W8" i="8"/>
  <c r="V12" i="4"/>
  <c r="E36" i="12" s="1"/>
  <c r="Y7" i="4"/>
  <c r="V7" i="4"/>
  <c r="V6" i="4" s="1"/>
  <c r="E34" i="12" s="1"/>
  <c r="Z7" i="4"/>
  <c r="W7" i="4"/>
  <c r="AA7" i="4"/>
  <c r="AA6" i="4" s="1"/>
  <c r="J34" i="12" s="1"/>
  <c r="X7" i="4"/>
  <c r="X6" i="4" s="1"/>
  <c r="G34" i="12" s="1"/>
  <c r="AA12" i="4"/>
  <c r="J36" i="12" s="1"/>
  <c r="V12" i="5"/>
  <c r="Z12" i="5"/>
  <c r="W12" i="5"/>
  <c r="Z31" i="5"/>
  <c r="V31" i="5"/>
  <c r="Y31" i="5"/>
  <c r="X31" i="5"/>
  <c r="AA31" i="5"/>
  <c r="W31" i="5"/>
  <c r="X32" i="5"/>
  <c r="AA32" i="5"/>
  <c r="W32" i="5"/>
  <c r="Z32" i="5"/>
  <c r="V32" i="5"/>
  <c r="Y32" i="5"/>
  <c r="Z33" i="5"/>
  <c r="V33" i="5"/>
  <c r="Y33" i="5"/>
  <c r="X33" i="5"/>
  <c r="AA33" i="5"/>
  <c r="W33" i="5"/>
  <c r="X30" i="5"/>
  <c r="AA30" i="5"/>
  <c r="W30" i="5"/>
  <c r="Z30" i="5"/>
  <c r="V30" i="5"/>
  <c r="Y30" i="5"/>
  <c r="G29" i="19"/>
  <c r="F69" i="29" s="1"/>
  <c r="I29" i="19"/>
  <c r="H69" i="29" s="1"/>
  <c r="E19" i="30" s="1"/>
  <c r="E23" i="39" s="1"/>
  <c r="Z14" i="8"/>
  <c r="X20" i="8"/>
  <c r="Y14" i="8"/>
  <c r="Y9" i="8"/>
  <c r="X9" i="8"/>
  <c r="W9" i="8"/>
  <c r="AA9" i="8"/>
  <c r="V9" i="8"/>
  <c r="Z9" i="8"/>
  <c r="V14" i="8"/>
  <c r="X14" i="8"/>
  <c r="Y20" i="8"/>
  <c r="W20" i="8"/>
  <c r="W21" i="8"/>
  <c r="AA21" i="8"/>
  <c r="V21" i="8"/>
  <c r="Z21" i="8"/>
  <c r="Y21" i="8"/>
  <c r="X21" i="8"/>
  <c r="V15" i="8"/>
  <c r="Z15" i="8"/>
  <c r="Y15" i="8"/>
  <c r="X15" i="8"/>
  <c r="W15" i="8"/>
  <c r="AA15" i="8"/>
  <c r="V10" i="8"/>
  <c r="Z10" i="8"/>
  <c r="Y10" i="8"/>
  <c r="X10" i="8"/>
  <c r="W10" i="8"/>
  <c r="AA10" i="8"/>
  <c r="AA14" i="8"/>
  <c r="AA20" i="8"/>
  <c r="X22" i="8"/>
  <c r="W22" i="8"/>
  <c r="AA22" i="8"/>
  <c r="V22" i="8"/>
  <c r="Z22" i="8"/>
  <c r="Y22" i="8"/>
  <c r="W16" i="8"/>
  <c r="AA16" i="8"/>
  <c r="V16" i="8"/>
  <c r="Z16" i="8"/>
  <c r="Y16" i="8"/>
  <c r="X16" i="8"/>
  <c r="V19" i="8"/>
  <c r="Z19" i="8"/>
  <c r="Y19" i="8"/>
  <c r="X19" i="8"/>
  <c r="W19" i="8"/>
  <c r="AA19" i="8"/>
  <c r="Y13" i="8"/>
  <c r="X13" i="8"/>
  <c r="W13" i="8"/>
  <c r="AA13" i="8"/>
  <c r="V13" i="8"/>
  <c r="Z13" i="8"/>
  <c r="V7" i="8"/>
  <c r="X7" i="8"/>
  <c r="W7" i="8"/>
  <c r="AA7" i="8"/>
  <c r="Z7" i="8"/>
  <c r="Y7" i="8"/>
  <c r="X43" i="3"/>
  <c r="Y43" i="3"/>
  <c r="W43" i="3"/>
  <c r="V43" i="3"/>
  <c r="Z43" i="3"/>
  <c r="Z8" i="4"/>
  <c r="Y8" i="4"/>
  <c r="W8" i="4"/>
  <c r="B12" i="30"/>
  <c r="B16" i="39" s="1"/>
  <c r="B11" i="30"/>
  <c r="B15" i="39" s="1"/>
  <c r="Y10" i="4"/>
  <c r="W10" i="4"/>
  <c r="X10" i="4"/>
  <c r="Z10" i="4"/>
  <c r="AA10" i="4"/>
  <c r="F6" i="16"/>
  <c r="F33" i="29" s="1"/>
  <c r="E35" i="12"/>
  <c r="W19" i="3"/>
  <c r="G11" i="16" s="1"/>
  <c r="G37" i="29" s="1"/>
  <c r="C37" i="31" s="1"/>
  <c r="X19" i="3"/>
  <c r="H11" i="16" s="1"/>
  <c r="H37" i="29" s="1"/>
  <c r="D37" i="31" s="1"/>
  <c r="Z19" i="3"/>
  <c r="J11" i="16" s="1"/>
  <c r="J37" i="29" s="1"/>
  <c r="F37" i="31" s="1"/>
  <c r="K7" i="16"/>
  <c r="K34" i="29" s="1"/>
  <c r="I7" i="16"/>
  <c r="I34" i="29" s="1"/>
  <c r="H36" i="12"/>
  <c r="Y19" i="3"/>
  <c r="I11" i="16" s="1"/>
  <c r="I37" i="29" s="1"/>
  <c r="E37" i="31" s="1"/>
  <c r="G7" i="16"/>
  <c r="G34" i="29" s="1"/>
  <c r="C34" i="31" s="1"/>
  <c r="F36" i="12"/>
  <c r="V19" i="3"/>
  <c r="F11" i="16" s="1"/>
  <c r="F37" i="29" s="1"/>
  <c r="B37" i="31" s="1"/>
  <c r="J7" i="16"/>
  <c r="J34" i="29" s="1"/>
  <c r="F34" i="31" s="1"/>
  <c r="I36" i="12"/>
  <c r="Y9" i="5"/>
  <c r="J19" i="15" s="1"/>
  <c r="I26" i="29" s="1"/>
  <c r="AA9" i="5"/>
  <c r="L19" i="15" s="1"/>
  <c r="K19" i="15"/>
  <c r="Y24" i="5"/>
  <c r="X24" i="5"/>
  <c r="AA24" i="5"/>
  <c r="V24" i="5"/>
  <c r="W24" i="5"/>
  <c r="Z24" i="5"/>
  <c r="AA23" i="5"/>
  <c r="W23" i="5"/>
  <c r="V23" i="5"/>
  <c r="Y23" i="5"/>
  <c r="Z23" i="5"/>
  <c r="X23" i="5"/>
  <c r="Y26" i="5"/>
  <c r="AA26" i="5"/>
  <c r="V26" i="5"/>
  <c r="X26" i="5"/>
  <c r="W26" i="5"/>
  <c r="Z26" i="5"/>
  <c r="AA25" i="5"/>
  <c r="W25" i="5"/>
  <c r="Y25" i="5"/>
  <c r="X25" i="5"/>
  <c r="Z25" i="5"/>
  <c r="V25" i="5"/>
  <c r="Y19" i="5"/>
  <c r="X19" i="5"/>
  <c r="AA19" i="5"/>
  <c r="W19" i="5"/>
  <c r="Z19" i="5"/>
  <c r="V19" i="5"/>
  <c r="AA18" i="5"/>
  <c r="W18" i="5"/>
  <c r="Z18" i="5"/>
  <c r="V18" i="5"/>
  <c r="Y18" i="5"/>
  <c r="X18" i="5"/>
  <c r="Z40" i="2"/>
  <c r="V40" i="2"/>
  <c r="AA40" i="2"/>
  <c r="W40" i="2"/>
  <c r="X40" i="2"/>
  <c r="Y40" i="2"/>
  <c r="V39" i="2"/>
  <c r="AA39" i="2"/>
  <c r="W39" i="2"/>
  <c r="X39" i="2"/>
  <c r="Y39" i="2"/>
  <c r="Z39" i="2"/>
  <c r="V41" i="2"/>
  <c r="W41" i="2"/>
  <c r="Y41" i="2"/>
  <c r="X41" i="2"/>
  <c r="AA41" i="2"/>
  <c r="Z41" i="2"/>
  <c r="B4" i="30"/>
  <c r="B8" i="39" s="1"/>
  <c r="B68" i="31"/>
  <c r="B17" i="30"/>
  <c r="X55" i="3"/>
  <c r="G43" i="12" s="1"/>
  <c r="H15" i="16"/>
  <c r="H41" i="29" s="1"/>
  <c r="D41" i="31" s="1"/>
  <c r="K15" i="16"/>
  <c r="K41" i="29" s="1"/>
  <c r="G41" i="31" s="1"/>
  <c r="AA55" i="3"/>
  <c r="J43" i="12" s="1"/>
  <c r="F15" i="17"/>
  <c r="Z26" i="3"/>
  <c r="J12" i="16" s="1"/>
  <c r="J38" i="29" s="1"/>
  <c r="F38" i="31" s="1"/>
  <c r="Y26" i="3"/>
  <c r="V26" i="3"/>
  <c r="F12" i="16" s="1"/>
  <c r="F38" i="29" s="1"/>
  <c r="B38" i="31" s="1"/>
  <c r="AA26" i="3"/>
  <c r="K12" i="16" s="1"/>
  <c r="K38" i="29" s="1"/>
  <c r="G38" i="31" s="1"/>
  <c r="X26" i="3"/>
  <c r="H12" i="16" s="1"/>
  <c r="H38" i="29" s="1"/>
  <c r="D38" i="31" s="1"/>
  <c r="W26" i="3"/>
  <c r="Y55" i="3"/>
  <c r="I15" i="16"/>
  <c r="I41" i="29" s="1"/>
  <c r="E41" i="31" s="1"/>
  <c r="F15" i="16"/>
  <c r="F41" i="29" s="1"/>
  <c r="B41" i="31" s="1"/>
  <c r="V55" i="3"/>
  <c r="E43" i="12" s="1"/>
  <c r="W7" i="3"/>
  <c r="AA7" i="3"/>
  <c r="K10" i="16" s="1"/>
  <c r="K36" i="29" s="1"/>
  <c r="X7" i="3"/>
  <c r="H10" i="16" s="1"/>
  <c r="H36" i="29" s="1"/>
  <c r="V7" i="3"/>
  <c r="F10" i="16" s="1"/>
  <c r="F36" i="29" s="1"/>
  <c r="J10" i="16"/>
  <c r="J36" i="29" s="1"/>
  <c r="Y7" i="3"/>
  <c r="I10" i="16" s="1"/>
  <c r="I36" i="29" s="1"/>
  <c r="G15" i="16"/>
  <c r="G41" i="29" s="1"/>
  <c r="C41" i="31" s="1"/>
  <c r="W55" i="3"/>
  <c r="F43" i="12" s="1"/>
  <c r="W64" i="3"/>
  <c r="X64" i="3"/>
  <c r="V64" i="3"/>
  <c r="Z64" i="3"/>
  <c r="AA64" i="3"/>
  <c r="Y64" i="3"/>
  <c r="X60" i="3"/>
  <c r="Z60" i="3"/>
  <c r="AA60" i="3"/>
  <c r="V60" i="3"/>
  <c r="W60" i="3"/>
  <c r="Y60" i="3"/>
  <c r="J15" i="16"/>
  <c r="J41" i="29" s="1"/>
  <c r="F41" i="31" s="1"/>
  <c r="Z55" i="3"/>
  <c r="I43" i="12" s="1"/>
  <c r="I26" i="7"/>
  <c r="K21" i="7"/>
  <c r="I14" i="7"/>
  <c r="K9" i="7"/>
  <c r="AA17" i="5"/>
  <c r="Y17" i="5"/>
  <c r="W17" i="5"/>
  <c r="V17" i="5"/>
  <c r="X17" i="5"/>
  <c r="Z17" i="5"/>
  <c r="Z16" i="5"/>
  <c r="X16" i="5"/>
  <c r="W16" i="5"/>
  <c r="Y16" i="5"/>
  <c r="AA16" i="5"/>
  <c r="V16" i="5"/>
  <c r="B8" i="30"/>
  <c r="B12" i="39" s="1"/>
  <c r="Z11" i="5"/>
  <c r="V11" i="5"/>
  <c r="Y11" i="5"/>
  <c r="W11" i="5"/>
  <c r="G26" i="29" s="1"/>
  <c r="AA11" i="5"/>
  <c r="X11" i="5"/>
  <c r="W38" i="2"/>
  <c r="X63" i="2"/>
  <c r="I21" i="14" s="1"/>
  <c r="H13" i="29" s="1"/>
  <c r="D13" i="31" s="1"/>
  <c r="Z63" i="2"/>
  <c r="K21" i="14" s="1"/>
  <c r="J13" i="29" s="1"/>
  <c r="F13" i="31" s="1"/>
  <c r="W63" i="2"/>
  <c r="H21" i="14" s="1"/>
  <c r="G13" i="29" s="1"/>
  <c r="C13" i="31" s="1"/>
  <c r="N6" i="25"/>
  <c r="O20" i="17"/>
  <c r="AA63" i="2"/>
  <c r="L21" i="14" s="1"/>
  <c r="K13" i="29" s="1"/>
  <c r="G13" i="31" s="1"/>
  <c r="AA53" i="2"/>
  <c r="L19" i="14" s="1"/>
  <c r="K11" i="29" s="1"/>
  <c r="G11" i="31" s="1"/>
  <c r="X38" i="2"/>
  <c r="N7" i="16"/>
  <c r="V38" i="2"/>
  <c r="Y53" i="2"/>
  <c r="J19" i="14" s="1"/>
  <c r="I11" i="29" s="1"/>
  <c r="E11" i="31" s="1"/>
  <c r="Y38" i="2"/>
  <c r="AA38" i="2"/>
  <c r="O36" i="17"/>
  <c r="W53" i="2"/>
  <c r="H19" i="14" s="1"/>
  <c r="G11" i="29" s="1"/>
  <c r="C11" i="31" s="1"/>
  <c r="B5" i="30"/>
  <c r="B9" i="39" s="1"/>
  <c r="B22" i="41"/>
  <c r="L15" i="29"/>
  <c r="B6" i="30"/>
  <c r="B10" i="39" s="1"/>
  <c r="X53" i="2"/>
  <c r="I19" i="14" s="1"/>
  <c r="H11" i="29" s="1"/>
  <c r="D11" i="31" s="1"/>
  <c r="V53" i="2"/>
  <c r="G19" i="14" s="1"/>
  <c r="F11" i="29" s="1"/>
  <c r="B11" i="31" s="1"/>
  <c r="V51" i="2"/>
  <c r="G26" i="14" s="1"/>
  <c r="Y51" i="2"/>
  <c r="AA51" i="2"/>
  <c r="W51" i="2"/>
  <c r="X51" i="2"/>
  <c r="Z51" i="2"/>
  <c r="Y62" i="2"/>
  <c r="Z62" i="2"/>
  <c r="AA62" i="2"/>
  <c r="W62" i="2"/>
  <c r="X62" i="2"/>
  <c r="V62" i="2"/>
  <c r="W50" i="2"/>
  <c r="Y50" i="2"/>
  <c r="Z50" i="2"/>
  <c r="AA50" i="2"/>
  <c r="V49" i="2"/>
  <c r="X50" i="2"/>
  <c r="V52" i="2"/>
  <c r="X52" i="2"/>
  <c r="I18" i="14" s="1"/>
  <c r="H10" i="29" s="1"/>
  <c r="D10" i="31" s="1"/>
  <c r="W52" i="2"/>
  <c r="H18" i="14" s="1"/>
  <c r="G10" i="29" s="1"/>
  <c r="C10" i="31" s="1"/>
  <c r="Z52" i="2"/>
  <c r="K18" i="14" s="1"/>
  <c r="J10" i="29" s="1"/>
  <c r="F10" i="31" s="1"/>
  <c r="Y52" i="2"/>
  <c r="J18" i="14" s="1"/>
  <c r="I10" i="29" s="1"/>
  <c r="E10" i="31" s="1"/>
  <c r="AA52" i="2"/>
  <c r="L18" i="14" s="1"/>
  <c r="K10" i="29" s="1"/>
  <c r="G10" i="31" s="1"/>
  <c r="Z35" i="2"/>
  <c r="W35" i="2"/>
  <c r="X35" i="2"/>
  <c r="AA35" i="2"/>
  <c r="V35" i="2"/>
  <c r="Y35" i="2"/>
  <c r="C17" i="30"/>
  <c r="C21" i="39" s="1"/>
  <c r="Z6" i="10"/>
  <c r="K9" i="19" s="1"/>
  <c r="W6" i="10"/>
  <c r="H9" i="19" s="1"/>
  <c r="AA6" i="10"/>
  <c r="L9" i="19" s="1"/>
  <c r="V6" i="10"/>
  <c r="G9" i="19" s="1"/>
  <c r="H61" i="12"/>
  <c r="J23" i="19"/>
  <c r="I65" i="29" s="1"/>
  <c r="E65" i="31" s="1"/>
  <c r="F60" i="12"/>
  <c r="H22" i="19"/>
  <c r="G64" i="29" s="1"/>
  <c r="C64" i="31" s="1"/>
  <c r="F61" i="12"/>
  <c r="H23" i="19"/>
  <c r="G65" i="29" s="1"/>
  <c r="C65" i="31" s="1"/>
  <c r="H54" i="12"/>
  <c r="I59" i="29"/>
  <c r="G54" i="12"/>
  <c r="H59" i="29"/>
  <c r="D59" i="31" s="1"/>
  <c r="G66" i="12"/>
  <c r="I27" i="19"/>
  <c r="H68" i="29" s="1"/>
  <c r="I60" i="12"/>
  <c r="K22" i="19"/>
  <c r="J64" i="29" s="1"/>
  <c r="F64" i="31" s="1"/>
  <c r="G61" i="12"/>
  <c r="I23" i="19"/>
  <c r="H65" i="29" s="1"/>
  <c r="D65" i="31" s="1"/>
  <c r="G60" i="12"/>
  <c r="I22" i="19"/>
  <c r="H64" i="29" s="1"/>
  <c r="D64" i="31" s="1"/>
  <c r="I61" i="12"/>
  <c r="K23" i="19"/>
  <c r="J65" i="29" s="1"/>
  <c r="F65" i="31" s="1"/>
  <c r="I54" i="12"/>
  <c r="J59" i="29"/>
  <c r="F59" i="31" s="1"/>
  <c r="H60" i="12"/>
  <c r="J22" i="19"/>
  <c r="I64" i="29" s="1"/>
  <c r="E64" i="31" s="1"/>
  <c r="B20" i="39"/>
  <c r="E61" i="12"/>
  <c r="G23" i="19"/>
  <c r="F65" i="29" s="1"/>
  <c r="B65" i="31" s="1"/>
  <c r="B21" i="39"/>
  <c r="E60" i="12"/>
  <c r="G22" i="19"/>
  <c r="F64" i="29" s="1"/>
  <c r="B64" i="31" s="1"/>
  <c r="F54" i="12"/>
  <c r="G59" i="29"/>
  <c r="C59" i="31" s="1"/>
  <c r="J60" i="12"/>
  <c r="L22" i="19"/>
  <c r="K64" i="29" s="1"/>
  <c r="G64" i="31" s="1"/>
  <c r="B16" i="30"/>
  <c r="F63" i="12"/>
  <c r="H26" i="19"/>
  <c r="G67" i="29" s="1"/>
  <c r="G63" i="12"/>
  <c r="I26" i="19"/>
  <c r="H67" i="29" s="1"/>
  <c r="F66" i="12"/>
  <c r="H27" i="19"/>
  <c r="G68" i="29" s="1"/>
  <c r="J54" i="12"/>
  <c r="K59" i="29"/>
  <c r="G59" i="31" s="1"/>
  <c r="E54" i="12"/>
  <c r="F59" i="29"/>
  <c r="B59" i="31" s="1"/>
  <c r="G53" i="12"/>
  <c r="H58" i="29"/>
  <c r="B23" i="39"/>
  <c r="B7" i="30"/>
  <c r="B11" i="39" s="1"/>
  <c r="G20" i="12"/>
  <c r="I20" i="12"/>
  <c r="K6" i="15"/>
  <c r="J19" i="29" s="1"/>
  <c r="F19" i="31" s="1"/>
  <c r="H20" i="12"/>
  <c r="J6" i="15"/>
  <c r="I19" i="29" s="1"/>
  <c r="E19" i="31" s="1"/>
  <c r="E20" i="12"/>
  <c r="F19" i="29"/>
  <c r="B19" i="31" s="1"/>
  <c r="V43" i="5"/>
  <c r="Y43" i="5"/>
  <c r="W43" i="5"/>
  <c r="H18" i="15" s="1"/>
  <c r="G25" i="29" s="1"/>
  <c r="AA43" i="5"/>
  <c r="J28" i="12" s="1"/>
  <c r="Z43" i="5"/>
  <c r="K18" i="15" s="1"/>
  <c r="J25" i="29" s="1"/>
  <c r="X43" i="5"/>
  <c r="I18" i="15" s="1"/>
  <c r="H25" i="29" s="1"/>
  <c r="W19" i="2"/>
  <c r="Y19" i="2"/>
  <c r="Z19" i="2"/>
  <c r="X19" i="2"/>
  <c r="V19" i="2"/>
  <c r="K7" i="29"/>
  <c r="G7" i="31" s="1"/>
  <c r="AA9" i="2"/>
  <c r="Y9" i="2"/>
  <c r="Z9" i="2"/>
  <c r="W9" i="2"/>
  <c r="X9" i="2"/>
  <c r="V9" i="2"/>
  <c r="H6" i="15"/>
  <c r="G19" i="29" s="1"/>
  <c r="C19" i="31" s="1"/>
  <c r="F20" i="12"/>
  <c r="J20" i="12"/>
  <c r="L6" i="15"/>
  <c r="K19" i="29" s="1"/>
  <c r="W37" i="9" l="1"/>
  <c r="H45" i="17" s="1"/>
  <c r="G55" i="29" s="1"/>
  <c r="C55" i="31" s="1"/>
  <c r="I24" i="9"/>
  <c r="K24" i="9" s="1"/>
  <c r="I38" i="9"/>
  <c r="K38" i="9" s="1"/>
  <c r="F48" i="17" s="1"/>
  <c r="E56" i="29" s="1"/>
  <c r="E56" i="44" s="1"/>
  <c r="F57" i="37" s="1"/>
  <c r="G57" i="37" s="1"/>
  <c r="O48" i="17" s="1"/>
  <c r="J29" i="19"/>
  <c r="I69" i="29" s="1"/>
  <c r="H29" i="19"/>
  <c r="G69" i="29" s="1"/>
  <c r="K29" i="19"/>
  <c r="J69" i="29" s="1"/>
  <c r="F69" i="31" s="1"/>
  <c r="K15" i="14"/>
  <c r="J9" i="29" s="1"/>
  <c r="F9" i="31" s="1"/>
  <c r="AA6" i="13"/>
  <c r="V6" i="13"/>
  <c r="X6" i="13"/>
  <c r="Z6" i="13"/>
  <c r="W6" i="13"/>
  <c r="E71" i="44"/>
  <c r="F72" i="37" s="1"/>
  <c r="G72" i="37" s="1"/>
  <c r="N5" i="25" s="1"/>
  <c r="A2" i="25" s="1"/>
  <c r="B24" i="39"/>
  <c r="B20" i="30"/>
  <c r="E53" i="12"/>
  <c r="E58" i="29"/>
  <c r="G58" i="29"/>
  <c r="C58" i="31" s="1"/>
  <c r="F58" i="29"/>
  <c r="B58" i="31" s="1"/>
  <c r="I53" i="12"/>
  <c r="I58" i="29"/>
  <c r="E58" i="31" s="1"/>
  <c r="K58" i="29"/>
  <c r="G58" i="31" s="1"/>
  <c r="J58" i="29"/>
  <c r="F58" i="31" s="1"/>
  <c r="V15" i="11"/>
  <c r="E67" i="12" s="1"/>
  <c r="E49" i="44"/>
  <c r="F50" i="37" s="1"/>
  <c r="G50" i="37" s="1"/>
  <c r="O28" i="17" s="1"/>
  <c r="E68" i="44"/>
  <c r="F69" i="37" s="1"/>
  <c r="E55" i="44"/>
  <c r="F56" i="37" s="1"/>
  <c r="G56" i="37" s="1"/>
  <c r="O45" i="17" s="1"/>
  <c r="C50" i="44"/>
  <c r="C54" i="44"/>
  <c r="F7" i="16"/>
  <c r="F34" i="29" s="1"/>
  <c r="B34" i="31" s="1"/>
  <c r="Z6" i="4"/>
  <c r="I34" i="12" s="1"/>
  <c r="A2" i="14"/>
  <c r="X15" i="11"/>
  <c r="G67" i="12" s="1"/>
  <c r="G69" i="37"/>
  <c r="B18" i="30"/>
  <c r="H19" i="30"/>
  <c r="H23" i="39" s="1"/>
  <c r="G69" i="31"/>
  <c r="AA15" i="11"/>
  <c r="J67" i="12" s="1"/>
  <c r="Y15" i="11"/>
  <c r="H67" i="12" s="1"/>
  <c r="Z15" i="11"/>
  <c r="I67" i="12" s="1"/>
  <c r="W15" i="11"/>
  <c r="F67" i="12" s="1"/>
  <c r="X10" i="9"/>
  <c r="Y10" i="9"/>
  <c r="V10" i="9"/>
  <c r="Z10" i="9"/>
  <c r="W10" i="9"/>
  <c r="AA10" i="9"/>
  <c r="N38" i="9"/>
  <c r="Z38" i="9" s="1"/>
  <c r="K48" i="17" s="1"/>
  <c r="J56" i="29" s="1"/>
  <c r="F56" i="31" s="1"/>
  <c r="AA22" i="3"/>
  <c r="AA18" i="3" s="1"/>
  <c r="J40" i="12" s="1"/>
  <c r="Z22" i="3"/>
  <c r="Z18" i="3" s="1"/>
  <c r="I40" i="12" s="1"/>
  <c r="W22" i="3"/>
  <c r="W18" i="3" s="1"/>
  <c r="F40" i="12" s="1"/>
  <c r="Y22" i="3"/>
  <c r="Y18" i="3" s="1"/>
  <c r="V22" i="3"/>
  <c r="V18" i="3" s="1"/>
  <c r="E40" i="12" s="1"/>
  <c r="F33" i="17"/>
  <c r="E50" i="29" s="1"/>
  <c r="N53" i="3"/>
  <c r="X7" i="9"/>
  <c r="I8" i="17" s="1"/>
  <c r="Z7" i="9"/>
  <c r="K8" i="17" s="1"/>
  <c r="Y7" i="9"/>
  <c r="J8" i="17" s="1"/>
  <c r="W7" i="9"/>
  <c r="H8" i="17" s="1"/>
  <c r="V7" i="9"/>
  <c r="G8" i="17" s="1"/>
  <c r="AA7" i="9"/>
  <c r="L8" i="17" s="1"/>
  <c r="E45" i="29"/>
  <c r="N26" i="9"/>
  <c r="F42" i="17"/>
  <c r="E54" i="29" s="1"/>
  <c r="G15" i="14"/>
  <c r="F9" i="29" s="1"/>
  <c r="B9" i="31" s="1"/>
  <c r="L15" i="14"/>
  <c r="K9" i="29" s="1"/>
  <c r="G9" i="31" s="1"/>
  <c r="I15" i="14"/>
  <c r="H9" i="29" s="1"/>
  <c r="D9" i="31" s="1"/>
  <c r="J15" i="14"/>
  <c r="I9" i="29" s="1"/>
  <c r="E9" i="31" s="1"/>
  <c r="AA16" i="2"/>
  <c r="J13" i="12" s="1"/>
  <c r="Y16" i="2"/>
  <c r="J8" i="14" s="1"/>
  <c r="I6" i="29" s="1"/>
  <c r="E6" i="31" s="1"/>
  <c r="L8" i="14"/>
  <c r="K6" i="29" s="1"/>
  <c r="G6" i="31" s="1"/>
  <c r="X6" i="2"/>
  <c r="I5" i="14" s="1"/>
  <c r="H5" i="29" s="1"/>
  <c r="AA6" i="2"/>
  <c r="L5" i="14" s="1"/>
  <c r="K5" i="29" s="1"/>
  <c r="J10" i="15"/>
  <c r="I21" i="29" s="1"/>
  <c r="E21" i="31" s="1"/>
  <c r="W6" i="2"/>
  <c r="H5" i="14" s="1"/>
  <c r="G5" i="29" s="1"/>
  <c r="W16" i="2"/>
  <c r="H8" i="14" s="1"/>
  <c r="G6" i="29" s="1"/>
  <c r="C6" i="31" s="1"/>
  <c r="Z6" i="2"/>
  <c r="K5" i="14" s="1"/>
  <c r="J5" i="29" s="1"/>
  <c r="X16" i="2"/>
  <c r="I8" i="14" s="1"/>
  <c r="H6" i="29" s="1"/>
  <c r="D6" i="31" s="1"/>
  <c r="H15" i="14"/>
  <c r="G9" i="29" s="1"/>
  <c r="C9" i="31" s="1"/>
  <c r="V6" i="2"/>
  <c r="G5" i="14" s="1"/>
  <c r="F5" i="29" s="1"/>
  <c r="Y6" i="2"/>
  <c r="J5" i="14" s="1"/>
  <c r="I5" i="29" s="1"/>
  <c r="Z16" i="2"/>
  <c r="K8" i="14" s="1"/>
  <c r="J6" i="29" s="1"/>
  <c r="F6" i="31" s="1"/>
  <c r="G18" i="14"/>
  <c r="F10" i="29" s="1"/>
  <c r="B10" i="31" s="1"/>
  <c r="K26" i="14"/>
  <c r="V31" i="7"/>
  <c r="G31" i="15" s="1"/>
  <c r="F30" i="29" s="1"/>
  <c r="B30" i="31" s="1"/>
  <c r="AA31" i="7"/>
  <c r="L31" i="15" s="1"/>
  <c r="K30" i="29" s="1"/>
  <c r="G30" i="31" s="1"/>
  <c r="I26" i="14"/>
  <c r="K19" i="7"/>
  <c r="AG21" i="7"/>
  <c r="K7" i="7"/>
  <c r="AG9" i="7"/>
  <c r="X38" i="9"/>
  <c r="I48" i="17" s="1"/>
  <c r="H56" i="29" s="1"/>
  <c r="D56" i="31" s="1"/>
  <c r="X31" i="7"/>
  <c r="G31" i="12" s="1"/>
  <c r="L22" i="15"/>
  <c r="K27" i="29" s="1"/>
  <c r="G27" i="31" s="1"/>
  <c r="H26" i="14"/>
  <c r="Y49" i="2"/>
  <c r="H15" i="12" s="1"/>
  <c r="J26" i="14"/>
  <c r="I17" i="29" s="1"/>
  <c r="E17" i="31" s="1"/>
  <c r="H31" i="15"/>
  <c r="G30" i="29" s="1"/>
  <c r="C30" i="31" s="1"/>
  <c r="F31" i="12"/>
  <c r="K31" i="15"/>
  <c r="J30" i="29" s="1"/>
  <c r="F30" i="31" s="1"/>
  <c r="I31" i="12"/>
  <c r="X8" i="5"/>
  <c r="G21" i="12" s="1"/>
  <c r="Y31" i="7"/>
  <c r="G22" i="15"/>
  <c r="F27" i="29" s="1"/>
  <c r="B27" i="31" s="1"/>
  <c r="I10" i="15"/>
  <c r="H21" i="29" s="1"/>
  <c r="D21" i="31" s="1"/>
  <c r="L40" i="17"/>
  <c r="K53" i="29" s="1"/>
  <c r="G53" i="31" s="1"/>
  <c r="J40" i="17"/>
  <c r="I53" i="29" s="1"/>
  <c r="E53" i="31" s="1"/>
  <c r="X44" i="3"/>
  <c r="X35" i="3" s="1"/>
  <c r="G42" i="12" s="1"/>
  <c r="V44" i="3"/>
  <c r="V35" i="3" s="1"/>
  <c r="E42" i="12" s="1"/>
  <c r="AA44" i="3"/>
  <c r="Y44" i="3"/>
  <c r="Z44" i="3"/>
  <c r="W44" i="3"/>
  <c r="W35" i="3" s="1"/>
  <c r="F42" i="12" s="1"/>
  <c r="E48" i="29"/>
  <c r="W29" i="3"/>
  <c r="H23" i="17" s="1"/>
  <c r="G48" i="29" s="1"/>
  <c r="C48" i="31" s="1"/>
  <c r="Y29" i="3"/>
  <c r="Y25" i="3" s="1"/>
  <c r="AA29" i="3"/>
  <c r="L23" i="17" s="1"/>
  <c r="K48" i="29" s="1"/>
  <c r="G48" i="31" s="1"/>
  <c r="Z29" i="3"/>
  <c r="Z25" i="3" s="1"/>
  <c r="I41" i="12" s="1"/>
  <c r="V29" i="3"/>
  <c r="G23" i="17" s="1"/>
  <c r="F48" i="29" s="1"/>
  <c r="B48" i="31" s="1"/>
  <c r="X29" i="3"/>
  <c r="X25" i="3" s="1"/>
  <c r="G41" i="12" s="1"/>
  <c r="I13" i="19"/>
  <c r="H61" i="29" s="1"/>
  <c r="D61" i="31" s="1"/>
  <c r="L16" i="19"/>
  <c r="K62" i="29" s="1"/>
  <c r="G62" i="31" s="1"/>
  <c r="G13" i="19"/>
  <c r="F61" i="29" s="1"/>
  <c r="B61" i="31" s="1"/>
  <c r="K5" i="16"/>
  <c r="K32" i="29" s="1"/>
  <c r="G32" i="31" s="1"/>
  <c r="H5" i="16"/>
  <c r="H32" i="29" s="1"/>
  <c r="D32" i="31" s="1"/>
  <c r="F5" i="16"/>
  <c r="F32" i="29" s="1"/>
  <c r="B32" i="31" s="1"/>
  <c r="Z8" i="5"/>
  <c r="I21" i="12" s="1"/>
  <c r="Z28" i="5"/>
  <c r="I24" i="12" s="1"/>
  <c r="H10" i="15"/>
  <c r="G21" i="29" s="1"/>
  <c r="C21" i="31" s="1"/>
  <c r="Y28" i="5"/>
  <c r="K10" i="15"/>
  <c r="J21" i="29" s="1"/>
  <c r="F21" i="31" s="1"/>
  <c r="L10" i="15"/>
  <c r="K21" i="29" s="1"/>
  <c r="G21" i="31" s="1"/>
  <c r="W28" i="5"/>
  <c r="AA28" i="5"/>
  <c r="V28" i="5"/>
  <c r="X28" i="5"/>
  <c r="H19" i="19"/>
  <c r="G63" i="29" s="1"/>
  <c r="C63" i="31" s="1"/>
  <c r="Y18" i="8"/>
  <c r="H59" i="12" s="1"/>
  <c r="D69" i="31"/>
  <c r="D19" i="30"/>
  <c r="D23" i="39" s="1"/>
  <c r="C69" i="31"/>
  <c r="L13" i="19"/>
  <c r="K61" i="29" s="1"/>
  <c r="G61" i="31" s="1"/>
  <c r="K16" i="19"/>
  <c r="J62" i="29" s="1"/>
  <c r="F62" i="31" s="1"/>
  <c r="I19" i="19"/>
  <c r="H63" i="29" s="1"/>
  <c r="D63" i="31" s="1"/>
  <c r="X12" i="8"/>
  <c r="G58" i="12" s="1"/>
  <c r="X18" i="8"/>
  <c r="G59" i="12" s="1"/>
  <c r="W6" i="8"/>
  <c r="F57" i="12" s="1"/>
  <c r="Y12" i="8"/>
  <c r="H58" i="12" s="1"/>
  <c r="H16" i="19"/>
  <c r="G62" i="29" s="1"/>
  <c r="C62" i="31" s="1"/>
  <c r="AA6" i="8"/>
  <c r="J57" i="12" s="1"/>
  <c r="Z12" i="8"/>
  <c r="I58" i="12" s="1"/>
  <c r="H13" i="19"/>
  <c r="G61" i="29" s="1"/>
  <c r="C61" i="31" s="1"/>
  <c r="Y6" i="8"/>
  <c r="H57" i="12" s="1"/>
  <c r="X6" i="8"/>
  <c r="G57" i="12" s="1"/>
  <c r="Z18" i="8"/>
  <c r="K19" i="19" s="1"/>
  <c r="J63" i="29" s="1"/>
  <c r="F63" i="31" s="1"/>
  <c r="J13" i="19"/>
  <c r="I61" i="29" s="1"/>
  <c r="E61" i="31" s="1"/>
  <c r="I16" i="19"/>
  <c r="H62" i="29" s="1"/>
  <c r="D62" i="31" s="1"/>
  <c r="W12" i="8"/>
  <c r="F58" i="12" s="1"/>
  <c r="G16" i="19"/>
  <c r="F62" i="29" s="1"/>
  <c r="B62" i="31" s="1"/>
  <c r="J16" i="19"/>
  <c r="I62" i="29" s="1"/>
  <c r="E62" i="31" s="1"/>
  <c r="J19" i="19"/>
  <c r="I63" i="29" s="1"/>
  <c r="E63" i="31" s="1"/>
  <c r="AA18" i="8"/>
  <c r="K13" i="19"/>
  <c r="J61" i="29" s="1"/>
  <c r="F61" i="31" s="1"/>
  <c r="Z6" i="8"/>
  <c r="I57" i="12" s="1"/>
  <c r="V6" i="8"/>
  <c r="E57" i="12" s="1"/>
  <c r="G19" i="19"/>
  <c r="F63" i="29" s="1"/>
  <c r="B63" i="31" s="1"/>
  <c r="AA12" i="8"/>
  <c r="J58" i="12" s="1"/>
  <c r="W18" i="8"/>
  <c r="F59" i="12" s="1"/>
  <c r="V12" i="8"/>
  <c r="E58" i="12" s="1"/>
  <c r="V18" i="8"/>
  <c r="E59" i="12" s="1"/>
  <c r="G19" i="30"/>
  <c r="G23" i="39" s="1"/>
  <c r="J53" i="12"/>
  <c r="F53" i="12"/>
  <c r="W6" i="4"/>
  <c r="F34" i="12" s="1"/>
  <c r="G5" i="16"/>
  <c r="G32" i="29" s="1"/>
  <c r="D10" i="30" s="1"/>
  <c r="Y6" i="4"/>
  <c r="H34" i="12" s="1"/>
  <c r="I5" i="16"/>
  <c r="I32" i="29" s="1"/>
  <c r="E32" i="31" s="1"/>
  <c r="J5" i="16"/>
  <c r="J32" i="29" s="1"/>
  <c r="X18" i="3"/>
  <c r="G40" i="12" s="1"/>
  <c r="I35" i="12"/>
  <c r="J6" i="16"/>
  <c r="J33" i="29" s="1"/>
  <c r="J35" i="12"/>
  <c r="K6" i="16"/>
  <c r="K33" i="29" s="1"/>
  <c r="G33" i="31" s="1"/>
  <c r="H35" i="12"/>
  <c r="I6" i="16"/>
  <c r="I33" i="29" s="1"/>
  <c r="E33" i="31" s="1"/>
  <c r="G35" i="12"/>
  <c r="H6" i="16"/>
  <c r="H33" i="29" s="1"/>
  <c r="F35" i="12"/>
  <c r="G6" i="16"/>
  <c r="G33" i="29" s="1"/>
  <c r="G34" i="31"/>
  <c r="E34" i="31"/>
  <c r="B33" i="31"/>
  <c r="Y8" i="5"/>
  <c r="H21" i="12" s="1"/>
  <c r="J22" i="15"/>
  <c r="I27" i="29" s="1"/>
  <c r="E27" i="31" s="1"/>
  <c r="K22" i="15"/>
  <c r="J27" i="29" s="1"/>
  <c r="H22" i="15"/>
  <c r="G27" i="29" s="1"/>
  <c r="C27" i="31" s="1"/>
  <c r="I22" i="15"/>
  <c r="H27" i="29" s="1"/>
  <c r="D27" i="31" s="1"/>
  <c r="K26" i="29"/>
  <c r="G26" i="31" s="1"/>
  <c r="V8" i="5"/>
  <c r="E21" i="12" s="1"/>
  <c r="H26" i="29"/>
  <c r="D26" i="31" s="1"/>
  <c r="AA8" i="5"/>
  <c r="J21" i="12" s="1"/>
  <c r="W21" i="5"/>
  <c r="F23" i="12" s="1"/>
  <c r="Z21" i="5"/>
  <c r="I23" i="12" s="1"/>
  <c r="AA21" i="5"/>
  <c r="J23" i="12" s="1"/>
  <c r="X21" i="5"/>
  <c r="G23" i="12" s="1"/>
  <c r="V14" i="5"/>
  <c r="E22" i="12" s="1"/>
  <c r="G7" i="15"/>
  <c r="F20" i="29" s="1"/>
  <c r="B20" i="31" s="1"/>
  <c r="Y21" i="5"/>
  <c r="H23" i="12" s="1"/>
  <c r="G10" i="15"/>
  <c r="F21" i="29" s="1"/>
  <c r="B21" i="31" s="1"/>
  <c r="V21" i="5"/>
  <c r="E23" i="12" s="1"/>
  <c r="K7" i="15"/>
  <c r="H7" i="15"/>
  <c r="I7" i="15"/>
  <c r="L7" i="15"/>
  <c r="K20" i="29" s="1"/>
  <c r="G20" i="31" s="1"/>
  <c r="AA14" i="5"/>
  <c r="J22" i="12" s="1"/>
  <c r="Y14" i="5"/>
  <c r="H22" i="12" s="1"/>
  <c r="J7" i="15"/>
  <c r="I20" i="29" s="1"/>
  <c r="E20" i="31" s="1"/>
  <c r="K12" i="14"/>
  <c r="J8" i="29" s="1"/>
  <c r="F8" i="31" s="1"/>
  <c r="L12" i="14"/>
  <c r="K8" i="29" s="1"/>
  <c r="G8" i="31" s="1"/>
  <c r="G12" i="14"/>
  <c r="F8" i="29" s="1"/>
  <c r="B8" i="31" s="1"/>
  <c r="J12" i="14"/>
  <c r="I8" i="29" s="1"/>
  <c r="E8" i="31" s="1"/>
  <c r="I12" i="14"/>
  <c r="H8" i="29" s="1"/>
  <c r="D8" i="31" s="1"/>
  <c r="H12" i="14"/>
  <c r="G8" i="29" s="1"/>
  <c r="C8" i="31" s="1"/>
  <c r="G24" i="14"/>
  <c r="F15" i="29" s="1"/>
  <c r="B15" i="31" s="1"/>
  <c r="V34" i="2"/>
  <c r="E14" i="12" s="1"/>
  <c r="K24" i="14"/>
  <c r="J15" i="29" s="1"/>
  <c r="F15" i="31" s="1"/>
  <c r="Z34" i="2"/>
  <c r="I14" i="12" s="1"/>
  <c r="L24" i="14"/>
  <c r="K15" i="29" s="1"/>
  <c r="G15" i="31" s="1"/>
  <c r="AA34" i="2"/>
  <c r="J14" i="12" s="1"/>
  <c r="I24" i="14"/>
  <c r="H15" i="29" s="1"/>
  <c r="D15" i="31" s="1"/>
  <c r="X34" i="2"/>
  <c r="G14" i="12" s="1"/>
  <c r="J24" i="14"/>
  <c r="I15" i="29" s="1"/>
  <c r="E15" i="31" s="1"/>
  <c r="Y34" i="2"/>
  <c r="H14" i="12" s="1"/>
  <c r="H24" i="14"/>
  <c r="G15" i="29" s="1"/>
  <c r="C15" i="31" s="1"/>
  <c r="W34" i="2"/>
  <c r="F14" i="12" s="1"/>
  <c r="Y59" i="3"/>
  <c r="I16" i="16"/>
  <c r="I42" i="29" s="1"/>
  <c r="E42" i="31" s="1"/>
  <c r="J16" i="16"/>
  <c r="J42" i="29" s="1"/>
  <c r="F42" i="31" s="1"/>
  <c r="Z59" i="3"/>
  <c r="I44" i="12" s="1"/>
  <c r="J17" i="16"/>
  <c r="J43" i="29" s="1"/>
  <c r="F43" i="31" s="1"/>
  <c r="Z63" i="3"/>
  <c r="I45" i="12" s="1"/>
  <c r="B36" i="31"/>
  <c r="W13" i="3"/>
  <c r="W6" i="3" s="1"/>
  <c r="F39" i="12" s="1"/>
  <c r="X13" i="3"/>
  <c r="Y13" i="3"/>
  <c r="V13" i="3"/>
  <c r="G15" i="17" s="1"/>
  <c r="Z13" i="3"/>
  <c r="K15" i="17" s="1"/>
  <c r="J46" i="29" s="1"/>
  <c r="F46" i="31" s="1"/>
  <c r="AA13" i="3"/>
  <c r="AA6" i="3" s="1"/>
  <c r="J39" i="12" s="1"/>
  <c r="K16" i="16"/>
  <c r="K42" i="29" s="1"/>
  <c r="G42" i="31" s="1"/>
  <c r="AA59" i="3"/>
  <c r="J44" i="12" s="1"/>
  <c r="AA63" i="3"/>
  <c r="J45" i="12" s="1"/>
  <c r="K17" i="16"/>
  <c r="K43" i="29" s="1"/>
  <c r="G43" i="31" s="1"/>
  <c r="W63" i="3"/>
  <c r="F45" i="12" s="1"/>
  <c r="G17" i="16"/>
  <c r="G43" i="29" s="1"/>
  <c r="C43" i="31" s="1"/>
  <c r="F36" i="31"/>
  <c r="G10" i="16"/>
  <c r="G36" i="29" s="1"/>
  <c r="E46" i="29"/>
  <c r="E46" i="44" s="1"/>
  <c r="F47" i="37" s="1"/>
  <c r="G16" i="16"/>
  <c r="G42" i="29" s="1"/>
  <c r="C42" i="31" s="1"/>
  <c r="W59" i="3"/>
  <c r="F44" i="12" s="1"/>
  <c r="H16" i="16"/>
  <c r="H42" i="29" s="1"/>
  <c r="D42" i="31" s="1"/>
  <c r="X59" i="3"/>
  <c r="G44" i="12" s="1"/>
  <c r="F17" i="16"/>
  <c r="F43" i="29" s="1"/>
  <c r="B43" i="31" s="1"/>
  <c r="V63" i="3"/>
  <c r="E45" i="12" s="1"/>
  <c r="D36" i="31"/>
  <c r="G12" i="16"/>
  <c r="G38" i="29" s="1"/>
  <c r="C38" i="31" s="1"/>
  <c r="I12" i="16"/>
  <c r="I38" i="29" s="1"/>
  <c r="E38" i="31" s="1"/>
  <c r="V59" i="3"/>
  <c r="E44" i="12" s="1"/>
  <c r="F16" i="16"/>
  <c r="F42" i="29" s="1"/>
  <c r="B42" i="31" s="1"/>
  <c r="I17" i="16"/>
  <c r="I43" i="29" s="1"/>
  <c r="E43" i="31" s="1"/>
  <c r="Y63" i="3"/>
  <c r="H17" i="16"/>
  <c r="H43" i="29" s="1"/>
  <c r="D43" i="31" s="1"/>
  <c r="X63" i="3"/>
  <c r="G45" i="12" s="1"/>
  <c r="E36" i="31"/>
  <c r="G36" i="31"/>
  <c r="W8" i="5"/>
  <c r="F21" i="12" s="1"/>
  <c r="X14" i="5"/>
  <c r="Z14" i="5"/>
  <c r="F28" i="12"/>
  <c r="W14" i="5"/>
  <c r="I28" i="12"/>
  <c r="F26" i="29"/>
  <c r="B26" i="31" s="1"/>
  <c r="J26" i="29"/>
  <c r="E26" i="31"/>
  <c r="C26" i="31"/>
  <c r="V16" i="2"/>
  <c r="A2" i="15"/>
  <c r="A2" i="16"/>
  <c r="AA49" i="2"/>
  <c r="L26" i="14" s="1"/>
  <c r="K17" i="29" s="1"/>
  <c r="G17" i="31" s="1"/>
  <c r="Z49" i="2"/>
  <c r="I15" i="12" s="1"/>
  <c r="B23" i="41"/>
  <c r="L16" i="29"/>
  <c r="L9" i="29"/>
  <c r="B16" i="41"/>
  <c r="X49" i="2"/>
  <c r="G15" i="12" s="1"/>
  <c r="E17" i="12"/>
  <c r="G20" i="14"/>
  <c r="F12" i="29" s="1"/>
  <c r="B12" i="31" s="1"/>
  <c r="I17" i="12"/>
  <c r="K20" i="14"/>
  <c r="J12" i="29" s="1"/>
  <c r="F12" i="31" s="1"/>
  <c r="G17" i="12"/>
  <c r="I20" i="14"/>
  <c r="H12" i="29" s="1"/>
  <c r="D12" i="31" s="1"/>
  <c r="J20" i="14"/>
  <c r="I12" i="29" s="1"/>
  <c r="E12" i="31" s="1"/>
  <c r="H17" i="12"/>
  <c r="F17" i="12"/>
  <c r="H20" i="14"/>
  <c r="G12" i="29" s="1"/>
  <c r="C12" i="31" s="1"/>
  <c r="F17" i="29"/>
  <c r="E15" i="12"/>
  <c r="W49" i="2"/>
  <c r="J17" i="12"/>
  <c r="L20" i="14"/>
  <c r="K12" i="29" s="1"/>
  <c r="G12" i="31" s="1"/>
  <c r="D67" i="31"/>
  <c r="E17" i="30"/>
  <c r="E21" i="39" s="1"/>
  <c r="E59" i="31"/>
  <c r="D58" i="31"/>
  <c r="E15" i="30"/>
  <c r="E19" i="39" s="1"/>
  <c r="C68" i="31"/>
  <c r="D18" i="30"/>
  <c r="C67" i="31"/>
  <c r="D17" i="30"/>
  <c r="D68" i="31"/>
  <c r="E18" i="30"/>
  <c r="E22" i="39" s="1"/>
  <c r="B69" i="31"/>
  <c r="C19" i="30"/>
  <c r="L18" i="15"/>
  <c r="K25" i="29" s="1"/>
  <c r="G25" i="31" s="1"/>
  <c r="J18" i="15"/>
  <c r="I25" i="29" s="1"/>
  <c r="H28" i="12"/>
  <c r="G28" i="12"/>
  <c r="G18" i="15"/>
  <c r="F25" i="29" s="1"/>
  <c r="E28" i="12"/>
  <c r="F7" i="29"/>
  <c r="B7" i="31" s="1"/>
  <c r="I7" i="29"/>
  <c r="E7" i="31" s="1"/>
  <c r="G7" i="29"/>
  <c r="C7" i="31" s="1"/>
  <c r="H7" i="29"/>
  <c r="D7" i="31" s="1"/>
  <c r="J7" i="29"/>
  <c r="F7" i="31" s="1"/>
  <c r="C25" i="31"/>
  <c r="F25" i="31"/>
  <c r="D25" i="31"/>
  <c r="G19" i="31"/>
  <c r="E45" i="44" l="1"/>
  <c r="F46" i="37" s="1"/>
  <c r="F19" i="30"/>
  <c r="F23" i="39" s="1"/>
  <c r="E69" i="31"/>
  <c r="F15" i="30"/>
  <c r="F19" i="39" s="1"/>
  <c r="D14" i="39"/>
  <c r="I69" i="12"/>
  <c r="J5" i="25"/>
  <c r="J71" i="29" s="1"/>
  <c r="G69" i="12"/>
  <c r="H5" i="25"/>
  <c r="H71" i="29" s="1"/>
  <c r="F5" i="25"/>
  <c r="F71" i="29" s="1"/>
  <c r="E69" i="12"/>
  <c r="G5" i="25"/>
  <c r="G71" i="29" s="1"/>
  <c r="F69" i="12"/>
  <c r="J69" i="12"/>
  <c r="K5" i="25"/>
  <c r="K71" i="29" s="1"/>
  <c r="C11" i="30"/>
  <c r="H15" i="30"/>
  <c r="H19" i="39" s="1"/>
  <c r="D15" i="30"/>
  <c r="D19" i="39" s="1"/>
  <c r="E58" i="44"/>
  <c r="F59" i="37" s="1"/>
  <c r="G59" i="37" s="1"/>
  <c r="O9" i="19" s="1"/>
  <c r="A2" i="19" s="1"/>
  <c r="B15" i="30"/>
  <c r="B19" i="39" s="1"/>
  <c r="E48" i="44"/>
  <c r="F49" i="37" s="1"/>
  <c r="G49" i="37" s="1"/>
  <c r="O23" i="17" s="1"/>
  <c r="E54" i="44"/>
  <c r="F55" i="37" s="1"/>
  <c r="G55" i="37" s="1"/>
  <c r="O42" i="17" s="1"/>
  <c r="E50" i="44"/>
  <c r="F51" i="37" s="1"/>
  <c r="G51" i="37" s="1"/>
  <c r="O33" i="17" s="1"/>
  <c r="F13" i="12"/>
  <c r="F11" i="30"/>
  <c r="F15" i="39" s="1"/>
  <c r="AA38" i="9"/>
  <c r="L48" i="17" s="1"/>
  <c r="K56" i="29" s="1"/>
  <c r="G56" i="31" s="1"/>
  <c r="Y38" i="9"/>
  <c r="J48" i="17" s="1"/>
  <c r="I56" i="29" s="1"/>
  <c r="E56" i="31" s="1"/>
  <c r="W38" i="9"/>
  <c r="H48" i="17" s="1"/>
  <c r="G56" i="29" s="1"/>
  <c r="C56" i="31" s="1"/>
  <c r="E10" i="30"/>
  <c r="E14" i="39" s="1"/>
  <c r="V38" i="9"/>
  <c r="G48" i="17" s="1"/>
  <c r="F56" i="29" s="1"/>
  <c r="B56" i="31" s="1"/>
  <c r="G46" i="37"/>
  <c r="O7" i="17" s="1"/>
  <c r="B13" i="30"/>
  <c r="B17" i="39" s="1"/>
  <c r="Z53" i="3"/>
  <c r="X53" i="3"/>
  <c r="W53" i="3"/>
  <c r="Y53" i="3"/>
  <c r="AA53" i="3"/>
  <c r="V53" i="3"/>
  <c r="AA26" i="9"/>
  <c r="AA24" i="9" s="1"/>
  <c r="X26" i="9"/>
  <c r="X24" i="9" s="1"/>
  <c r="Y26" i="9"/>
  <c r="Y24" i="9" s="1"/>
  <c r="V26" i="9"/>
  <c r="V24" i="9" s="1"/>
  <c r="W26" i="9"/>
  <c r="W24" i="9" s="1"/>
  <c r="Z26" i="9"/>
  <c r="Z24" i="9" s="1"/>
  <c r="Z8" i="9"/>
  <c r="K9" i="17" s="1"/>
  <c r="X8" i="9"/>
  <c r="I9" i="17" s="1"/>
  <c r="AA8" i="9"/>
  <c r="L9" i="17" s="1"/>
  <c r="Y8" i="9"/>
  <c r="J9" i="17" s="1"/>
  <c r="W8" i="9"/>
  <c r="H9" i="17" s="1"/>
  <c r="V8" i="9"/>
  <c r="G9" i="17" s="1"/>
  <c r="H13" i="12"/>
  <c r="H12" i="12"/>
  <c r="G12" i="12"/>
  <c r="J31" i="12"/>
  <c r="I13" i="12"/>
  <c r="J12" i="12"/>
  <c r="E12" i="12"/>
  <c r="I12" i="12"/>
  <c r="F12" i="12"/>
  <c r="G13" i="12"/>
  <c r="I31" i="15"/>
  <c r="H30" i="29" s="1"/>
  <c r="D30" i="31" s="1"/>
  <c r="E31" i="12"/>
  <c r="K6" i="7"/>
  <c r="N14" i="7" s="1"/>
  <c r="X14" i="7" s="1"/>
  <c r="AG6" i="7"/>
  <c r="H4" i="30"/>
  <c r="H8" i="39" s="1"/>
  <c r="H10" i="30"/>
  <c r="H14" i="39" s="1"/>
  <c r="C10" i="30"/>
  <c r="C14" i="39" s="1"/>
  <c r="C32" i="31"/>
  <c r="F27" i="31"/>
  <c r="H31" i="12"/>
  <c r="J31" i="15"/>
  <c r="I30" i="29" s="1"/>
  <c r="E30" i="31" s="1"/>
  <c r="K13" i="15"/>
  <c r="J22" i="29" s="1"/>
  <c r="F22" i="31" s="1"/>
  <c r="AA25" i="3"/>
  <c r="J41" i="12" s="1"/>
  <c r="H28" i="17"/>
  <c r="G49" i="29" s="1"/>
  <c r="C49" i="31" s="1"/>
  <c r="J23" i="17"/>
  <c r="I48" i="29" s="1"/>
  <c r="E48" i="31" s="1"/>
  <c r="I23" i="17"/>
  <c r="H48" i="29" s="1"/>
  <c r="D48" i="31" s="1"/>
  <c r="Z35" i="3"/>
  <c r="I42" i="12" s="1"/>
  <c r="K28" i="17"/>
  <c r="J49" i="29" s="1"/>
  <c r="F49" i="31" s="1"/>
  <c r="AA35" i="3"/>
  <c r="J42" i="12" s="1"/>
  <c r="L28" i="17"/>
  <c r="K49" i="29" s="1"/>
  <c r="G49" i="31" s="1"/>
  <c r="I28" i="17"/>
  <c r="H49" i="29" s="1"/>
  <c r="D49" i="31" s="1"/>
  <c r="Y35" i="3"/>
  <c r="J28" i="17"/>
  <c r="I49" i="29" s="1"/>
  <c r="E49" i="31" s="1"/>
  <c r="G28" i="17"/>
  <c r="F49" i="29" s="1"/>
  <c r="B49" i="31" s="1"/>
  <c r="V25" i="3"/>
  <c r="E41" i="12" s="1"/>
  <c r="K23" i="17"/>
  <c r="J48" i="29" s="1"/>
  <c r="F48" i="31" s="1"/>
  <c r="W25" i="3"/>
  <c r="F41" i="12" s="1"/>
  <c r="E16" i="30"/>
  <c r="E20" i="39" s="1"/>
  <c r="H24" i="12"/>
  <c r="J13" i="15"/>
  <c r="I22" i="29" s="1"/>
  <c r="E22" i="31" s="1"/>
  <c r="E24" i="12"/>
  <c r="G13" i="15"/>
  <c r="F22" i="29" s="1"/>
  <c r="B22" i="31" s="1"/>
  <c r="J24" i="12"/>
  <c r="L13" i="15"/>
  <c r="K22" i="29" s="1"/>
  <c r="G22" i="31" s="1"/>
  <c r="G24" i="12"/>
  <c r="I13" i="15"/>
  <c r="H22" i="29" s="1"/>
  <c r="D22" i="31" s="1"/>
  <c r="F24" i="12"/>
  <c r="H13" i="15"/>
  <c r="G22" i="29" s="1"/>
  <c r="C22" i="31" s="1"/>
  <c r="G8" i="30"/>
  <c r="G12" i="39" s="1"/>
  <c r="I59" i="12"/>
  <c r="D16" i="30"/>
  <c r="D20" i="39" s="1"/>
  <c r="F16" i="30"/>
  <c r="F20" i="39" s="1"/>
  <c r="C16" i="30"/>
  <c r="C20" i="39" s="1"/>
  <c r="G16" i="30"/>
  <c r="G20" i="39" s="1"/>
  <c r="J59" i="12"/>
  <c r="L19" i="19"/>
  <c r="K63" i="29" s="1"/>
  <c r="H15" i="17"/>
  <c r="G46" i="29" s="1"/>
  <c r="C15" i="30"/>
  <c r="C19" i="39" s="1"/>
  <c r="L15" i="17"/>
  <c r="K46" i="29" s="1"/>
  <c r="G46" i="31" s="1"/>
  <c r="G15" i="30"/>
  <c r="G19" i="39" s="1"/>
  <c r="Z6" i="3"/>
  <c r="I39" i="12" s="1"/>
  <c r="F32" i="31"/>
  <c r="G10" i="30"/>
  <c r="G14" i="39" s="1"/>
  <c r="F10" i="30"/>
  <c r="F14" i="39" s="1"/>
  <c r="H11" i="30"/>
  <c r="H15" i="39" s="1"/>
  <c r="C33" i="31"/>
  <c r="D11" i="30"/>
  <c r="D15" i="39" s="1"/>
  <c r="F33" i="31"/>
  <c r="G11" i="30"/>
  <c r="G15" i="39" s="1"/>
  <c r="E11" i="30"/>
  <c r="E15" i="39" s="1"/>
  <c r="D33" i="31"/>
  <c r="C15" i="39"/>
  <c r="F12" i="30"/>
  <c r="F16" i="39" s="1"/>
  <c r="F8" i="30"/>
  <c r="F12" i="39" s="1"/>
  <c r="D8" i="30"/>
  <c r="H8" i="30"/>
  <c r="H12" i="39" s="1"/>
  <c r="E8" i="30"/>
  <c r="E12" i="39" s="1"/>
  <c r="H20" i="29"/>
  <c r="D20" i="31" s="1"/>
  <c r="J20" i="29"/>
  <c r="F20" i="31" s="1"/>
  <c r="G22" i="12"/>
  <c r="I22" i="12"/>
  <c r="F4" i="30"/>
  <c r="D4" i="30"/>
  <c r="D8" i="39" s="1"/>
  <c r="E4" i="30"/>
  <c r="E8" i="39" s="1"/>
  <c r="G4" i="30"/>
  <c r="G8" i="39" s="1"/>
  <c r="E12" i="30"/>
  <c r="E16" i="39" s="1"/>
  <c r="C12" i="30"/>
  <c r="C16" i="39" s="1"/>
  <c r="E13" i="12"/>
  <c r="G8" i="14"/>
  <c r="F6" i="29" s="1"/>
  <c r="H12" i="30"/>
  <c r="H16" i="39" s="1"/>
  <c r="G12" i="30"/>
  <c r="G16" i="39" s="1"/>
  <c r="C36" i="31"/>
  <c r="D12" i="30"/>
  <c r="D16" i="39" s="1"/>
  <c r="J15" i="17"/>
  <c r="I46" i="29" s="1"/>
  <c r="Y6" i="3"/>
  <c r="F46" i="29"/>
  <c r="V6" i="3"/>
  <c r="E39" i="12" s="1"/>
  <c r="I15" i="17"/>
  <c r="H46" i="29" s="1"/>
  <c r="X6" i="3"/>
  <c r="G39" i="12" s="1"/>
  <c r="G47" i="37"/>
  <c r="O15" i="17" s="1"/>
  <c r="B14" i="30"/>
  <c r="B18" i="39" s="1"/>
  <c r="F22" i="12"/>
  <c r="G20" i="29"/>
  <c r="F26" i="31"/>
  <c r="C8" i="30"/>
  <c r="C12" i="39" s="1"/>
  <c r="H17" i="29"/>
  <c r="D17" i="31" s="1"/>
  <c r="J15" i="12"/>
  <c r="J17" i="29"/>
  <c r="F17" i="31" s="1"/>
  <c r="F6" i="30"/>
  <c r="F10" i="39" s="1"/>
  <c r="H5" i="30"/>
  <c r="H9" i="39" s="1"/>
  <c r="D5" i="30"/>
  <c r="D9" i="39" s="1"/>
  <c r="C5" i="30"/>
  <c r="C9" i="39" s="1"/>
  <c r="F15" i="12"/>
  <c r="G17" i="29"/>
  <c r="E5" i="30"/>
  <c r="E9" i="39" s="1"/>
  <c r="C6" i="30"/>
  <c r="B17" i="31"/>
  <c r="F5" i="30"/>
  <c r="F9" i="39" s="1"/>
  <c r="G5" i="30"/>
  <c r="G9" i="39" s="1"/>
  <c r="H6" i="30"/>
  <c r="H10" i="39" s="1"/>
  <c r="D21" i="39"/>
  <c r="I17" i="30"/>
  <c r="D22" i="39"/>
  <c r="I18" i="30"/>
  <c r="C23" i="39"/>
  <c r="I19" i="30"/>
  <c r="E25" i="31"/>
  <c r="B25" i="31"/>
  <c r="F5" i="31"/>
  <c r="D5" i="31"/>
  <c r="B5" i="31"/>
  <c r="G5" i="31"/>
  <c r="E5" i="31"/>
  <c r="C5" i="31"/>
  <c r="D71" i="31" l="1"/>
  <c r="E20" i="30"/>
  <c r="E24" i="39" s="1"/>
  <c r="C71" i="31"/>
  <c r="D20" i="30"/>
  <c r="D24" i="39" s="1"/>
  <c r="G71" i="31"/>
  <c r="H20" i="30"/>
  <c r="H24" i="39" s="1"/>
  <c r="F71" i="31"/>
  <c r="G20" i="30"/>
  <c r="G24" i="39" s="1"/>
  <c r="B71" i="31"/>
  <c r="C20" i="30"/>
  <c r="A2" i="17"/>
  <c r="V11" i="9"/>
  <c r="W11" i="9"/>
  <c r="H10" i="17" s="1"/>
  <c r="AA11" i="9"/>
  <c r="L10" i="17" s="1"/>
  <c r="Y11" i="9"/>
  <c r="J10" i="17" s="1"/>
  <c r="X11" i="9"/>
  <c r="I10" i="17" s="1"/>
  <c r="Z11" i="9"/>
  <c r="K42" i="17"/>
  <c r="J54" i="29" s="1"/>
  <c r="F54" i="31" s="1"/>
  <c r="Z13" i="9"/>
  <c r="I48" i="12" s="1"/>
  <c r="I42" i="17"/>
  <c r="H54" i="29" s="1"/>
  <c r="D54" i="31" s="1"/>
  <c r="X13" i="9"/>
  <c r="G48" i="12" s="1"/>
  <c r="V49" i="3"/>
  <c r="G33" i="17"/>
  <c r="F50" i="29" s="1"/>
  <c r="B50" i="31" s="1"/>
  <c r="I33" i="17"/>
  <c r="H50" i="29" s="1"/>
  <c r="D50" i="31" s="1"/>
  <c r="X49" i="3"/>
  <c r="H42" i="17"/>
  <c r="G54" i="29" s="1"/>
  <c r="C54" i="31" s="1"/>
  <c r="W13" i="9"/>
  <c r="F48" i="12" s="1"/>
  <c r="L42" i="17"/>
  <c r="K54" i="29" s="1"/>
  <c r="G54" i="31" s="1"/>
  <c r="AA13" i="9"/>
  <c r="J48" i="12" s="1"/>
  <c r="L33" i="17"/>
  <c r="K50" i="29" s="1"/>
  <c r="G50" i="31" s="1"/>
  <c r="AA49" i="3"/>
  <c r="Z49" i="3"/>
  <c r="K33" i="17"/>
  <c r="J50" i="29" s="1"/>
  <c r="F50" i="31" s="1"/>
  <c r="V13" i="9"/>
  <c r="E48" i="12" s="1"/>
  <c r="G42" i="17"/>
  <c r="F54" i="29" s="1"/>
  <c r="B54" i="31" s="1"/>
  <c r="J33" i="17"/>
  <c r="I50" i="29" s="1"/>
  <c r="E50" i="31" s="1"/>
  <c r="Y49" i="3"/>
  <c r="J42" i="17"/>
  <c r="I54" i="29" s="1"/>
  <c r="E54" i="31" s="1"/>
  <c r="Y13" i="9"/>
  <c r="H48" i="12" s="1"/>
  <c r="W49" i="3"/>
  <c r="H33" i="17"/>
  <c r="G50" i="29" s="1"/>
  <c r="C50" i="31" s="1"/>
  <c r="N17" i="7"/>
  <c r="AA17" i="7" s="1"/>
  <c r="N26" i="7"/>
  <c r="AA26" i="7" s="1"/>
  <c r="N19" i="7"/>
  <c r="V19" i="7" s="1"/>
  <c r="N15" i="7"/>
  <c r="AA15" i="7" s="1"/>
  <c r="N29" i="7"/>
  <c r="X29" i="7" s="1"/>
  <c r="N27" i="7"/>
  <c r="V27" i="7" s="1"/>
  <c r="F26" i="15"/>
  <c r="E29" i="29" s="1"/>
  <c r="E29" i="44" s="1"/>
  <c r="F30" i="37" s="1"/>
  <c r="N16" i="7"/>
  <c r="X16" i="7" s="1"/>
  <c r="N28" i="7"/>
  <c r="W28" i="7" s="1"/>
  <c r="N7" i="7"/>
  <c r="Z7" i="7" s="1"/>
  <c r="D12" i="39"/>
  <c r="C7" i="30"/>
  <c r="C11" i="39" s="1"/>
  <c r="F7" i="30"/>
  <c r="F11" i="39" s="1"/>
  <c r="H7" i="30"/>
  <c r="H11" i="39" s="1"/>
  <c r="Y14" i="7"/>
  <c r="Z14" i="7"/>
  <c r="AA14" i="7"/>
  <c r="W14" i="7"/>
  <c r="V14" i="7"/>
  <c r="G63" i="31"/>
  <c r="H16" i="30"/>
  <c r="I15" i="30"/>
  <c r="C46" i="31"/>
  <c r="I10" i="30"/>
  <c r="I11" i="30"/>
  <c r="E7" i="30"/>
  <c r="E11" i="39" s="1"/>
  <c r="G7" i="30"/>
  <c r="G11" i="39" s="1"/>
  <c r="B6" i="31"/>
  <c r="C4" i="30"/>
  <c r="I4" i="30" s="1"/>
  <c r="D46" i="31"/>
  <c r="B46" i="31"/>
  <c r="I12" i="30"/>
  <c r="E46" i="31"/>
  <c r="C20" i="31"/>
  <c r="D7" i="30"/>
  <c r="D11" i="39" s="1"/>
  <c r="I8" i="30"/>
  <c r="G6" i="30"/>
  <c r="G10" i="39" s="1"/>
  <c r="E6" i="30"/>
  <c r="E10" i="39" s="1"/>
  <c r="I5" i="30"/>
  <c r="C10" i="39"/>
  <c r="C17" i="31"/>
  <c r="D6" i="30"/>
  <c r="D10" i="39" s="1"/>
  <c r="F8" i="39"/>
  <c r="E73" i="29" l="1"/>
  <c r="C24" i="39"/>
  <c r="I20" i="30"/>
  <c r="G30" i="37"/>
  <c r="B9" i="30"/>
  <c r="B13" i="39" s="1"/>
  <c r="B25" i="39" s="1"/>
  <c r="K10" i="17"/>
  <c r="Z6" i="9"/>
  <c r="K7" i="17" s="1"/>
  <c r="J45" i="29" s="1"/>
  <c r="V6" i="9"/>
  <c r="G7" i="17" s="1"/>
  <c r="F45" i="29" s="1"/>
  <c r="G10" i="17"/>
  <c r="V17" i="7"/>
  <c r="Z29" i="7"/>
  <c r="C14" i="30"/>
  <c r="C18" i="39" s="1"/>
  <c r="E14" i="30"/>
  <c r="E18" i="39" s="1"/>
  <c r="W6" i="9"/>
  <c r="F14" i="30"/>
  <c r="F18" i="39" s="1"/>
  <c r="G14" i="30"/>
  <c r="G18" i="39" s="1"/>
  <c r="X6" i="9"/>
  <c r="AA6" i="9"/>
  <c r="H14" i="30"/>
  <c r="H18" i="39" s="1"/>
  <c r="Y6" i="9"/>
  <c r="D14" i="30"/>
  <c r="D18" i="39" s="1"/>
  <c r="Z17" i="7"/>
  <c r="Y17" i="7"/>
  <c r="X17" i="7"/>
  <c r="W17" i="7"/>
  <c r="X26" i="7"/>
  <c r="X27" i="7"/>
  <c r="Y26" i="7"/>
  <c r="Z26" i="7"/>
  <c r="W19" i="7"/>
  <c r="V26" i="7"/>
  <c r="W26" i="7"/>
  <c r="AA19" i="7"/>
  <c r="Z19" i="7"/>
  <c r="W29" i="7"/>
  <c r="W7" i="7"/>
  <c r="Z28" i="7"/>
  <c r="Y29" i="7"/>
  <c r="V29" i="7"/>
  <c r="AA29" i="7"/>
  <c r="X28" i="7"/>
  <c r="Z15" i="7"/>
  <c r="Y27" i="7"/>
  <c r="AA7" i="7"/>
  <c r="X7" i="7"/>
  <c r="W27" i="7"/>
  <c r="V7" i="7"/>
  <c r="Y15" i="7"/>
  <c r="W15" i="7"/>
  <c r="X15" i="7"/>
  <c r="Z27" i="7"/>
  <c r="AA27" i="7"/>
  <c r="Y19" i="7"/>
  <c r="X19" i="7"/>
  <c r="V15" i="7"/>
  <c r="Y28" i="7"/>
  <c r="V28" i="7"/>
  <c r="AA28" i="7"/>
  <c r="AA16" i="7"/>
  <c r="W16" i="7"/>
  <c r="Y16" i="7"/>
  <c r="V16" i="7"/>
  <c r="Z16" i="7"/>
  <c r="Y7" i="7"/>
  <c r="H20" i="39"/>
  <c r="I16" i="30"/>
  <c r="C8" i="39"/>
  <c r="I7" i="30"/>
  <c r="I6" i="30"/>
  <c r="G13" i="30" l="1"/>
  <c r="G17" i="39" s="1"/>
  <c r="C38" i="19"/>
  <c r="C39" i="19" s="1"/>
  <c r="E73" i="44"/>
  <c r="B21" i="30"/>
  <c r="I47" i="12"/>
  <c r="F45" i="31"/>
  <c r="E47" i="12"/>
  <c r="I14" i="30"/>
  <c r="C13" i="30"/>
  <c r="C17" i="39" s="1"/>
  <c r="B45" i="31"/>
  <c r="J47" i="12"/>
  <c r="L7" i="17"/>
  <c r="K45" i="29" s="1"/>
  <c r="J7" i="17"/>
  <c r="I45" i="29" s="1"/>
  <c r="H47" i="12"/>
  <c r="G47" i="12"/>
  <c r="I7" i="17"/>
  <c r="H45" i="29" s="1"/>
  <c r="H7" i="17"/>
  <c r="G45" i="29" s="1"/>
  <c r="F47" i="12"/>
  <c r="Z6" i="7"/>
  <c r="AL12" i="7" s="1"/>
  <c r="X6" i="7"/>
  <c r="AJ10" i="7" s="1"/>
  <c r="V6" i="7"/>
  <c r="AH10" i="7" s="1"/>
  <c r="AA6" i="7"/>
  <c r="L26" i="15" s="1"/>
  <c r="K29" i="29" s="1"/>
  <c r="H9" i="30" s="1"/>
  <c r="H13" i="39" s="1"/>
  <c r="Y6" i="7"/>
  <c r="AK24" i="7" s="1"/>
  <c r="W6" i="7"/>
  <c r="AI25" i="7" s="1"/>
  <c r="G26" i="15"/>
  <c r="F29" i="29" s="1"/>
  <c r="C9" i="30" s="1"/>
  <c r="K73" i="29" l="1"/>
  <c r="F73" i="29"/>
  <c r="AL10" i="7"/>
  <c r="AH24" i="7"/>
  <c r="E13" i="30"/>
  <c r="E17" i="39" s="1"/>
  <c r="D45" i="31"/>
  <c r="C45" i="31"/>
  <c r="D13" i="30"/>
  <c r="C42" i="19" s="1"/>
  <c r="E45" i="31"/>
  <c r="F13" i="30"/>
  <c r="F17" i="39" s="1"/>
  <c r="G45" i="31"/>
  <c r="H13" i="30"/>
  <c r="H17" i="39" s="1"/>
  <c r="H25" i="39" s="1"/>
  <c r="AM24" i="7"/>
  <c r="AL11" i="7"/>
  <c r="G29" i="31"/>
  <c r="AM9" i="7"/>
  <c r="AM12" i="7"/>
  <c r="AJ21" i="7"/>
  <c r="AJ12" i="7"/>
  <c r="AL9" i="7"/>
  <c r="AL23" i="7"/>
  <c r="AM10" i="7"/>
  <c r="AL21" i="7"/>
  <c r="AL22" i="7"/>
  <c r="I26" i="15"/>
  <c r="H29" i="29" s="1"/>
  <c r="D29" i="31" s="1"/>
  <c r="AM13" i="7"/>
  <c r="AM25" i="7"/>
  <c r="AJ13" i="7"/>
  <c r="AM21" i="7"/>
  <c r="AM22" i="7"/>
  <c r="AI13" i="7"/>
  <c r="AJ22" i="7"/>
  <c r="AJ23" i="7"/>
  <c r="G30" i="12"/>
  <c r="G71" i="12" s="1"/>
  <c r="F30" i="12"/>
  <c r="F71" i="12" s="1"/>
  <c r="AL24" i="7"/>
  <c r="AL13" i="7"/>
  <c r="K26" i="15"/>
  <c r="J29" i="29" s="1"/>
  <c r="AJ25" i="7"/>
  <c r="AJ24" i="7"/>
  <c r="AK22" i="7"/>
  <c r="I30" i="12"/>
  <c r="I71" i="12" s="1"/>
  <c r="AM11" i="7"/>
  <c r="AM23" i="7"/>
  <c r="J30" i="12"/>
  <c r="J71" i="12" s="1"/>
  <c r="AL25" i="7"/>
  <c r="AJ9" i="7"/>
  <c r="AJ11" i="7"/>
  <c r="AI23" i="7"/>
  <c r="AH11" i="7"/>
  <c r="H30" i="12"/>
  <c r="H71" i="12" s="1"/>
  <c r="AH9" i="7"/>
  <c r="AH13" i="7"/>
  <c r="AH23" i="7"/>
  <c r="E30" i="12"/>
  <c r="E71" i="12" s="1"/>
  <c r="AK13" i="7"/>
  <c r="AH21" i="7"/>
  <c r="AH22" i="7"/>
  <c r="AH12" i="7"/>
  <c r="AK23" i="7"/>
  <c r="AH25" i="7"/>
  <c r="AI22" i="7"/>
  <c r="AI12" i="7"/>
  <c r="H26" i="15"/>
  <c r="G29" i="29" s="1"/>
  <c r="C29" i="31" s="1"/>
  <c r="AK9" i="7"/>
  <c r="AK10" i="7"/>
  <c r="AI21" i="7"/>
  <c r="AI11" i="7"/>
  <c r="AI24" i="7"/>
  <c r="AK11" i="7"/>
  <c r="AK12" i="7"/>
  <c r="AI9" i="7"/>
  <c r="AI10" i="7"/>
  <c r="J26" i="15"/>
  <c r="I29" i="29" s="1"/>
  <c r="E29" i="31" s="1"/>
  <c r="AK21" i="7"/>
  <c r="AK25" i="7"/>
  <c r="B29" i="31"/>
  <c r="C13" i="39"/>
  <c r="C25" i="39" s="1"/>
  <c r="C21" i="30"/>
  <c r="H73" i="29" l="1"/>
  <c r="D73" i="31" s="1"/>
  <c r="I73" i="29"/>
  <c r="G9" i="30"/>
  <c r="G21" i="30" s="1"/>
  <c r="J73" i="29"/>
  <c r="G73" i="29"/>
  <c r="C43" i="19"/>
  <c r="D17" i="39"/>
  <c r="I13" i="30"/>
  <c r="H21" i="30"/>
  <c r="G13" i="39"/>
  <c r="G25" i="39" s="1"/>
  <c r="AL6" i="7"/>
  <c r="AJ6" i="7"/>
  <c r="F9" i="30"/>
  <c r="F13" i="39" s="1"/>
  <c r="F25" i="39" s="1"/>
  <c r="E9" i="30"/>
  <c r="E13" i="39" s="1"/>
  <c r="E25" i="39" s="1"/>
  <c r="F29" i="31"/>
  <c r="AM6" i="7"/>
  <c r="G73" i="31" s="1"/>
  <c r="AH6" i="7"/>
  <c r="B73" i="31" s="1"/>
  <c r="D9" i="30"/>
  <c r="D13" i="39" s="1"/>
  <c r="D25" i="39" s="1"/>
  <c r="AI6" i="7"/>
  <c r="AK6" i="7"/>
  <c r="E73" i="31" l="1"/>
  <c r="F73" i="31"/>
  <c r="C73" i="31"/>
  <c r="D21" i="30"/>
  <c r="I9" i="30"/>
  <c r="I21" i="30" s="1"/>
  <c r="J10" i="30" s="1"/>
  <c r="F21" i="30"/>
  <c r="E21" i="30"/>
  <c r="J7" i="30" l="1"/>
  <c r="J14" i="30"/>
  <c r="J6" i="30"/>
  <c r="J18" i="30"/>
  <c r="J11" i="30"/>
  <c r="J19" i="30"/>
  <c r="J20" i="30"/>
  <c r="J15" i="30"/>
  <c r="J4" i="30"/>
  <c r="J5" i="30"/>
  <c r="J9" i="30"/>
  <c r="J8" i="30"/>
  <c r="J17" i="30"/>
  <c r="J13" i="30"/>
  <c r="J12" i="30"/>
  <c r="J16" i="30"/>
  <c r="J21" i="30"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Jakob Maag</author>
  </authors>
  <commentList>
    <comment ref="C5" authorId="0" shapeId="0" xr:uid="{00000000-0006-0000-0200-000001000000}">
      <text>
        <r>
          <rPr>
            <b/>
            <sz val="8"/>
            <color rgb="FF000000"/>
            <rFont val="Tahoma"/>
            <family val="2"/>
          </rPr>
          <t>Jakob Maag:</t>
        </r>
        <r>
          <rPr>
            <sz val="8"/>
            <color rgb="FF000000"/>
            <rFont val="Tahoma"/>
            <family val="2"/>
          </rPr>
          <t xml:space="preserve">
</t>
        </r>
        <r>
          <rPr>
            <sz val="8"/>
            <color rgb="FF000000"/>
            <rFont val="Tahoma"/>
            <family val="2"/>
          </rPr>
          <t>Changed Jan 2013</t>
        </r>
      </text>
    </comment>
    <comment ref="C8" authorId="0" shapeId="0" xr:uid="{00000000-0006-0000-0200-000002000000}">
      <text>
        <r>
          <rPr>
            <b/>
            <sz val="9"/>
            <color rgb="FF000000"/>
            <rFont val="Tahoma"/>
            <family val="2"/>
          </rPr>
          <t>Jakob Maag:</t>
        </r>
        <r>
          <rPr>
            <sz val="9"/>
            <color rgb="FF000000"/>
            <rFont val="Tahoma"/>
            <family val="2"/>
          </rPr>
          <t xml:space="preserve">
</t>
        </r>
        <r>
          <rPr>
            <sz val="9"/>
            <color rgb="FF000000"/>
            <rFont val="Tahoma"/>
            <family val="2"/>
          </rPr>
          <t>Affects only output distribution factors, as input factors are identical</t>
        </r>
      </text>
    </comment>
    <comment ref="P10" authorId="0" shapeId="0" xr:uid="{00000000-0006-0000-0200-000003000000}">
      <text>
        <r>
          <rPr>
            <b/>
            <sz val="9"/>
            <color rgb="FF000000"/>
            <rFont val="Tahoma"/>
            <family val="2"/>
          </rPr>
          <t>Jakob Maag:</t>
        </r>
        <r>
          <rPr>
            <sz val="9"/>
            <color rgb="FF000000"/>
            <rFont val="Tahoma"/>
            <family val="2"/>
          </rPr>
          <t xml:space="preserve">
</t>
        </r>
        <r>
          <rPr>
            <sz val="9"/>
            <color rgb="FF000000"/>
            <rFont val="Tahoma"/>
            <family val="2"/>
          </rPr>
          <t xml:space="preserve">Calculated for coal mix from IL2 factors 25JAN2016.
</t>
        </r>
        <r>
          <rPr>
            <sz val="9"/>
            <color rgb="FF000000"/>
            <rFont val="Tahoma"/>
            <family val="2"/>
          </rPr>
          <t xml:space="preserve">
</t>
        </r>
        <r>
          <rPr>
            <sz val="9"/>
            <color rgb="FF000000"/>
            <rFont val="Tahoma"/>
            <family val="2"/>
          </rPr>
          <t>ADDED HERE FOR INTRODUCTION OF Hg CONTROLS IN IL1</t>
        </r>
      </text>
    </comment>
    <comment ref="C16" authorId="0" shapeId="0" xr:uid="{00000000-0006-0000-0200-000004000000}">
      <text>
        <r>
          <rPr>
            <b/>
            <sz val="9"/>
            <color rgb="FF000000"/>
            <rFont val="Tahoma"/>
            <family val="2"/>
          </rPr>
          <t>Jakob Maag:</t>
        </r>
        <r>
          <rPr>
            <sz val="9"/>
            <color rgb="FF000000"/>
            <rFont val="Tahoma"/>
            <family val="2"/>
          </rPr>
          <t xml:space="preserve">
</t>
        </r>
        <r>
          <rPr>
            <sz val="9"/>
            <color rgb="FF000000"/>
            <rFont val="Tahoma"/>
            <family val="2"/>
          </rPr>
          <t>Introduced 25JAN2016 as per Minamata Convention source categories</t>
        </r>
      </text>
    </comment>
    <comment ref="P20" authorId="0" shapeId="0" xr:uid="{00000000-0006-0000-0200-000005000000}">
      <text>
        <r>
          <rPr>
            <b/>
            <sz val="9"/>
            <color rgb="FF000000"/>
            <rFont val="Tahoma"/>
            <family val="2"/>
          </rPr>
          <t>Jakob Maag:</t>
        </r>
        <r>
          <rPr>
            <sz val="9"/>
            <color rgb="FF000000"/>
            <rFont val="Tahoma"/>
            <family val="2"/>
          </rPr>
          <t xml:space="preserve">
</t>
        </r>
        <r>
          <rPr>
            <sz val="9"/>
            <color rgb="FF000000"/>
            <rFont val="Tahoma"/>
            <family val="2"/>
          </rPr>
          <t xml:space="preserve">Calculated for coal mix from IL2 factors 25JAN2016.
</t>
        </r>
        <r>
          <rPr>
            <sz val="9"/>
            <color rgb="FF000000"/>
            <rFont val="Tahoma"/>
            <family val="2"/>
          </rPr>
          <t xml:space="preserve">
</t>
        </r>
        <r>
          <rPr>
            <sz val="9"/>
            <color rgb="FF000000"/>
            <rFont val="Tahoma"/>
            <family val="2"/>
          </rPr>
          <t>ADDED HERE FOR INTRODUCTION OF Hg CONTROLS IN IL1</t>
        </r>
      </text>
    </comment>
    <comment ref="C26" authorId="0" shapeId="0" xr:uid="{00000000-0006-0000-0200-000006000000}">
      <text>
        <r>
          <rPr>
            <b/>
            <sz val="8"/>
            <color rgb="FF000000"/>
            <rFont val="Tahoma"/>
            <family val="2"/>
          </rPr>
          <t>Jakob Maag:</t>
        </r>
        <r>
          <rPr>
            <sz val="8"/>
            <color rgb="FF000000"/>
            <rFont val="Tahoma"/>
            <family val="2"/>
          </rPr>
          <t xml:space="preserve">
</t>
        </r>
        <r>
          <rPr>
            <sz val="8"/>
            <color rgb="FF000000"/>
            <rFont val="Tahoma"/>
            <family val="2"/>
          </rPr>
          <t>Changed Jan 2013</t>
        </r>
      </text>
    </comment>
    <comment ref="C34" authorId="0" shapeId="0" xr:uid="{00000000-0006-0000-0200-000007000000}">
      <text>
        <r>
          <rPr>
            <b/>
            <sz val="8"/>
            <color rgb="FF000000"/>
            <rFont val="Tahoma"/>
            <family val="2"/>
          </rPr>
          <t>Jakob Maag:</t>
        </r>
        <r>
          <rPr>
            <sz val="8"/>
            <color rgb="FF000000"/>
            <rFont val="Tahoma"/>
            <family val="2"/>
          </rPr>
          <t xml:space="preserve">
</t>
        </r>
        <r>
          <rPr>
            <sz val="8"/>
            <color rgb="FF000000"/>
            <rFont val="Tahoma"/>
            <family val="2"/>
          </rPr>
          <t>Input factors for crude oil changed  + waste output moved to  sectors spec. waste;  changed Jan 2013</t>
        </r>
      </text>
    </comment>
    <comment ref="G38" authorId="0" shapeId="0" xr:uid="{299DC883-7039-3C40-8C01-C78B36AE76C5}">
      <text>
        <r>
          <rPr>
            <b/>
            <sz val="9"/>
            <color indexed="81"/>
            <rFont val="Tahoma"/>
            <family val="2"/>
          </rPr>
          <t>Jakob Maag:</t>
        </r>
        <r>
          <rPr>
            <sz val="9"/>
            <color indexed="81"/>
            <rFont val="Tahoma"/>
            <family val="2"/>
          </rPr>
          <t xml:space="preserve">
Factor corrected from 55 Sep2019</t>
        </r>
      </text>
    </comment>
    <comment ref="C40" authorId="0" shapeId="0" xr:uid="{00000000-0006-0000-0200-000008000000}">
      <text>
        <r>
          <rPr>
            <b/>
            <sz val="9"/>
            <color rgb="FF000000"/>
            <rFont val="Tahoma"/>
            <family val="2"/>
          </rPr>
          <t>Jakob Maag:</t>
        </r>
        <r>
          <rPr>
            <sz val="9"/>
            <color rgb="FF000000"/>
            <rFont val="Tahoma"/>
            <family val="2"/>
          </rPr>
          <t xml:space="preserve">
</t>
        </r>
        <r>
          <rPr>
            <sz val="9"/>
            <color rgb="FF000000"/>
            <rFont val="Tahoma"/>
            <family val="2"/>
          </rPr>
          <t>Explanation here removed 25JAN2016, as all output scenarios are now present</t>
        </r>
      </text>
    </comment>
    <comment ref="M41" authorId="0" shapeId="0" xr:uid="{00000000-0006-0000-0200-000009000000}">
      <text>
        <r>
          <rPr>
            <b/>
            <sz val="9"/>
            <color rgb="FF000000"/>
            <rFont val="Tahoma"/>
            <family val="2"/>
          </rPr>
          <t>Jakob Maag:</t>
        </r>
        <r>
          <rPr>
            <sz val="9"/>
            <color rgb="FF000000"/>
            <rFont val="Tahoma"/>
            <family val="2"/>
          </rPr>
          <t xml:space="preserve">
</t>
        </r>
        <r>
          <rPr>
            <sz val="9"/>
            <color rgb="FF000000"/>
            <rFont val="Tahoma"/>
            <family val="2"/>
          </rPr>
          <t>Added in IL1 25JAN2016</t>
        </r>
      </text>
    </comment>
    <comment ref="G43" authorId="0" shapeId="0" xr:uid="{A064C5D3-2F10-E04A-8698-AC6DBFCDFE80}">
      <text>
        <r>
          <rPr>
            <b/>
            <sz val="9"/>
            <color indexed="81"/>
            <rFont val="Tahoma"/>
            <family val="2"/>
          </rPr>
          <t>Jakob Maag:</t>
        </r>
        <r>
          <rPr>
            <sz val="9"/>
            <color indexed="81"/>
            <rFont val="Tahoma"/>
            <family val="2"/>
          </rPr>
          <t xml:space="preserve">
Factor corrected from 5.5 Sep2019</t>
        </r>
      </text>
    </comment>
    <comment ref="M47" authorId="0" shapeId="0" xr:uid="{00000000-0006-0000-0200-00000A000000}">
      <text>
        <r>
          <rPr>
            <b/>
            <sz val="9"/>
            <color rgb="FF000000"/>
            <rFont val="Tahoma"/>
            <family val="2"/>
          </rPr>
          <t>Jakob Maag:</t>
        </r>
        <r>
          <rPr>
            <sz val="9"/>
            <color rgb="FF000000"/>
            <rFont val="Tahoma"/>
            <family val="2"/>
          </rPr>
          <t xml:space="preserve">
</t>
        </r>
        <r>
          <rPr>
            <sz val="9"/>
            <color rgb="FF000000"/>
            <rFont val="Tahoma"/>
            <family val="2"/>
          </rPr>
          <t>Added in IL1 25JAN2016</t>
        </r>
      </text>
    </comment>
    <comment ref="C49" authorId="0" shapeId="0" xr:uid="{00000000-0006-0000-0200-00000B000000}">
      <text>
        <r>
          <rPr>
            <b/>
            <sz val="8"/>
            <color rgb="FF000000"/>
            <rFont val="Tahoma"/>
            <family val="2"/>
          </rPr>
          <t>Jakob Maag:</t>
        </r>
        <r>
          <rPr>
            <sz val="8"/>
            <color rgb="FF000000"/>
            <rFont val="Tahoma"/>
            <family val="2"/>
          </rPr>
          <t xml:space="preserve">
</t>
        </r>
        <r>
          <rPr>
            <sz val="8"/>
            <color rgb="FF000000"/>
            <rFont val="Tahoma"/>
            <family val="2"/>
          </rPr>
          <t>output shifted from general waste to sector specific waste - changed Jan 2013</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Jakob Maag</author>
  </authors>
  <commentList>
    <comment ref="C3" authorId="0" shapeId="0" xr:uid="{00000000-0006-0000-1300-000001000000}">
      <text>
        <r>
          <rPr>
            <b/>
            <sz val="8"/>
            <color indexed="81"/>
            <rFont val="Tahoma"/>
            <family val="2"/>
          </rPr>
          <t>Jakob Maag:</t>
        </r>
        <r>
          <rPr>
            <sz val="8"/>
            <color indexed="81"/>
            <rFont val="Tahoma"/>
            <family val="2"/>
          </rPr>
          <t xml:space="preserve">
If general factor adjustments are needed, adjust this one first, as all black factors link t this cell</t>
        </r>
      </text>
    </comment>
    <comment ref="C4" authorId="0" shapeId="0" xr:uid="{00000000-0006-0000-1300-000002000000}">
      <text>
        <r>
          <rPr>
            <b/>
            <sz val="8"/>
            <color indexed="81"/>
            <rFont val="Tahoma"/>
            <family val="2"/>
          </rPr>
          <t>Jakob Maag:</t>
        </r>
        <r>
          <rPr>
            <sz val="8"/>
            <color indexed="81"/>
            <rFont val="Tahoma"/>
            <family val="2"/>
          </rPr>
          <t xml:space="preserve">
In cases where experience data do not reflect expected maximum vaues</t>
        </r>
      </text>
    </comment>
    <comment ref="F4" authorId="0" shapeId="0" xr:uid="{00000000-0006-0000-1300-000003000000}">
      <text>
        <r>
          <rPr>
            <b/>
            <sz val="9"/>
            <color indexed="81"/>
            <rFont val="Tahoma"/>
            <family val="2"/>
          </rPr>
          <t>Jakob Maag:</t>
        </r>
        <r>
          <rPr>
            <sz val="9"/>
            <color indexed="81"/>
            <rFont val="Tahoma"/>
            <family val="2"/>
          </rPr>
          <t xml:space="preserve">
Note that any data entered in "Insert IL2 result" also affect this mechanism.</t>
        </r>
      </text>
    </comment>
    <comment ref="A7" authorId="0" shapeId="0" xr:uid="{00000000-0006-0000-1300-000004000000}">
      <text>
        <r>
          <rPr>
            <b/>
            <sz val="9"/>
            <color indexed="81"/>
            <rFont val="Tahoma"/>
            <family val="2"/>
          </rPr>
          <t>Jakob Maag:</t>
        </r>
        <r>
          <rPr>
            <sz val="9"/>
            <color indexed="81"/>
            <rFont val="Tahoma"/>
            <family val="2"/>
          </rPr>
          <t xml:space="preserve">
At 27jan2016, when we introduce industrial boilers as individual source sub-category, we have no experience data, and therefore no range test. ADD LATER IF POSSIBLE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Jakob Maag</author>
  </authors>
  <commentList>
    <comment ref="N6" authorId="0" shapeId="0" xr:uid="{00000000-0006-0000-0400-000001000000}">
      <text>
        <r>
          <rPr>
            <b/>
            <sz val="9"/>
            <color indexed="81"/>
            <rFont val="Tahoma"/>
            <family val="2"/>
          </rPr>
          <t>Jakob Maag:</t>
        </r>
        <r>
          <rPr>
            <sz val="9"/>
            <color indexed="81"/>
            <rFont val="Tahoma"/>
            <family val="2"/>
          </rPr>
          <t xml:space="preserve">
Calculation changed here 24Apr15</t>
        </r>
      </text>
    </comment>
    <comment ref="P6" authorId="0" shapeId="0" xr:uid="{00000000-0006-0000-0400-000002000000}">
      <text>
        <r>
          <rPr>
            <b/>
            <sz val="9"/>
            <color indexed="81"/>
            <rFont val="Tahoma"/>
            <family val="2"/>
          </rPr>
          <t>Jakob Maag:</t>
        </r>
        <r>
          <rPr>
            <sz val="9"/>
            <color indexed="81"/>
            <rFont val="Tahoma"/>
            <family val="2"/>
          </rPr>
          <t xml:space="preserve">
Factors changed Oct 2014 to basis share of releases</t>
        </r>
      </text>
    </comment>
    <comment ref="C8" authorId="0" shapeId="0" xr:uid="{00000000-0006-0000-0400-000003000000}">
      <text>
        <r>
          <rPr>
            <b/>
            <sz val="8"/>
            <color indexed="81"/>
            <rFont val="Tahoma"/>
            <family val="2"/>
          </rPr>
          <t>Jakob Maag:</t>
        </r>
        <r>
          <rPr>
            <sz val="8"/>
            <color indexed="81"/>
            <rFont val="Tahoma"/>
            <family val="2"/>
          </rPr>
          <t xml:space="preserve">
changed jan 2013</t>
        </r>
      </text>
    </comment>
    <comment ref="G9" authorId="0" shapeId="0" xr:uid="{00000000-0006-0000-0400-000004000000}">
      <text>
        <r>
          <rPr>
            <b/>
            <sz val="9"/>
            <color indexed="81"/>
            <rFont val="Tahoma"/>
            <family val="2"/>
          </rPr>
          <t>Jakob Maag: Dec 2016</t>
        </r>
        <r>
          <rPr>
            <sz val="9"/>
            <color indexed="81"/>
            <rFont val="Tahoma"/>
            <family val="2"/>
          </rPr>
          <t xml:space="preserve">
FACTOR RAISED AS IN GMA/AGC guideline
</t>
        </r>
      </text>
    </comment>
    <comment ref="G10" authorId="0" shapeId="0" xr:uid="{00000000-0006-0000-0400-000005000000}">
      <text>
        <r>
          <rPr>
            <b/>
            <sz val="9"/>
            <color indexed="81"/>
            <rFont val="Tahoma"/>
            <family val="2"/>
          </rPr>
          <t>Jakob Maag:</t>
        </r>
        <r>
          <rPr>
            <sz val="9"/>
            <color indexed="81"/>
            <rFont val="Tahoma"/>
            <family val="2"/>
          </rPr>
          <t xml:space="preserve">
Added Dec 2016</t>
        </r>
      </text>
    </comment>
    <comment ref="P10" authorId="0" shapeId="0" xr:uid="{00000000-0006-0000-0400-000006000000}">
      <text>
        <r>
          <rPr>
            <b/>
            <sz val="9"/>
            <color indexed="81"/>
            <rFont val="Tahoma"/>
            <family val="2"/>
          </rPr>
          <t>Jakob Maag: DEC 2016</t>
        </r>
        <r>
          <rPr>
            <sz val="9"/>
            <color indexed="81"/>
            <rFont val="Tahoma"/>
            <family val="2"/>
          </rPr>
          <t xml:space="preserve">
All output factors revised based on AGC data and advice</t>
        </r>
      </text>
    </comment>
    <comment ref="G12" authorId="0" shapeId="0" xr:uid="{00000000-0006-0000-0400-000007000000}">
      <text>
        <r>
          <rPr>
            <b/>
            <sz val="9"/>
            <color indexed="81"/>
            <rFont val="Tahoma"/>
            <family val="2"/>
          </rPr>
          <t>Jakob Maag:</t>
        </r>
        <r>
          <rPr>
            <sz val="9"/>
            <color indexed="81"/>
            <rFont val="Tahoma"/>
            <family val="2"/>
          </rPr>
          <t xml:space="preserve">
Revised Dec 2016</t>
        </r>
      </text>
    </comment>
    <comment ref="C14" authorId="0" shapeId="0" xr:uid="{00000000-0006-0000-0400-000008000000}">
      <text>
        <r>
          <rPr>
            <b/>
            <sz val="8"/>
            <color indexed="81"/>
            <rFont val="Tahoma"/>
            <family val="2"/>
          </rPr>
          <t>Jakob Maag:</t>
        </r>
        <r>
          <rPr>
            <sz val="8"/>
            <color indexed="81"/>
            <rFont val="Tahoma"/>
            <family val="2"/>
          </rPr>
          <t xml:space="preserve">
Input and output changed jan 2013</t>
        </r>
      </text>
    </comment>
    <comment ref="C21" authorId="0" shapeId="0" xr:uid="{00000000-0006-0000-0400-000009000000}">
      <text>
        <r>
          <rPr>
            <b/>
            <sz val="8"/>
            <color indexed="81"/>
            <rFont val="Tahoma"/>
            <family val="2"/>
          </rPr>
          <t>Jakob Maag:</t>
        </r>
        <r>
          <rPr>
            <sz val="8"/>
            <color indexed="81"/>
            <rFont val="Tahoma"/>
            <family val="2"/>
          </rPr>
          <t xml:space="preserve">
Input and output changed jan 2013</t>
        </r>
      </text>
    </comment>
    <comment ref="C28" authorId="0" shapeId="0" xr:uid="{00000000-0006-0000-0400-00000A000000}">
      <text>
        <r>
          <rPr>
            <b/>
            <sz val="8"/>
            <color indexed="81"/>
            <rFont val="Tahoma"/>
            <family val="2"/>
          </rPr>
          <t>Jakob Maag:</t>
        </r>
        <r>
          <rPr>
            <sz val="8"/>
            <color indexed="81"/>
            <rFont val="Tahoma"/>
            <family val="2"/>
          </rPr>
          <t xml:space="preserve">
Input and output changed jan 2013</t>
        </r>
      </text>
    </comment>
    <comment ref="F35" authorId="0" shapeId="0" xr:uid="{00000000-0006-0000-0400-00000B000000}">
      <text>
        <r>
          <rPr>
            <b/>
            <sz val="8"/>
            <color indexed="81"/>
            <rFont val="Tahoma"/>
            <family val="2"/>
          </rPr>
          <t>Jakob Maag:</t>
        </r>
        <r>
          <rPr>
            <sz val="8"/>
            <color indexed="81"/>
            <rFont val="Tahoma"/>
            <family val="2"/>
          </rPr>
          <t xml:space="preserve">
changed jan 2013</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Jakob Maag</author>
  </authors>
  <commentList>
    <comment ref="AC3" authorId="0" shapeId="0" xr:uid="{00000000-0006-0000-0500-000001000000}">
      <text>
        <r>
          <rPr>
            <b/>
            <sz val="9"/>
            <color indexed="81"/>
            <rFont val="Tahoma"/>
            <family val="2"/>
          </rPr>
          <t>Jakob Maag: 24oct2016</t>
        </r>
        <r>
          <rPr>
            <sz val="9"/>
            <color indexed="81"/>
            <rFont val="Tahoma"/>
            <family val="2"/>
          </rPr>
          <t xml:space="preserve">
Introduced to allow subtraction of fuel contributions for cement production in fossil fuel sub-categories</t>
        </r>
      </text>
    </comment>
    <comment ref="C6" authorId="0" shapeId="0" xr:uid="{00000000-0006-0000-0500-000002000000}">
      <text>
        <r>
          <rPr>
            <b/>
            <sz val="8"/>
            <color indexed="81"/>
            <rFont val="Tahoma"/>
            <family val="2"/>
          </rPr>
          <t>Jakob Maag:</t>
        </r>
        <r>
          <rPr>
            <sz val="8"/>
            <color indexed="81"/>
            <rFont val="Tahoma"/>
            <family val="2"/>
          </rPr>
          <t xml:space="preserve">
Changed Jan. 2013</t>
        </r>
      </text>
    </comment>
    <comment ref="C7" authorId="0" shapeId="0" xr:uid="{00000000-0006-0000-0500-000003000000}">
      <text>
        <r>
          <rPr>
            <b/>
            <sz val="9"/>
            <color indexed="81"/>
            <rFont val="Tahoma"/>
            <family val="2"/>
          </rPr>
          <t>Jakob Maag:</t>
        </r>
        <r>
          <rPr>
            <sz val="9"/>
            <color indexed="81"/>
            <rFont val="Tahoma"/>
            <family val="2"/>
          </rPr>
          <t xml:space="preserve">
IL1: Examples show that waste/no waste has significant influence on results, so they are reflected in output scenarios</t>
        </r>
      </text>
    </comment>
    <comment ref="L7" authorId="0" shapeId="0" xr:uid="{00000000-0006-0000-0500-000004000000}">
      <text>
        <r>
          <rPr>
            <b/>
            <sz val="9"/>
            <color indexed="81"/>
            <rFont val="Tahoma"/>
            <family val="2"/>
          </rPr>
          <t>Jakob Maag:</t>
        </r>
        <r>
          <rPr>
            <sz val="9"/>
            <color indexed="81"/>
            <rFont val="Tahoma"/>
            <family val="2"/>
          </rPr>
          <t xml:space="preserve">
Added 15JAN2016</t>
        </r>
      </text>
    </comment>
    <comment ref="C8" authorId="0" shapeId="0" xr:uid="{00000000-0006-0000-0500-000005000000}">
      <text>
        <r>
          <rPr>
            <b/>
            <sz val="9"/>
            <color indexed="81"/>
            <rFont val="Tahoma"/>
            <family val="2"/>
          </rPr>
          <t>Jakob Maag:</t>
        </r>
        <r>
          <rPr>
            <sz val="9"/>
            <color indexed="81"/>
            <rFont val="Tahoma"/>
            <family val="2"/>
          </rPr>
          <t xml:space="preserve">
Fossil fules added 15JAN2016 due to Minamata Convention source definition - fossil fuel mix has moderate influence on total mercury input (0-13%)</t>
        </r>
      </text>
    </comment>
    <comment ref="AH8" authorId="0" shapeId="0" xr:uid="{00000000-0006-0000-0500-000006000000}">
      <text>
        <r>
          <rPr>
            <b/>
            <sz val="9"/>
            <color indexed="81"/>
            <rFont val="Tahoma"/>
            <family val="2"/>
          </rPr>
          <t>Jakob Maag:
24 oct2016</t>
        </r>
        <r>
          <rPr>
            <sz val="9"/>
            <color indexed="81"/>
            <rFont val="Tahoma"/>
            <family val="2"/>
          </rPr>
          <t xml:space="preserve">
Below, outputs are calculated via overall resulting distribution of Hg inputs from fuels. This is okay as it will only be subtracted in totals in summary sheets</t>
        </r>
      </text>
    </comment>
    <comment ref="I9" authorId="0" shapeId="0" xr:uid="{00000000-0006-0000-0500-000007000000}">
      <text>
        <r>
          <rPr>
            <b/>
            <sz val="9"/>
            <color indexed="81"/>
            <rFont val="Tahoma"/>
            <family val="2"/>
          </rPr>
          <t>Jakob Maag:</t>
        </r>
        <r>
          <rPr>
            <sz val="9"/>
            <color indexed="81"/>
            <rFont val="Tahoma"/>
            <family val="2"/>
          </rPr>
          <t xml:space="preserve">
In IL1, a mixed fuel input is assumed. This has only moderate influence on the results</t>
        </r>
      </text>
    </comment>
    <comment ref="J9" authorId="0" shapeId="0" xr:uid="{00000000-0006-0000-0500-000008000000}">
      <text>
        <r>
          <rPr>
            <b/>
            <sz val="9"/>
            <color indexed="81"/>
            <rFont val="Tahoma"/>
            <family val="2"/>
          </rPr>
          <t>Jakob Maag:</t>
        </r>
        <r>
          <rPr>
            <sz val="9"/>
            <color indexed="81"/>
            <rFont val="Tahoma"/>
            <family val="2"/>
          </rPr>
          <t xml:space="preserve">
changed 15JAN2016 due to fuel introduction</t>
        </r>
      </text>
    </comment>
    <comment ref="M13" authorId="0" shapeId="0" xr:uid="{00000000-0006-0000-0500-000009000000}">
      <text>
        <r>
          <rPr>
            <b/>
            <sz val="9"/>
            <color indexed="81"/>
            <rFont val="Tahoma"/>
            <family val="2"/>
          </rPr>
          <t>Jakob Maag:</t>
        </r>
        <r>
          <rPr>
            <sz val="9"/>
            <color indexed="81"/>
            <rFont val="Tahoma"/>
            <family val="2"/>
          </rPr>
          <t xml:space="preserve">
To make IL1.5 work, the simplifying assumption was made, that all cement kilns with filters have dust recycling, which seems a reasonable general assumtpion based on literature.
Working without this assumtion gave to many combinations to manage in the IL1.5 calculation setup.</t>
        </r>
      </text>
    </comment>
    <comment ref="L19" authorId="0" shapeId="0" xr:uid="{00000000-0006-0000-0500-00000A000000}">
      <text>
        <r>
          <rPr>
            <b/>
            <sz val="9"/>
            <color indexed="81"/>
            <rFont val="Tahoma"/>
            <family val="2"/>
          </rPr>
          <t>Jakob Maag:</t>
        </r>
        <r>
          <rPr>
            <sz val="9"/>
            <color indexed="81"/>
            <rFont val="Tahoma"/>
            <family val="2"/>
          </rPr>
          <t xml:space="preserve">
Added 15JAN2016</t>
        </r>
      </text>
    </comment>
    <comment ref="C20" authorId="0" shapeId="0" xr:uid="{00000000-0006-0000-0500-00000B000000}">
      <text>
        <r>
          <rPr>
            <b/>
            <sz val="9"/>
            <color indexed="81"/>
            <rFont val="Tahoma"/>
            <family val="2"/>
          </rPr>
          <t>Jakob Maag:</t>
        </r>
        <r>
          <rPr>
            <sz val="9"/>
            <color indexed="81"/>
            <rFont val="Tahoma"/>
            <family val="2"/>
          </rPr>
          <t xml:space="preserve">
Fossil fules added 15JAN2016 due to Minamata Convention source definition </t>
        </r>
      </text>
    </comment>
    <comment ref="G21" authorId="0" shapeId="0" xr:uid="{00000000-0006-0000-0500-00000C000000}">
      <text>
        <r>
          <rPr>
            <b/>
            <sz val="9"/>
            <color indexed="81"/>
            <rFont val="Tahoma"/>
            <family val="2"/>
          </rPr>
          <t>Jakob Maag:</t>
        </r>
        <r>
          <rPr>
            <sz val="9"/>
            <color indexed="81"/>
            <rFont val="Tahoma"/>
            <family val="2"/>
          </rPr>
          <t xml:space="preserve">
Note that these factors are different due to subtraction of waste fuel contribution of 12% primary energy on average for such facilities (an assumtion; see detailed 2016 calculations on this issue)</t>
        </r>
      </text>
    </comment>
    <comment ref="J21" authorId="0" shapeId="0" xr:uid="{00000000-0006-0000-0500-00000D000000}">
      <text>
        <r>
          <rPr>
            <b/>
            <sz val="9"/>
            <color indexed="81"/>
            <rFont val="Tahoma"/>
            <family val="2"/>
          </rPr>
          <t>Jakob Maag:</t>
        </r>
        <r>
          <rPr>
            <sz val="9"/>
            <color indexed="81"/>
            <rFont val="Tahoma"/>
            <family val="2"/>
          </rPr>
          <t xml:space="preserve">
changed 15JAN2016 due to fuel introduction</t>
        </r>
      </text>
    </comment>
    <comment ref="I22" authorId="0" shapeId="0" xr:uid="{00000000-0006-0000-0500-00000E000000}">
      <text>
        <r>
          <rPr>
            <b/>
            <sz val="9"/>
            <color indexed="81"/>
            <rFont val="Tahoma"/>
            <family val="2"/>
          </rPr>
          <t>Jakob Maag:</t>
        </r>
        <r>
          <rPr>
            <sz val="9"/>
            <color indexed="81"/>
            <rFont val="Tahoma"/>
            <family val="2"/>
          </rPr>
          <t xml:space="preserve">
KEEP THESE IN PUBISHED VERSION - FORMULAS FOR FOSSIL FUEL CONTRIBUTIONS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Jakob Maag</author>
  </authors>
  <commentList>
    <comment ref="G7" authorId="0" shapeId="0" xr:uid="{00000000-0006-0000-0700-000001000000}">
      <text>
        <r>
          <rPr>
            <b/>
            <sz val="8"/>
            <color indexed="81"/>
            <rFont val="Tahoma"/>
            <family val="2"/>
          </rPr>
          <t>Jakob Maag:</t>
        </r>
        <r>
          <rPr>
            <sz val="8"/>
            <color indexed="81"/>
            <rFont val="Tahoma"/>
            <family val="2"/>
          </rPr>
          <t xml:space="preserve">
changed Jan 2013</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Jakob Maag</author>
  </authors>
  <commentList>
    <comment ref="G7" authorId="0" shapeId="0" xr:uid="{D1920280-B904-4844-A209-6669FFCBC109}">
      <text>
        <r>
          <rPr>
            <b/>
            <sz val="9"/>
            <color indexed="81"/>
            <rFont val="Tahoma"/>
            <family val="2"/>
          </rPr>
          <t>Jakob Maag:</t>
        </r>
        <r>
          <rPr>
            <sz val="9"/>
            <color indexed="81"/>
            <rFont val="Tahoma"/>
            <family val="2"/>
          </rPr>
          <t xml:space="preserve">
Changed 4 jul2019 from 5 g/t</t>
        </r>
      </text>
    </comment>
    <comment ref="J24" authorId="0" shapeId="0" xr:uid="{00000000-0006-0000-0900-000001000000}">
      <text>
        <r>
          <rPr>
            <b/>
            <sz val="9"/>
            <color rgb="FF000000"/>
            <rFont val="Tahoma"/>
            <family val="2"/>
          </rPr>
          <t>Jakob Maag:</t>
        </r>
        <r>
          <rPr>
            <sz val="9"/>
            <color rgb="FF000000"/>
            <rFont val="Tahoma"/>
            <family val="2"/>
          </rPr>
          <t xml:space="preserve">
</t>
        </r>
        <r>
          <rPr>
            <sz val="9"/>
            <color rgb="FF000000"/>
            <rFont val="Tahoma"/>
            <family val="2"/>
          </rPr>
          <t>dry added 27jan2016</t>
        </r>
      </text>
    </comment>
    <comment ref="C26" authorId="0" shapeId="0" xr:uid="{00000000-0006-0000-0900-000002000000}">
      <text>
        <r>
          <rPr>
            <b/>
            <sz val="9"/>
            <color rgb="FF000000"/>
            <rFont val="Tahoma"/>
            <family val="2"/>
          </rPr>
          <t>Jakob Maag:</t>
        </r>
        <r>
          <rPr>
            <sz val="9"/>
            <color rgb="FF000000"/>
            <rFont val="Tahoma"/>
            <family val="2"/>
          </rPr>
          <t xml:space="preserve">
</t>
        </r>
        <r>
          <rPr>
            <sz val="9"/>
            <color rgb="FF000000"/>
            <rFont val="Tahoma"/>
            <family val="2"/>
          </rPr>
          <t>Title adjusted 24Apr15</t>
        </r>
      </text>
    </comment>
    <comment ref="G26" authorId="0" shapeId="0" xr:uid="{AC3C8FBA-E75F-EA42-8E4C-ABEF972B7952}">
      <text>
        <r>
          <rPr>
            <b/>
            <sz val="9"/>
            <color rgb="FF000000"/>
            <rFont val="Tahoma"/>
            <family val="2"/>
          </rPr>
          <t>Jakob Maag:</t>
        </r>
        <r>
          <rPr>
            <sz val="9"/>
            <color rgb="FF000000"/>
            <rFont val="Tahoma"/>
            <family val="2"/>
          </rPr>
          <t xml:space="preserve">
</t>
        </r>
        <r>
          <rPr>
            <sz val="9"/>
            <color rgb="FF000000"/>
            <rFont val="Tahoma"/>
            <family val="2"/>
          </rPr>
          <t>Changed 4 jul2019 from 5 g/t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Jakob Maag</author>
  </authors>
  <commentList>
    <comment ref="G6" authorId="0" shapeId="0" xr:uid="{C7C073DE-DB9B-B249-AA20-BEAA5C5C07E4}">
      <text>
        <r>
          <rPr>
            <b/>
            <sz val="9"/>
            <color rgb="FF000000"/>
            <rFont val="Tahoma"/>
            <family val="2"/>
          </rPr>
          <t>Jakob Maag:</t>
        </r>
        <r>
          <rPr>
            <sz val="9"/>
            <color rgb="FF000000"/>
            <rFont val="Tahoma"/>
            <family val="2"/>
          </rPr>
          <t xml:space="preserve">
</t>
        </r>
        <r>
          <rPr>
            <sz val="9"/>
            <color rgb="FF000000"/>
            <rFont val="Tahoma"/>
            <family val="2"/>
          </rPr>
          <t>Changed 4 jul2019 from 5 g/t</t>
        </r>
      </text>
    </comment>
    <comment ref="G13" authorId="0" shapeId="0" xr:uid="{FEB18A06-E5D0-9E43-A4E0-8A9FB886D8C9}">
      <text>
        <r>
          <rPr>
            <b/>
            <sz val="9"/>
            <color indexed="81"/>
            <rFont val="Tahoma"/>
            <family val="2"/>
          </rPr>
          <t>Jakob Maag:</t>
        </r>
        <r>
          <rPr>
            <sz val="9"/>
            <color indexed="81"/>
            <rFont val="Tahoma"/>
            <family val="2"/>
          </rPr>
          <t xml:space="preserve">
Changed 4 jul2019 from 5 g/t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RONKAINEN</author>
  </authors>
  <commentList>
    <comment ref="B7" authorId="0" shapeId="0" xr:uid="{FE7BEE51-F655-BA4B-AE4F-35AD485242A1}">
      <text>
        <r>
          <rPr>
            <b/>
            <sz val="9"/>
            <color rgb="FF000000"/>
            <rFont val="Tahoma"/>
            <family val="2"/>
          </rPr>
          <t>RONKAINEN:</t>
        </r>
        <r>
          <rPr>
            <sz val="9"/>
            <color rgb="FF000000"/>
            <rFont val="Tahoma"/>
            <family val="2"/>
          </rPr>
          <t xml:space="preserve">
</t>
        </r>
        <r>
          <rPr>
            <sz val="9"/>
            <color rgb="FF000000"/>
            <rFont val="Tahoma"/>
            <family val="2"/>
          </rPr>
          <t>The population data has been updated to year 2015</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Jakob Maag</author>
  </authors>
  <commentList>
    <comment ref="N15" authorId="0" shapeId="0" xr:uid="{00000000-0006-0000-0E00-000001000000}">
      <text>
        <r>
          <rPr>
            <b/>
            <sz val="9"/>
            <color rgb="FF000000"/>
            <rFont val="Tahoma"/>
            <family val="2"/>
          </rPr>
          <t>Jakob Maag: 2016</t>
        </r>
        <r>
          <rPr>
            <sz val="9"/>
            <color rgb="FF000000"/>
            <rFont val="Tahoma"/>
            <family val="2"/>
          </rPr>
          <t xml:space="preserve">
</t>
        </r>
        <r>
          <rPr>
            <sz val="9"/>
            <color rgb="FF000000"/>
            <rFont val="Tahoma"/>
            <family val="2"/>
          </rPr>
          <t xml:space="preserve">Inclusion of special collection is incorporated for all relevant products: 
</t>
        </r>
        <r>
          <rPr>
            <sz val="9"/>
            <color rgb="FF000000"/>
            <rFont val="Tahoma"/>
            <family val="2"/>
          </rPr>
          <t xml:space="preserve">If y og n: scen 1
</t>
        </r>
        <r>
          <rPr>
            <sz val="9"/>
            <color rgb="FF000000"/>
            <rFont val="Tahoma"/>
            <family val="2"/>
          </rPr>
          <t xml:space="preserve">If n og n: scen 2 or n og y (= unrealistic), or no answer for separate collection
</t>
        </r>
        <r>
          <rPr>
            <sz val="9"/>
            <color rgb="FF000000"/>
            <rFont val="Tahoma"/>
            <family val="2"/>
          </rPr>
          <t>If y og y: scen 3</t>
        </r>
      </text>
    </comment>
    <comment ref="N53" authorId="0" shapeId="0" xr:uid="{00000000-0006-0000-0E00-000002000000}">
      <text>
        <r>
          <rPr>
            <b/>
            <sz val="9"/>
            <color rgb="FF000000"/>
            <rFont val="Tahoma"/>
            <family val="2"/>
          </rPr>
          <t>Jakob Maag:</t>
        </r>
        <r>
          <rPr>
            <sz val="9"/>
            <color rgb="FF000000"/>
            <rFont val="Tahoma"/>
            <family val="2"/>
          </rPr>
          <t xml:space="preserve">
</t>
        </r>
        <r>
          <rPr>
            <sz val="9"/>
            <color rgb="FF000000"/>
            <rFont val="Tahoma"/>
            <family val="2"/>
          </rPr>
          <t>4july2016: These output scenarios for PUR were not changed for IL1.5, as separate collection is not relevant here)</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Jakob Maag</author>
  </authors>
  <commentList>
    <comment ref="G7" authorId="0" shapeId="0" xr:uid="{00000000-0006-0000-0F00-000001000000}">
      <text>
        <r>
          <rPr>
            <b/>
            <sz val="9"/>
            <color indexed="81"/>
            <rFont val="Tahoma"/>
            <family val="2"/>
          </rPr>
          <t>Jakob Maag:</t>
        </r>
        <r>
          <rPr>
            <sz val="9"/>
            <color indexed="81"/>
            <rFont val="Tahoma"/>
            <family val="2"/>
          </rPr>
          <t xml:space="preserve">
Was actually changed to 0,2 in April 2013 version</t>
        </r>
      </text>
    </comment>
    <comment ref="R11" authorId="0" shapeId="0" xr:uid="{00000000-0006-0000-0F00-000002000000}">
      <text>
        <r>
          <rPr>
            <b/>
            <sz val="9"/>
            <color indexed="81"/>
            <rFont val="Tahoma"/>
            <family val="2"/>
          </rPr>
          <t>Jakob Maag:</t>
        </r>
        <r>
          <rPr>
            <sz val="9"/>
            <color indexed="81"/>
            <rFont val="Tahoma"/>
            <family val="2"/>
          </rPr>
          <t xml:space="preserve">
Changed Oct 2014</t>
        </r>
      </text>
    </comment>
  </commentList>
</comments>
</file>

<file path=xl/sharedStrings.xml><?xml version="1.0" encoding="utf-8"?>
<sst xmlns="http://schemas.openxmlformats.org/spreadsheetml/2006/main" count="3035" uniqueCount="1249">
  <si>
    <t>Guide to the column headers and the entry of data:</t>
  </si>
  <si>
    <t>Other important information:</t>
  </si>
  <si>
    <t>For some source sectors, e.g. coal combustion, the total calculated mercury input must be distributed between the relevant scenarios in accordance with information obtained in your data collection. For example for coal combustion, half of the annual coal supply may be used in facilities with no emission reduction devices, while the other half is used in facilities with fabric filters. In this example, 50% of your mercury input must entered in the "no devises" row in this column, while the other 50% must be entered in the "fabric filters" row. For other sources, e.g. batteries, you can choose the scenario you find most appropriate for the country covered in your inventory - and enter the total calculated mercury input in that row, or you can distribute the total input between the scenarios, for example if different scenarios are relevant in different parts of the country investigated.</t>
  </si>
  <si>
    <r>
      <t>Read the Toolkit report sections carefully before using this spreadsheet!</t>
    </r>
    <r>
      <rPr>
        <sz val="10"/>
        <rFont val="Arial"/>
        <family val="2"/>
      </rPr>
      <t>: This spreadsheet is not self-explaining and there is a clear risk of making serious mistakes, if the proposed principles and data are not read and understood carefully. Make yourself acquainted with the methodology used for mercury inventories in the Toolkit report. Before working with an individual source sub-category in this spreadsheet, read the Toolkit report's section describing the source.</t>
    </r>
  </si>
  <si>
    <r>
      <t>Spreadsheet names</t>
    </r>
    <r>
      <rPr>
        <sz val="10"/>
        <rFont val="Arial"/>
        <family val="2"/>
      </rPr>
      <t>: The numbers in the individual sheets' names refer to the chapter number of the source category dealt with in the individual sheet.</t>
    </r>
  </si>
  <si>
    <r>
      <t>Metric units</t>
    </r>
    <r>
      <rPr>
        <sz val="10"/>
        <rFont val="Arial"/>
        <family val="2"/>
      </rPr>
      <t>: All units used in this spreadsheet are - and must be - metric units, in accordance with the Toolkit report. The notation "t", means metric tons (also called "tonnes" in UK terminology).</t>
    </r>
  </si>
  <si>
    <r>
      <t>"C"</t>
    </r>
    <r>
      <rPr>
        <sz val="10"/>
        <rFont val="Arial"/>
        <family val="2"/>
      </rPr>
      <t>: The column shows the section number in the Toolkit report describing this source category.</t>
    </r>
  </si>
  <si>
    <r>
      <t>"Su-C"</t>
    </r>
    <r>
      <rPr>
        <sz val="10"/>
        <rFont val="Arial"/>
        <family val="2"/>
      </rPr>
      <t>: The column shows the section number in the Toolkit report describing this source sub-category.</t>
    </r>
  </si>
  <si>
    <r>
      <t>"Source category /phase"</t>
    </r>
    <r>
      <rPr>
        <sz val="10"/>
        <rFont val="Arial"/>
        <family val="2"/>
      </rPr>
      <t>: This column displays the name of the source category, source sub-category or life cycle phase dealt with in this line and in any lines below until the line with the next name in the column.</t>
    </r>
  </si>
  <si>
    <r>
      <t>"Exists? (y/n/?)"</t>
    </r>
    <r>
      <rPr>
        <sz val="10"/>
        <rFont val="Arial"/>
        <family val="2"/>
      </rPr>
      <t>: Enter "yes" if it is confirmed that this source is present in the area covered by the inventory. Enter "no" if it is confirmed that this source is NOT present in the area. Enter "?", if it is not known if the source is present or not in the area covered by the inventory.</t>
    </r>
  </si>
  <si>
    <r>
      <t>Non-existing source categories:</t>
    </r>
    <r>
      <rPr>
        <sz val="10"/>
        <rFont val="Arial"/>
        <family val="2"/>
      </rPr>
      <t xml:space="preserve"> If you have positively verified that the source in question does not exist in the country, enter the number "0" as the activity rate and as the Hg input in order to display the correct output numbers, namely "0".</t>
    </r>
  </si>
  <si>
    <r>
      <t>"Default input factor""</t>
    </r>
    <r>
      <rPr>
        <sz val="10"/>
        <rFont val="Arial"/>
        <family val="2"/>
      </rPr>
      <t>: These columns inform you of the default input factors defined in the Toolkit report, and their units. The appropriate unit is noted in the next column to the right.</t>
    </r>
  </si>
  <si>
    <r>
      <t>"Enter input factor"</t>
    </r>
    <r>
      <rPr>
        <sz val="10"/>
        <rFont val="Arial"/>
        <family val="2"/>
      </rPr>
      <t>: Here you enter your choice of input factor for the source in question. For source sub categories where default factors are defined in the Toolkit report, the MAXIMUM default input factor is already entered in the appropriate cell. Remember that well documented national or local input factors should always be preferred, if available. Provide documentation for the used factors in the inventory report. The appropriate unit is noted in the next column to the right.</t>
    </r>
  </si>
  <si>
    <r>
      <t>"Enter activity rate"</t>
    </r>
    <r>
      <rPr>
        <sz val="10"/>
        <rFont val="Arial"/>
        <family val="2"/>
      </rPr>
      <t>: Here you enter the activity rate for the source category in question. See in the corresponding section of the Toolkit report, which type of activity rate you must use. Find appropriate activity rate data according to the principles and advice given in section 4.4 ("Data gathering and quantification of mercury releases") in the Toolkit report.</t>
    </r>
  </si>
  <si>
    <r>
      <t>"Calculat. Hg input"</t>
    </r>
    <r>
      <rPr>
        <sz val="10"/>
        <rFont val="Arial"/>
        <family val="2"/>
      </rPr>
      <t>: This column displays the calculated mercury input to the source in question. For source sub categories where default factors are defined in the Toolkit report, the appropriate calculation formula is already entered in the cell. For sources where this is not the case, you must enter appropriate calculation formulas according to the Toolkit principles; often you can copy - or be inspired by - calculation formulas given for other sources in the same column. BE VERY CAREFUL THAT THE UNIT AND ORDER OF MAGNITUDE ARE CORRECT - this is one of the error types most often made in such calculations. For source sub-categories that have several contributions to the overall releases from the sub-category, e.g. several life cycle phase, the sum of input contributions is displayed in bold red writing.</t>
    </r>
  </si>
  <si>
    <r>
      <t>"Output scenarios, where relevant"</t>
    </r>
    <r>
      <rPr>
        <sz val="10"/>
        <rFont val="Arial"/>
        <family val="2"/>
      </rPr>
      <t>: For some source sub-categories, several output scenarios are defined in the Toolkit report according to the characteristics of the source. For such sources, the description of the scenario is given in this column, and corresponding output distribution factors are entered - or can be entered - in the columns to the right of this column. For sources where there is only one output scenario, this column is empty.</t>
    </r>
  </si>
  <si>
    <r>
      <t>"Enter Hg input"</t>
    </r>
    <r>
      <rPr>
        <sz val="10"/>
        <rFont val="Arial"/>
        <family val="2"/>
      </rPr>
      <t>: In this column, the mercury INPUT to this source category, or phase, or scenario must be entered. In simple cases, the number to be entered here is the number calculated in the column "Calculat. Hg input"; for these a simple reference (e.g. "= k34") can be made or the number can be entered manually. For sources with several output scenarios you must investigate which scenario(s) is/are relevant and enter the mercury input lead to that scenario.</t>
    </r>
  </si>
  <si>
    <r>
      <t>"Enter output distribution factors"</t>
    </r>
    <r>
      <rPr>
        <sz val="10"/>
        <rFont val="Arial"/>
        <family val="2"/>
      </rPr>
      <t>: Here you enter your choice of output distribution factors. Important: In most cases the sum of all output distributions factors for a source must be 1 (exceptions: see notes in this spreadsheet and corresponding sections in the Toolkit report). For source sub categories where default factors are defined in the Toolkit report, the default factors are already entered in the appropriate cells; note that question marks in the report are substituted here by "0" to facilitate the use of the spreadsheet for quick initial screenings. Remember that well documented national or local distribution factors should always be preferred, if available. Provide documentation for the used factors in the inventory report. NB: For a few sources, other methodology is used to estimate releases; this is described in notes in each relevant sheet.</t>
    </r>
  </si>
  <si>
    <r>
      <t>"Calculated Hg output, Kg/y</t>
    </r>
    <r>
      <rPr>
        <sz val="10"/>
        <rFont val="Arial"/>
        <family val="2"/>
      </rPr>
      <t>": These columns display the calculated mercury releases distributed on the output pathways considered. Each cell in these columns contain a formula calculating the release estimate based on the mercury inputs to the source or phase or output scenario in question and the output distribution factor for this pathway. In very few cases, the release estimates are calculated with other principles - see specific notes in the sheets in question.</t>
    </r>
  </si>
  <si>
    <r>
      <t>"Remarks"</t>
    </r>
    <r>
      <rPr>
        <sz val="10"/>
        <rFont val="Arial"/>
        <family val="2"/>
      </rPr>
      <t>: Here you enter a few words on information on the specific fate of mercury released to "Sector specific treatment/disposal", and you enter important key information on a summary level. Give reference to where in the inventory report the information is described in more detail.</t>
    </r>
  </si>
  <si>
    <r>
      <t>"#Value!"</t>
    </r>
    <r>
      <rPr>
        <sz val="10"/>
        <rFont val="Arial"/>
        <family val="2"/>
      </rPr>
      <t>: This term appear in calculation results, if "?", "-" or similar text signs are written in input cells. If data are available, enter these instead of the "?" in the input cells. If data are not available, the sign (?,- or other) may often be the appropriate thing to show in the results cell. To present the same sign (?,- or other), enter the appropriate sign manually in the calculation cell.</t>
    </r>
  </si>
  <si>
    <r>
      <t>User defined alterations of the spreadsheet principles</t>
    </r>
    <r>
      <rPr>
        <sz val="10"/>
        <rFont val="Arial"/>
        <family val="2"/>
      </rPr>
      <t>: This spreadsheet is designed for mercury release quantification according to the general methodology and specific principles for each source sub-category recommended in the Toolkit report. For many source sub-categories other specific approaches may be usable (e.g. other activity rate types). This spreadsheet may be adjusted accordingly by the users as desired, requiring that the applied principles are in line with the overall approach of the Toolkit, and are well documented in the inventory reporting and that full reference is given to this Toolkit spreadsheet.</t>
    </r>
  </si>
  <si>
    <r>
      <t>Enter calculation formulas</t>
    </r>
    <r>
      <rPr>
        <sz val="10"/>
        <rFont val="Arial"/>
        <family val="2"/>
      </rPr>
      <t>: In this spreadsheet, default calculation formulas were only entered for source sub-categories, for which defaults were defined in the Toolkit report. Depending in the data available, inputs and releases may however be possible to estimate for many more sources. In such cases, the user should enter appropriate formulas and data for the calculations. In many cases this can be done by copying appropriate formulas from other cells in this spreadsheet - be careful to be accurate.</t>
    </r>
  </si>
  <si>
    <r>
      <t>Sub-calculations</t>
    </r>
    <r>
      <rPr>
        <sz val="10"/>
        <rFont val="Arial"/>
        <family val="2"/>
      </rPr>
      <t>: In many cases sub-calculations will be needed, e.g. for calculations/conversions of the activity rates, or alternative input factors or alternative output distribution factors. Such calculations must be made in other spreadsheets, for instance in new sheets inserted in this same Tollkit spreadsheet file; remember to report clear and transparent documentation of all data and calculations used - read more about this in the Toolkit report.</t>
    </r>
  </si>
  <si>
    <r>
      <t>Decimal point/comma:</t>
    </r>
    <r>
      <rPr>
        <sz val="10"/>
        <rFont val="Arial"/>
        <family val="2"/>
      </rPr>
      <t xml:space="preserve"> In order to display decimal comma or decimal point according to your preference, make sure your MS Windows systems language is set accordingly. Note however that numbers displayed here as  text (default factor intervals) will display with decimal point, in accordance with the Toolkit report format, regardless of language settings chosen.</t>
    </r>
  </si>
  <si>
    <r>
      <t>Sum of quantified releases</t>
    </r>
    <r>
      <rPr>
        <sz val="10"/>
        <rFont val="Arial"/>
        <family val="2"/>
      </rPr>
      <t>: If you wish to calculate sums of quantified inputs or releases, other than the ones already displayed, remember not to double-count Hg amounts quantified for several source categories (e.g. Hg amounts that are counted under both production, use, and disposal) . This requires a deeper analysis based on relevant Toolkit report sections.</t>
    </r>
  </si>
  <si>
    <t>Disclaimer:</t>
  </si>
  <si>
    <t>This publication is intended to serve as a guide. While the information provided is believed to be accurate, UNEP disclaims any responsibility for possible inaccuracies or omissions and consequences that may flow from them. Neither UNEP nor any individual involved in the preparation of this publication shall be liable for any injury, loss, damage or prejudice of any kind that may be caused by persons who have acted based on their understanding of the information contained in this publication.</t>
  </si>
  <si>
    <t>The designation employed and the presentation of material in this publication do not imply any expression of any opinion whatsoever on the part of the United Nations or UNEP concerning the legal status of any country, territory, city or area or any of its authorities, or concerning any definition of frontiers or boundaries.</t>
  </si>
  <si>
    <t>Summary of estimated mercury inputs and releases</t>
  </si>
  <si>
    <t>Enter year, date and responsible institution/person</t>
  </si>
  <si>
    <t>SUM OF QUANTIFIED RELEASES:</t>
  </si>
  <si>
    <t>(a and (b: See note text in the relevant sheets</t>
  </si>
  <si>
    <t xml:space="preserve">- </t>
  </si>
  <si>
    <t>Draft spreadsheet of UNEP Chemicals' Toolkit for identification and quantification of mercury releases</t>
  </si>
  <si>
    <t>Unit</t>
  </si>
  <si>
    <t>Kg Hg/y</t>
  </si>
  <si>
    <t>Enter input factor</t>
  </si>
  <si>
    <t>Air</t>
  </si>
  <si>
    <t>Water</t>
  </si>
  <si>
    <t>Land</t>
  </si>
  <si>
    <t>Products</t>
  </si>
  <si>
    <t>General waste</t>
  </si>
  <si>
    <t>?</t>
  </si>
  <si>
    <t>Source category: Extraction and use of fuels/energy sources</t>
  </si>
  <si>
    <t>5.1.1</t>
  </si>
  <si>
    <t>5.1</t>
  </si>
  <si>
    <t>Coal combustion in large power plants</t>
  </si>
  <si>
    <t>0.05-0.5</t>
  </si>
  <si>
    <t>Default input factor</t>
  </si>
  <si>
    <t>Su-C</t>
  </si>
  <si>
    <t xml:space="preserve"> Enter activity rate</t>
  </si>
  <si>
    <t>C</t>
  </si>
  <si>
    <t>Secto r specific treatment/disposal</t>
  </si>
  <si>
    <t>Calculated Hg output, Kg/y</t>
  </si>
  <si>
    <t>Enter output distribution factors (unitless)</t>
  </si>
  <si>
    <t>Notes:</t>
  </si>
  <si>
    <t>"Output scenario"</t>
  </si>
  <si>
    <t>0.05-0.5 (a</t>
  </si>
  <si>
    <t>Source category /phase</t>
  </si>
  <si>
    <t>/Coal wash</t>
  </si>
  <si>
    <t>Calculat. Hg input</t>
  </si>
  <si>
    <t>Other coal use</t>
  </si>
  <si>
    <t>Coke production</t>
  </si>
  <si>
    <t>Kg Hg/y (a</t>
  </si>
  <si>
    <t>5.1.3</t>
  </si>
  <si>
    <t>Uses (other than combustion)</t>
  </si>
  <si>
    <t>Residential heating with no controls</t>
  </si>
  <si>
    <t>Oil Combustion Facility with no emissions controls</t>
  </si>
  <si>
    <t>Oil Combustion Facility with PM control using an ESP or scrubber</t>
  </si>
  <si>
    <t>Mineral oils - extraction, refining and use</t>
  </si>
  <si>
    <t>5.1.4</t>
  </si>
  <si>
    <t>Natural gas - extraction, refining and use</t>
  </si>
  <si>
    <t>Nm3 gas/y</t>
  </si>
  <si>
    <t>0.03 - 0.4</t>
  </si>
  <si>
    <t>2 - 200</t>
  </si>
  <si>
    <t>µg Hg/Nm3 gas</t>
  </si>
  <si>
    <t>5.1.5</t>
  </si>
  <si>
    <t>Other fossil fuels - extraction and use</t>
  </si>
  <si>
    <t>Use of oil shale</t>
  </si>
  <si>
    <t>5.1.6</t>
  </si>
  <si>
    <t>Biomass fired power and heat production</t>
  </si>
  <si>
    <t>5.1.7</t>
  </si>
  <si>
    <t>Geothermal power production</t>
  </si>
  <si>
    <t>40 - 193 (b</t>
  </si>
  <si>
    <t>Combustion of peat</t>
  </si>
  <si>
    <t>Combustion of other fossil fuels</t>
  </si>
  <si>
    <t>Remarks</t>
  </si>
  <si>
    <t>5.5</t>
  </si>
  <si>
    <t>5.5.1</t>
  </si>
  <si>
    <t>Thermometers with mercury</t>
  </si>
  <si>
    <t>/Use+disposal</t>
  </si>
  <si>
    <t>Enter Hg input</t>
  </si>
  <si>
    <t>Medical thermometers</t>
  </si>
  <si>
    <t>Ambient air thermom.</t>
  </si>
  <si>
    <t>Industrial and special th.</t>
  </si>
  <si>
    <t>Other glass Hg thermometers</t>
  </si>
  <si>
    <t>(a1) No separate collection. Waste handl. controlled</t>
  </si>
  <si>
    <t>(a3) Separate collection. Waste handl. controlled</t>
  </si>
  <si>
    <t>/Production</t>
  </si>
  <si>
    <t>/Use+disposal:</t>
  </si>
  <si>
    <t>/Extraction</t>
  </si>
  <si>
    <t>/Refining</t>
  </si>
  <si>
    <t>/Extraction/refining</t>
  </si>
  <si>
    <t>/Use of raw or pre-cleaned gas</t>
  </si>
  <si>
    <t>/Use of pipeline gas (consumer quality)</t>
  </si>
  <si>
    <t>0.5-1.5</t>
  </si>
  <si>
    <t>5-200</t>
  </si>
  <si>
    <t>2-5</t>
  </si>
  <si>
    <t>1-40</t>
  </si>
  <si>
    <t>g Hg/item</t>
  </si>
  <si>
    <t>items/y</t>
  </si>
  <si>
    <t>(a2) No separate collection. Informal waste handl. widespread</t>
  </si>
  <si>
    <t>Electrical switches and relays with mercury</t>
  </si>
  <si>
    <t>5.5.2</t>
  </si>
  <si>
    <t>0.02-0.25</t>
  </si>
  <si>
    <t>0.25</t>
  </si>
  <si>
    <t>Inhabitants</t>
  </si>
  <si>
    <t>g Hg/(y*inhabitant)</t>
  </si>
  <si>
    <t>5.5.3</t>
  </si>
  <si>
    <t>Fluorescent tubes (double end)</t>
  </si>
  <si>
    <t>Compact fluorescent lamp (CFL single end)</t>
  </si>
  <si>
    <t xml:space="preserve">High pressure mercury vapour </t>
  </si>
  <si>
    <t>High-pressure sodium lamps</t>
  </si>
  <si>
    <t>UV light for tanning</t>
  </si>
  <si>
    <t>Metal halide lamps</t>
  </si>
  <si>
    <t>10 - 30</t>
  </si>
  <si>
    <t>5 - 25</t>
  </si>
  <si>
    <t>mg Hg/item</t>
  </si>
  <si>
    <t>Biocides and pesticides with mercury</t>
  </si>
  <si>
    <t>5.5.5</t>
  </si>
  <si>
    <t>5.5.4</t>
  </si>
  <si>
    <t>Batteries with mercury</t>
  </si>
  <si>
    <t>Mercury oxide (all sizes); also called mercury-zinc cells</t>
  </si>
  <si>
    <t>Zinc-air button cells</t>
  </si>
  <si>
    <t>Alkaline button cells</t>
  </si>
  <si>
    <t>Silver oxide button cells</t>
  </si>
  <si>
    <t>Alkaline, other than  button cell shapes</t>
  </si>
  <si>
    <t>Paints with mercury</t>
  </si>
  <si>
    <t>5.5.6</t>
  </si>
  <si>
    <t>0.3-5</t>
  </si>
  <si>
    <t>/Use (application + when appl.)</t>
  </si>
  <si>
    <t>Cosmetics and related products with mercury</t>
  </si>
  <si>
    <t>10-50</t>
  </si>
  <si>
    <t>Source category: Intentional use of mercury in industrial processes</t>
  </si>
  <si>
    <t>5.4</t>
  </si>
  <si>
    <t>5.4.1</t>
  </si>
  <si>
    <t>Chlor-alkali production with mercury-technology</t>
  </si>
  <si>
    <t>5.4.2</t>
  </si>
  <si>
    <t>100-140</t>
  </si>
  <si>
    <t>VCM production with mercury catalyst</t>
  </si>
  <si>
    <t>Acetaldehyde production with mercury catalyst</t>
  </si>
  <si>
    <t>Other production of chemicals and polymers with mercury</t>
  </si>
  <si>
    <t>Exists? (y/n/?)</t>
  </si>
  <si>
    <t>Chlor-alkali prod.</t>
  </si>
  <si>
    <t>Other oil combustion facilities</t>
  </si>
  <si>
    <t>5.2</t>
  </si>
  <si>
    <t>5.2.1</t>
  </si>
  <si>
    <t>5.2.2</t>
  </si>
  <si>
    <t>Gold and silver extraction with mercury amalgamation processes</t>
  </si>
  <si>
    <t>Zinc extraction and initial processing</t>
  </si>
  <si>
    <t>Mercury (primary) extraction and initial processing</t>
  </si>
  <si>
    <t>/Mining and concentrating</t>
  </si>
  <si>
    <t>/Production of zinc from concentrates</t>
  </si>
  <si>
    <t>Copper extraction and initial processing</t>
  </si>
  <si>
    <t>/Production of copper from concentrates</t>
  </si>
  <si>
    <t>Lead extraction and initial processing</t>
  </si>
  <si>
    <t>/Production of lead from concentrates</t>
  </si>
  <si>
    <t>5.3.3</t>
  </si>
  <si>
    <t>5.3.4</t>
  </si>
  <si>
    <t>5.3.5</t>
  </si>
  <si>
    <t>5.3.6</t>
  </si>
  <si>
    <t>(a: Due to lack of data, this calculation is proposed with traditional emission factors, instead of input and output factors as recommended in this Toolkit.</t>
  </si>
  <si>
    <t xml:space="preserve">    If you have data to use the inputs and outputs balance method, the calculation approach used for zinc can be copied here for gold.</t>
  </si>
  <si>
    <t>Aliminium extraction and initial processing</t>
  </si>
  <si>
    <t>/Aluminium production from alumina</t>
  </si>
  <si>
    <t>5.3.7</t>
  </si>
  <si>
    <t>5.3.8</t>
  </si>
  <si>
    <t>5.3.9</t>
  </si>
  <si>
    <t>Primary ferrous metal production</t>
  </si>
  <si>
    <t>Other non-ferrous metals - extraction and processing</t>
  </si>
  <si>
    <t>0.05</t>
  </si>
  <si>
    <t>/From whole ore</t>
  </si>
  <si>
    <t>kg Hg/kg gold produced</t>
  </si>
  <si>
    <t>kg gold produced/y</t>
  </si>
  <si>
    <t>/From concentrate</t>
  </si>
  <si>
    <t>5.3</t>
  </si>
  <si>
    <t>Source category: Production of other minerals and materials with mercury impurities</t>
  </si>
  <si>
    <t>5.3.1</t>
  </si>
  <si>
    <t>5.3.2</t>
  </si>
  <si>
    <t>Pulp and paper production</t>
  </si>
  <si>
    <t>Production of lime and light weight aggregates</t>
  </si>
  <si>
    <t>Lime production</t>
  </si>
  <si>
    <t>Light weight aggregate kilns</t>
  </si>
  <si>
    <t>5.8</t>
  </si>
  <si>
    <t>Source category: Waste incineration</t>
  </si>
  <si>
    <t>5.8.1</t>
  </si>
  <si>
    <t>Incineration of municipal/general waste</t>
  </si>
  <si>
    <t>Acid gas control with limestone (or similar acid gas absorbent) and downstream high efficiency FF or ESP PM retention</t>
  </si>
  <si>
    <t>Mercury specific absorbents and downstream FF</t>
  </si>
  <si>
    <t>5.8.2</t>
  </si>
  <si>
    <t>No emission reduction devices</t>
  </si>
  <si>
    <t>PM reduc, simple ESP, or similar</t>
  </si>
  <si>
    <t>Incineration of hazardous waste</t>
  </si>
  <si>
    <t>Incineration of medical waste</t>
  </si>
  <si>
    <t>5.8.3</t>
  </si>
  <si>
    <t>8-40</t>
  </si>
  <si>
    <t>5.8.4</t>
  </si>
  <si>
    <t>Sewage sludge incineration</t>
  </si>
  <si>
    <t>5.8.5</t>
  </si>
  <si>
    <t>"Output scenario (where relevant)</t>
  </si>
  <si>
    <t>5.6</t>
  </si>
  <si>
    <t>5.6.1</t>
  </si>
  <si>
    <t>Source category: Consumer products with intentional use of mercury</t>
  </si>
  <si>
    <t>Source category: Other intentional product/process use</t>
  </si>
  <si>
    <t>0.05-0.2</t>
  </si>
  <si>
    <t>/Preparations of fillings at dentist clinics (share of current mercury supply for amalgam fillings)</t>
  </si>
  <si>
    <t>/Disposal (releases from mercury supply for fillings 10-20 years ago)</t>
  </si>
  <si>
    <t>/Use - from fillings in the mouth (releases from mercury supply for fillings 5-15 years ago)</t>
  </si>
  <si>
    <t>(a: See detailed explanations in the dental fillings section in the Toolkit report.</t>
  </si>
  <si>
    <t xml:space="preserve">     If no change in the amalgam fillings supply have been observed, current supply may be used as a substitute; changes are likely to have occurred in most countries.</t>
  </si>
  <si>
    <t>- In countries where most dental clinics are equipped with high efficiency amalgam filters (95% retention rate)</t>
  </si>
  <si>
    <t>-  In countries where only dental chair filters/strainers are used in most clinics</t>
  </si>
  <si>
    <r>
      <t>Preparations of fillings</t>
    </r>
    <r>
      <rPr>
        <sz val="10"/>
        <rFont val="Times New Roman"/>
        <family val="1"/>
      </rPr>
      <t xml:space="preserve"> at dentist clinics (input is current Hg supply for amalgam fillings)</t>
    </r>
  </si>
  <si>
    <r>
      <t>Use</t>
    </r>
    <r>
      <rPr>
        <sz val="10"/>
        <rFont val="Times New Roman"/>
        <family val="1"/>
      </rPr>
      <t xml:space="preserve"> (input is Hg supply for </t>
    </r>
    <r>
      <rPr>
        <i/>
        <sz val="10"/>
        <rFont val="Times New Roman"/>
        <family val="1"/>
      </rPr>
      <t>fillings</t>
    </r>
    <r>
      <rPr>
        <sz val="10"/>
        <rFont val="Times New Roman"/>
        <family val="1"/>
      </rPr>
      <t xml:space="preserve"> 5-15 years ago (a)</t>
    </r>
  </si>
  <si>
    <r>
      <t xml:space="preserve">Disposal </t>
    </r>
    <r>
      <rPr>
        <sz val="10"/>
        <rFont val="Times New Roman"/>
        <family val="1"/>
      </rPr>
      <t>(input is Hg supply for fillings 10-20 years ago (a)</t>
    </r>
  </si>
  <si>
    <t>5.6.2</t>
  </si>
  <si>
    <t>Manometers and gauges with mercury</t>
  </si>
  <si>
    <t>Sector specific treatment/disposal</t>
  </si>
  <si>
    <t>Laboratory chemicals and equipment with mercury</t>
  </si>
  <si>
    <t>5.6.3</t>
  </si>
  <si>
    <t>Mercury metal use in religious rituals and folklore medicine</t>
  </si>
  <si>
    <t>Miscellaneous product uses, mercury metal uses, and other sources</t>
  </si>
  <si>
    <t>5.6.4</t>
  </si>
  <si>
    <t>5.6.5</t>
  </si>
  <si>
    <t>Infra red detection semiconductors</t>
  </si>
  <si>
    <t>Bougie tubes and Cantor tubes</t>
  </si>
  <si>
    <t>Educational uses</t>
  </si>
  <si>
    <t>Gyroscopes with mercury</t>
  </si>
  <si>
    <t>Vacuum pumps with mercury</t>
  </si>
  <si>
    <t>Use of mercury as a refrigerant in certain cooling systems</t>
  </si>
  <si>
    <t>Light houses (Marine navigation lights)</t>
  </si>
  <si>
    <t>Mercury in large bearings of rotating mechanic parts in for example older waste water treatment plants</t>
  </si>
  <si>
    <t>Tanning</t>
  </si>
  <si>
    <t>Pigments</t>
  </si>
  <si>
    <t>Browning and etching steel</t>
  </si>
  <si>
    <t>Certain colour photograph paper types</t>
  </si>
  <si>
    <t>Recoil softeners in rifles</t>
  </si>
  <si>
    <t>Explosives (mercury-fulminate a.o.)</t>
  </si>
  <si>
    <t>Fireworks</t>
  </si>
  <si>
    <t>Executive toys</t>
  </si>
  <si>
    <t>Others</t>
  </si>
  <si>
    <t>Medical blood pressure gauges</t>
  </si>
  <si>
    <t>Manometers</t>
  </si>
  <si>
    <t>U-shaped manometers</t>
  </si>
  <si>
    <t xml:space="preserve">Manometers for milking systems </t>
  </si>
  <si>
    <t>Manometers and barometers used for measuring air pressure</t>
  </si>
  <si>
    <t xml:space="preserve">Barometers </t>
  </si>
  <si>
    <t>Environmental manometers</t>
  </si>
  <si>
    <t>Pressure valves in district heating plants</t>
  </si>
  <si>
    <t>Pressure gauges</t>
  </si>
  <si>
    <t>Blood gas analyzer</t>
  </si>
  <si>
    <t>Mercury electrodes (calomel)</t>
  </si>
  <si>
    <t>Blood lead analyzer</t>
  </si>
  <si>
    <t>Mercury drop electrode</t>
  </si>
  <si>
    <t>Coulter counter</t>
  </si>
  <si>
    <t>Sample collector for oil offshore</t>
  </si>
  <si>
    <t>Centrifuges</t>
  </si>
  <si>
    <t>Electron microscope</t>
  </si>
  <si>
    <t>Thermostats</t>
  </si>
  <si>
    <t xml:space="preserve">Thermometers, manometers, and other measuring equipment </t>
  </si>
  <si>
    <t>Mercury lamps for atomic absorption spectrophotometers and other equipment</t>
  </si>
  <si>
    <t>Items/y</t>
  </si>
  <si>
    <t>-</t>
  </si>
  <si>
    <t>5.7</t>
  </si>
  <si>
    <t>5.7.1</t>
  </si>
  <si>
    <t>Source category: Production of recycled metals ("secondary" metal production)</t>
  </si>
  <si>
    <t>Production of recycled mercury ("secondary production”)</t>
  </si>
  <si>
    <t>Production of recycled ferrous metals (iron and steel)</t>
  </si>
  <si>
    <t>Production of other recycled metals</t>
  </si>
  <si>
    <t>Output scenario (where relevant)</t>
  </si>
  <si>
    <t>Note:</t>
  </si>
  <si>
    <t>(a: The Hg input to be entered here is metric tons of seconday mercury produced per year.</t>
  </si>
  <si>
    <t>Diffuse disposal under some control</t>
  </si>
  <si>
    <t>Source category: Waste deposition/landfilling and waste water treatment</t>
  </si>
  <si>
    <t>This source category is expected covered under the original sources of the mercury containing material, under det output path "sector specific treatment/disposal accompanied by a descriptive note; e.g. solid residues from waste incineration or metal extraction.</t>
  </si>
  <si>
    <t>Informal local disposal of industrial production waste</t>
  </si>
  <si>
    <t>Waste water system/treatment</t>
  </si>
  <si>
    <t>(b: It should be noted that mercury releases to informal waste incineration and waste dumping under the individual product and materials sub-categories are quantified in these sub-sections as direct releases to land, air and water.</t>
  </si>
  <si>
    <t xml:space="preserve">    Beware of double-counting. Note, however, that mercury inputs to dumping from mercury trace concentrations in high volume materials (plastics, paper, etc.) are not quantified individually elsewhere in this Toolkit</t>
  </si>
  <si>
    <t>5.9</t>
  </si>
  <si>
    <t>5.9.1</t>
  </si>
  <si>
    <t>5.9.2</t>
  </si>
  <si>
    <t>5.9.3</t>
  </si>
  <si>
    <t>5.9.4</t>
  </si>
  <si>
    <t>5.9.5</t>
  </si>
  <si>
    <t>No treatment; direct release from sewage pipe</t>
  </si>
  <si>
    <t>Mechanical treatment only</t>
  </si>
  <si>
    <t>Mechanical and biological (activated sludge) treatment; no land application of sludge</t>
  </si>
  <si>
    <t>Mechanical and biological (activated sludge) treatment; 40% of sludge used for land application</t>
  </si>
  <si>
    <t>0.5-10</t>
  </si>
  <si>
    <t>m3 waste water/y</t>
  </si>
  <si>
    <t>mg Hg/m3 waste water</t>
  </si>
  <si>
    <t>Enter description of estimation scenario presented below (maximum defaults/minimum defaults/other):</t>
  </si>
  <si>
    <t>Source category: Crematoria and cemetaries</t>
  </si>
  <si>
    <t>Crematoria</t>
  </si>
  <si>
    <t>1-4</t>
  </si>
  <si>
    <t>g Hg/corpse</t>
  </si>
  <si>
    <t>corpses cremated/y</t>
  </si>
  <si>
    <t>corpses burried/y</t>
  </si>
  <si>
    <t>5.10</t>
  </si>
  <si>
    <t>5.10.1</t>
  </si>
  <si>
    <t>5.10.2</t>
  </si>
  <si>
    <t>Read "introduction" before starting</t>
  </si>
  <si>
    <t>Source category</t>
  </si>
  <si>
    <t xml:space="preserve"> - If "other": Summarise main principles/characteristics in a few words (elaborate description in inventory report):</t>
  </si>
  <si>
    <t>Source category: Primary (virgin) metal production</t>
  </si>
  <si>
    <t>Gold extraction and initial processing by methods other than mercury amalgamation (a</t>
  </si>
  <si>
    <t xml:space="preserve">   In order for the releases to be presented correctly in the summary sheet, only one of the presentation options can be used (or the summary sheet should be adjusted for this source by the user).</t>
  </si>
  <si>
    <t>Controlled landfills/deposits (a</t>
  </si>
  <si>
    <t>Informal dumping of general waste (b</t>
  </si>
  <si>
    <t>Light sources with mercury</t>
  </si>
  <si>
    <t>Sub-C</t>
  </si>
  <si>
    <t>t coal/y</t>
  </si>
  <si>
    <t>t oil/y</t>
  </si>
  <si>
    <t>t peat/y</t>
  </si>
  <si>
    <t>t oil shale/y</t>
  </si>
  <si>
    <t>t pig iron produced</t>
  </si>
  <si>
    <t>t cement produced/y</t>
  </si>
  <si>
    <t>t Cl2/y</t>
  </si>
  <si>
    <t>t bat/y</t>
  </si>
  <si>
    <t>t paint/y</t>
  </si>
  <si>
    <t>t cream or soap/y</t>
  </si>
  <si>
    <t>g Hg/t waste</t>
  </si>
  <si>
    <t>t waste landfilled/y</t>
  </si>
  <si>
    <t>t waste dumped/y</t>
  </si>
  <si>
    <t>g Hg/t waste incinerated</t>
  </si>
  <si>
    <t>t waste incinerated/y</t>
  </si>
  <si>
    <t>kg Hg/t batteries</t>
  </si>
  <si>
    <t>kg Hg/t</t>
  </si>
  <si>
    <t>g Hg/t Cl2 produced</t>
  </si>
  <si>
    <t>g Hg/t VCM produced</t>
  </si>
  <si>
    <t>g Hg/t</t>
  </si>
  <si>
    <t>g Hg/t pig iron produced</t>
  </si>
  <si>
    <t>mg Hg/t</t>
  </si>
  <si>
    <t>(b: Based on one data set only</t>
  </si>
  <si>
    <t>mg Hg/t (dry weight)</t>
  </si>
  <si>
    <t>(b: Enter sum for total inputs to recycling, if know from other sources</t>
  </si>
  <si>
    <t>t concentrate/y</t>
  </si>
  <si>
    <r>
      <t xml:space="preserve">Dental mercury-amalgam fillings </t>
    </r>
    <r>
      <rPr>
        <b/>
        <sz val="10"/>
        <color indexed="10"/>
        <rFont val="Arial"/>
        <family val="2"/>
      </rPr>
      <t>(b</t>
    </r>
  </si>
  <si>
    <t>(b: Note that output distribution factors should not sum up to 1 for this source or phase.</t>
  </si>
  <si>
    <t>(a: Note that output distribution factors should not sum up to 1 for this source or phase.</t>
  </si>
  <si>
    <t>/Production (a</t>
  </si>
  <si>
    <r>
      <t xml:space="preserve">(b </t>
    </r>
    <r>
      <rPr>
        <sz val="10"/>
        <rFont val="Arial"/>
        <family val="2"/>
      </rPr>
      <t>Kg Hg/y</t>
    </r>
  </si>
  <si>
    <t>(c: Note that output distribution factors should not sum up to 1 for this source or phase.</t>
  </si>
  <si>
    <t>(a, (c</t>
  </si>
  <si>
    <t>(a: Important: If coal wash is aplied, the Hg input to combustion is the calculated output "Products" from coal wash. For more complicated mixes, see the relevant section in the toolkit report.</t>
  </si>
  <si>
    <t>Other minerals and materials</t>
  </si>
  <si>
    <t>Impurity in pro-ducts</t>
  </si>
  <si>
    <t>Y/N/?</t>
  </si>
  <si>
    <t xml:space="preserve">ENERGY CONSUMPTION AND FUEL PRODUCTION </t>
  </si>
  <si>
    <t>5.2.3</t>
  </si>
  <si>
    <t>5.2.4</t>
  </si>
  <si>
    <t>5.2.5</t>
  </si>
  <si>
    <t>5.2.6</t>
  </si>
  <si>
    <t>5.2.7</t>
  </si>
  <si>
    <t>5.2.9</t>
  </si>
  <si>
    <t>Cement production</t>
  </si>
  <si>
    <t>5.4.3</t>
  </si>
  <si>
    <t>5.4.4</t>
  </si>
  <si>
    <t>5.5.7</t>
  </si>
  <si>
    <t>5.6.3, 5.6.5</t>
  </si>
  <si>
    <t>Impurity in products</t>
  </si>
  <si>
    <t>5.7.2</t>
  </si>
  <si>
    <t>Before you start on Inventory Level 2!!</t>
  </si>
  <si>
    <t>Charcoal combustion</t>
  </si>
  <si>
    <t>Cemeteries</t>
  </si>
  <si>
    <t>t biomass/year</t>
  </si>
  <si>
    <t>t charcoal/year</t>
  </si>
  <si>
    <t>g Hg/ t cement produced</t>
  </si>
  <si>
    <t>t Hg produced</t>
  </si>
  <si>
    <t>g Hg/t concentrate</t>
  </si>
  <si>
    <t>g Hg/t acetaledhyde</t>
  </si>
  <si>
    <t>t VCM/y</t>
  </si>
  <si>
    <t>t acetaldehyde/y</t>
  </si>
  <si>
    <t>Production</t>
  </si>
  <si>
    <t>g Hg used for production/y</t>
  </si>
  <si>
    <t>kg Hg used for production/y</t>
  </si>
  <si>
    <r>
      <t>kg recycled mercury</t>
    </r>
    <r>
      <rPr>
        <b/>
        <sz val="10"/>
        <rFont val="Arial"/>
        <family val="2"/>
      </rPr>
      <t>/year</t>
    </r>
  </si>
  <si>
    <t>g Hg/t sludge incinerated</t>
  </si>
  <si>
    <t xml:space="preserve">Total </t>
  </si>
  <si>
    <t>Inpurity in produtcs</t>
  </si>
  <si>
    <t>Inpurity in products</t>
  </si>
  <si>
    <t>70-85</t>
  </si>
  <si>
    <t>Other laboratory equipment (level 1 default)</t>
  </si>
  <si>
    <t>Laboratory chemicals and pharmaceutical (level 1 default)</t>
  </si>
  <si>
    <t>g Hg/y*inhabitant)</t>
  </si>
  <si>
    <t>5.5.8</t>
  </si>
  <si>
    <t>5.5.5.</t>
  </si>
  <si>
    <t>Polyurethane with mercury catalysts</t>
  </si>
  <si>
    <t>PM control with general ESP, or PS</t>
  </si>
  <si>
    <t>g Hg/t biomass (dry weight)</t>
  </si>
  <si>
    <t>0.07-1</t>
  </si>
  <si>
    <t>t bauxite/y</t>
  </si>
  <si>
    <t>g Hg/t bauxite</t>
  </si>
  <si>
    <t>/Alumina production from bauxite</t>
  </si>
  <si>
    <t>/Use of gasoline, diesel and other light distillates:</t>
  </si>
  <si>
    <t>Transportation and other uses other than combustion</t>
  </si>
  <si>
    <t>/Use of heavy oil and petroleum coke:</t>
  </si>
  <si>
    <t>10 - 100</t>
  </si>
  <si>
    <t>1 - 10</t>
  </si>
  <si>
    <t>Oil combustion facilities</t>
  </si>
  <si>
    <t>g Hg/t(dry weight)</t>
  </si>
  <si>
    <t>0.007-0.07</t>
  </si>
  <si>
    <t>Gas processing with mercury removal</t>
  </si>
  <si>
    <t>Gas processing without mercury removal</t>
  </si>
  <si>
    <t>INVENTORY LEVEL 1 - TOTAL SUMMARY</t>
  </si>
  <si>
    <t>0,007-0,07</t>
  </si>
  <si>
    <t>g Hg/ t biomass used in production</t>
  </si>
  <si>
    <t>kg Hg/t Hg produced</t>
  </si>
  <si>
    <t>g Hg/t ore used (extracted)</t>
  </si>
  <si>
    <t>0.01-0.05</t>
  </si>
  <si>
    <t>0.005</t>
  </si>
  <si>
    <t>Other manometers (level 1 default for whole group)</t>
  </si>
  <si>
    <t>0.2-2</t>
  </si>
  <si>
    <t>g Hg/vehicle</t>
  </si>
  <si>
    <t>vehicles recycled/y</t>
  </si>
  <si>
    <t>4x conc. in biomass</t>
  </si>
  <si>
    <t>No filter</t>
  </si>
  <si>
    <t>t gold ore used/y</t>
  </si>
  <si>
    <t>g Hg/t ore used</t>
  </si>
  <si>
    <t>1020-1040</t>
  </si>
  <si>
    <t>kg Hg/kg Hg released totally</t>
  </si>
  <si>
    <t>Y</t>
  </si>
  <si>
    <t>Original English version</t>
  </si>
  <si>
    <t>N</t>
  </si>
  <si>
    <t>Can be changed according to language</t>
  </si>
  <si>
    <t>Not to be changed</t>
  </si>
  <si>
    <t>The "-", indicated when the source category is not present in the country, cannot be changed</t>
  </si>
  <si>
    <t>Present?</t>
  </si>
  <si>
    <t>Enter translation (in white cells only)</t>
  </si>
  <si>
    <t>Y/N</t>
  </si>
  <si>
    <t>White cells:</t>
  </si>
  <si>
    <t>Yellow cells:</t>
  </si>
  <si>
    <t>Important for translators, in this sheet:</t>
  </si>
  <si>
    <t xml:space="preserve">This page includes country specific data for population, access to electricity and number of dental personnel. </t>
  </si>
  <si>
    <t xml:space="preserve">These data are used in background calculations and should not be altered by users. </t>
  </si>
  <si>
    <t>UNEP may update data here regularly, as updates become available and as feasible.</t>
  </si>
  <si>
    <t>Country</t>
  </si>
  <si>
    <t>Afghanistan</t>
  </si>
  <si>
    <t>Algeria</t>
  </si>
  <si>
    <t>Angola</t>
  </si>
  <si>
    <t>Argentina</t>
  </si>
  <si>
    <t>Armenia</t>
  </si>
  <si>
    <t>Austria</t>
  </si>
  <si>
    <t>Bahrain</t>
  </si>
  <si>
    <t>Bangladesh</t>
  </si>
  <si>
    <t>Belgium</t>
  </si>
  <si>
    <t>Benin</t>
  </si>
  <si>
    <t>Bolivia</t>
  </si>
  <si>
    <t>Botswana</t>
  </si>
  <si>
    <t>Brazil</t>
  </si>
  <si>
    <t>Brunei Darussalam</t>
  </si>
  <si>
    <t>Burkina Faso</t>
  </si>
  <si>
    <t>Cambodia</t>
  </si>
  <si>
    <t>Cameroon</t>
  </si>
  <si>
    <t>Chile</t>
  </si>
  <si>
    <t>China</t>
  </si>
  <si>
    <t>Colombia</t>
  </si>
  <si>
    <t>Costa Rica</t>
  </si>
  <si>
    <t>Côte d'Ivoire</t>
  </si>
  <si>
    <t>Cuba</t>
  </si>
  <si>
    <t>Democratic People's Republic of Korea</t>
  </si>
  <si>
    <t>Democratic Republic of the Congo</t>
  </si>
  <si>
    <t>Denmark</t>
  </si>
  <si>
    <t>Dominican Republic</t>
  </si>
  <si>
    <t>Ecuador</t>
  </si>
  <si>
    <t>Egypt</t>
  </si>
  <si>
    <t>El Salvador</t>
  </si>
  <si>
    <t>Eritrea</t>
  </si>
  <si>
    <t>Fiji</t>
  </si>
  <si>
    <t>Finland</t>
  </si>
  <si>
    <t>France</t>
  </si>
  <si>
    <t>Gabon</t>
  </si>
  <si>
    <t>Germany</t>
  </si>
  <si>
    <t>Ghana</t>
  </si>
  <si>
    <t>Greece</t>
  </si>
  <si>
    <t>Guatemala</t>
  </si>
  <si>
    <t>Haiti</t>
  </si>
  <si>
    <t>Honduras</t>
  </si>
  <si>
    <t>Iceland</t>
  </si>
  <si>
    <t>India</t>
  </si>
  <si>
    <t>Indonesia</t>
  </si>
  <si>
    <t>Iran, Islamic Republic of</t>
  </si>
  <si>
    <t>Iraq</t>
  </si>
  <si>
    <t>Ireland</t>
  </si>
  <si>
    <t>Israel</t>
  </si>
  <si>
    <t>Italy</t>
  </si>
  <si>
    <t>Jamaica</t>
  </si>
  <si>
    <t>Jordan</t>
  </si>
  <si>
    <t>Kenya</t>
  </si>
  <si>
    <t>Kuwait</t>
  </si>
  <si>
    <t>Kyrgyzstan</t>
  </si>
  <si>
    <t>Lao People's Democratic Republic</t>
  </si>
  <si>
    <t>Lebanon</t>
  </si>
  <si>
    <t>Lesotho</t>
  </si>
  <si>
    <t>Libyan Arab Jamahiriya</t>
  </si>
  <si>
    <t>Luxembourg</t>
  </si>
  <si>
    <t>Madagascar</t>
  </si>
  <si>
    <t>Malaysia</t>
  </si>
  <si>
    <t>Malta</t>
  </si>
  <si>
    <t>Mauritius</t>
  </si>
  <si>
    <t>Monaco</t>
  </si>
  <si>
    <t>Morocco</t>
  </si>
  <si>
    <t>Mozambique</t>
  </si>
  <si>
    <t>Myanmar</t>
  </si>
  <si>
    <t>Namibia</t>
  </si>
  <si>
    <t>Nepal</t>
  </si>
  <si>
    <t>Netherlands</t>
  </si>
  <si>
    <t>Nicaragua</t>
  </si>
  <si>
    <t>Nigeria</t>
  </si>
  <si>
    <t>Norway</t>
  </si>
  <si>
    <t>Oman</t>
  </si>
  <si>
    <t>Pakistan</t>
  </si>
  <si>
    <t>Panama</t>
  </si>
  <si>
    <t>Paraguay</t>
  </si>
  <si>
    <t>Peru</t>
  </si>
  <si>
    <t>Philippines</t>
  </si>
  <si>
    <t>Portugal</t>
  </si>
  <si>
    <t>Qatar</t>
  </si>
  <si>
    <t>Romania</t>
  </si>
  <si>
    <t>Saint Kitts and Nevis</t>
  </si>
  <si>
    <t>Saint Lucia</t>
  </si>
  <si>
    <t>Samoa</t>
  </si>
  <si>
    <t>Saudi Arabia</t>
  </si>
  <si>
    <t>Senegal</t>
  </si>
  <si>
    <t>Slovakia</t>
  </si>
  <si>
    <t>Slovenia</t>
  </si>
  <si>
    <t>South Africa</t>
  </si>
  <si>
    <t>Spain</t>
  </si>
  <si>
    <t>Sri Lanka</t>
  </si>
  <si>
    <t>Sudan</t>
  </si>
  <si>
    <t>Sweden</t>
  </si>
  <si>
    <t>Switzerland</t>
  </si>
  <si>
    <t>Syrian Arab Republic</t>
  </si>
  <si>
    <t>Thailand</t>
  </si>
  <si>
    <t>Timor-Leste</t>
  </si>
  <si>
    <t>Togo</t>
  </si>
  <si>
    <t>Tonga</t>
  </si>
  <si>
    <t>Trinidad and Tobago</t>
  </si>
  <si>
    <t>Tunisia</t>
  </si>
  <si>
    <t>Uganda</t>
  </si>
  <si>
    <t>Ukraine</t>
  </si>
  <si>
    <t>United Arab Emirates</t>
  </si>
  <si>
    <t>United Kingdom</t>
  </si>
  <si>
    <t>United Republic of Tanzania</t>
  </si>
  <si>
    <t>United States of America</t>
  </si>
  <si>
    <t>Uruguay</t>
  </si>
  <si>
    <t>Uzbekistan</t>
  </si>
  <si>
    <t>Venezuela, Bolivarian Republic of</t>
  </si>
  <si>
    <t>Yemen</t>
  </si>
  <si>
    <t>Zambia</t>
  </si>
  <si>
    <t>Zimbabwe</t>
  </si>
  <si>
    <r>
      <t xml:space="preserve">Figures computed by WHO to ensure comparability; </t>
    </r>
    <r>
      <rPr>
        <sz val="10"/>
        <rFont val="Arial"/>
        <family val="2"/>
      </rPr>
      <t>they are not necessarily the official statistics of Member States, which may use alternative rigorous methods. See explanatory notes for sources and methods.</t>
    </r>
  </si>
  <si>
    <t>o</t>
  </si>
  <si>
    <t>Other non-OECD country</t>
  </si>
  <si>
    <t>Other OECD country</t>
  </si>
  <si>
    <t>Viet Nam*4</t>
  </si>
  <si>
    <t>OECD average of dental density</t>
  </si>
  <si>
    <t>Non-OECD 20% percentile</t>
  </si>
  <si>
    <t>*4: Dental personnel density assumed as average of Lao and Cambodia</t>
  </si>
  <si>
    <t>Montenegro*5</t>
  </si>
  <si>
    <t>For non-OECD countries with dental personnel density values below the 20% percentile for this group in the original data, the 20% percentile was used in calculations in order to eliminate errors of reporting.</t>
  </si>
  <si>
    <t>Non-OECD average of dental personnel density</t>
  </si>
  <si>
    <t>d</t>
  </si>
  <si>
    <t>o,d</t>
  </si>
  <si>
    <t>Electrification rate *2</t>
  </si>
  <si>
    <t>Albania*8</t>
  </si>
  <si>
    <t>Andorra*7</t>
  </si>
  <si>
    <t>Antigua and Barbuda*8</t>
  </si>
  <si>
    <t>Australia*8</t>
  </si>
  <si>
    <t>Azerbaijan*8</t>
  </si>
  <si>
    <t>Bahamas*8</t>
  </si>
  <si>
    <t>Barbados*8</t>
  </si>
  <si>
    <t>Belarus*9</t>
  </si>
  <si>
    <t>Belize*8</t>
  </si>
  <si>
    <t>Bhutan*6</t>
  </si>
  <si>
    <t>Bosnia and Herzegovina*6</t>
  </si>
  <si>
    <t>Bulgaria*8</t>
  </si>
  <si>
    <t>Burundi*6</t>
  </si>
  <si>
    <t>Canada*9</t>
  </si>
  <si>
    <t>Cape Verde*6</t>
  </si>
  <si>
    <t>Central African Republic*6</t>
  </si>
  <si>
    <t>Chad*6</t>
  </si>
  <si>
    <t>Comoros*6</t>
  </si>
  <si>
    <t>Republic of the Congo</t>
  </si>
  <si>
    <t>Cook Islands*8</t>
  </si>
  <si>
    <t>Croatia*8</t>
  </si>
  <si>
    <t>Cyprus*9</t>
  </si>
  <si>
    <t>Czech Republic*8</t>
  </si>
  <si>
    <t>Djibouti*6</t>
  </si>
  <si>
    <t>Dominica*6</t>
  </si>
  <si>
    <t>Estonia*8</t>
  </si>
  <si>
    <t>Gambia*6</t>
  </si>
  <si>
    <t>Georgia*6</t>
  </si>
  <si>
    <t>Grenada*8</t>
  </si>
  <si>
    <t>Guinea*6</t>
  </si>
  <si>
    <t>Guinea-Bissau*6</t>
  </si>
  <si>
    <t>Guyana*6</t>
  </si>
  <si>
    <t>Hungary*8</t>
  </si>
  <si>
    <t>Japan*8</t>
  </si>
  <si>
    <t>Kazakhstan*9</t>
  </si>
  <si>
    <t>Latvia*8</t>
  </si>
  <si>
    <t>Liberia*6</t>
  </si>
  <si>
    <t>Lithuania*8</t>
  </si>
  <si>
    <t>Maldives*6</t>
  </si>
  <si>
    <t>Mali*6</t>
  </si>
  <si>
    <t>Marshall Islands*8</t>
  </si>
  <si>
    <t>Mauritania*8</t>
  </si>
  <si>
    <t>Mexico*8</t>
  </si>
  <si>
    <t>Micronesia, Federated States of*8</t>
  </si>
  <si>
    <t>Mongolia*8</t>
  </si>
  <si>
    <t>New Zealand*8</t>
  </si>
  <si>
    <t>Niger*8</t>
  </si>
  <si>
    <t>Niue*8</t>
  </si>
  <si>
    <t>Palau*8</t>
  </si>
  <si>
    <t>Papua New Guinea*6</t>
  </si>
  <si>
    <t>Poland*8</t>
  </si>
  <si>
    <t>Republic of Korea*8</t>
  </si>
  <si>
    <t>Republic of Moldova*6</t>
  </si>
  <si>
    <t>Russian Federation*8</t>
  </si>
  <si>
    <t>Rwanda*6</t>
  </si>
  <si>
    <t>Saint Vincent and the Grenadines*6</t>
  </si>
  <si>
    <t>San Marino*9</t>
  </si>
  <si>
    <t>Sao Tome and Principe*8</t>
  </si>
  <si>
    <t>Serbia*5*8</t>
  </si>
  <si>
    <t>Seychelles*8</t>
  </si>
  <si>
    <t>Sierra Leone*6</t>
  </si>
  <si>
    <t>Singapore*8</t>
  </si>
  <si>
    <t>Solomon Islands*6</t>
  </si>
  <si>
    <t>Somalia*8</t>
  </si>
  <si>
    <t>Suriname*8</t>
  </si>
  <si>
    <t>Tajikistan*8</t>
  </si>
  <si>
    <t>The former Yugoslav Republic of Macedonia*8</t>
  </si>
  <si>
    <t>Turkey*8</t>
  </si>
  <si>
    <t>Turkmenistan*8</t>
  </si>
  <si>
    <t>Tuvalu*8</t>
  </si>
  <si>
    <t>*1: Source: WHO: World health report 2006, Annex, Table 4: Global distribution of health workers in WHO Member States. Accessed June 2012</t>
  </si>
  <si>
    <t>http://www.who.int/whr/2006/annex/en/index.html</t>
  </si>
  <si>
    <t>*2: Percent of population with access to electricity. Data source: IEA, Electricity access Today – WEO-2011 new Electricity access Database (2009 data country-by-country), accessed June 2012. Except for a few countries; see notes *6, *8 and *9.</t>
  </si>
  <si>
    <t>http://www.worldenergyoutlook.org/resources/energydevelopment/accesstoelectricity/</t>
  </si>
  <si>
    <t>*5: Assumed as Serbia and Montenegro in 2002 (or 2007, see report)</t>
  </si>
  <si>
    <t>http://www.reeep.org/file_upload/296_tmpphpW16ncV.pdf</t>
  </si>
  <si>
    <t xml:space="preserve">*6 Data source for electrification rate: Datamarket.com, accessed Aug. 2012. Data compiled by World Bank staff from households surveys. </t>
  </si>
  <si>
    <t>http://datamarket.com/data/set/1459/household-electrification-rate-of-households#!display=line&amp;ds=1459!g6f=6.12.15.n.g</t>
  </si>
  <si>
    <t>*7 Electrification rate assumed as Spain, Italy and France.</t>
  </si>
  <si>
    <t>*8  Data source for electrification rate: reegle www.regel.info -&gt; Resources &amp; Services (mostly 2000 data)</t>
  </si>
  <si>
    <t>http://www.reegle.info/countries</t>
  </si>
  <si>
    <t>*9  Data source for electrification rate: The U.S. National geophysical data center: If no other data/estimations were available, this source was used. The data are based on areas with electrification, and not by population.</t>
  </si>
  <si>
    <t>http://www.ngdc.noaa.gov/dmsp/pubs/Elvidge_WINTD_20091022.pdf</t>
  </si>
  <si>
    <t>Dental personnel per 1000 inhabitants (adjusted)*1</t>
  </si>
  <si>
    <t>Dental personnel per 1000 inhabitants (original WHO data)</t>
  </si>
  <si>
    <t>Year for dental personnel data*1</t>
  </si>
  <si>
    <t>o=OECD countries/d= countries in EIA electrification list</t>
  </si>
  <si>
    <t>*10: Assumed = average of (mainland) China and Japan.</t>
  </si>
  <si>
    <t>Chinese Taipei/Taiwan*10</t>
  </si>
  <si>
    <t>*11: Electrification rate assumed as Gabon.</t>
  </si>
  <si>
    <t>Equatorial Guinea*11</t>
  </si>
  <si>
    <t>Kiribati*12</t>
  </si>
  <si>
    <t>*12: Electrification rate assumed as Micronesia, Federated States of.</t>
  </si>
  <si>
    <t>Ethiopia*8*13</t>
  </si>
  <si>
    <t>Non-OECD average, electrification rates</t>
  </si>
  <si>
    <t>Tanzania*6*13</t>
  </si>
  <si>
    <t>*13: Dental personnel density assumed as Kenya.</t>
  </si>
  <si>
    <t>Nauru*8*12</t>
  </si>
  <si>
    <t>Malawi*14</t>
  </si>
  <si>
    <t>*14: Dental personnel density assumed as Mozambique.</t>
  </si>
  <si>
    <t>Vanuatu*8*12</t>
  </si>
  <si>
    <t>IMPORTANT NOTE:</t>
  </si>
  <si>
    <t>Hg input</t>
  </si>
  <si>
    <t>Aggregates</t>
  </si>
  <si>
    <t>More than 2/3 (two thirds; 67%) of the general waste is collected and deposited on lined landfills or incinerated with pollution abatement</t>
  </si>
  <si>
    <t>Less than 2/3 (two thirds; 67%) of the general waste is collected and deposited on lined landfills or incinerated with pollution abatement</t>
  </si>
  <si>
    <t>Production of products with mercury content*4</t>
  </si>
  <si>
    <t>1 - 66</t>
  </si>
  <si>
    <t>5 - 130</t>
  </si>
  <si>
    <t>Smelters with wet gas cleaning and acid plant</t>
  </si>
  <si>
    <t>1-100</t>
  </si>
  <si>
    <t>2-60</t>
  </si>
  <si>
    <t>1 - 30</t>
  </si>
  <si>
    <t>/without  co-incineration of waste</t>
  </si>
  <si>
    <t>/with co-incineration of waste</t>
  </si>
  <si>
    <t>0.004 – 0.5</t>
  </si>
  <si>
    <t>0.06 – 1</t>
  </si>
  <si>
    <t>10 - 200</t>
  </si>
  <si>
    <t>1.3</t>
  </si>
  <si>
    <t>Extraction from whole ore (no retort use)</t>
  </si>
  <si>
    <t>Extraction from concentrate  (no retort use)</t>
  </si>
  <si>
    <t>Extraction from concentrate and with use of retorts and mercury recycling</t>
  </si>
  <si>
    <t>Universal maximum</t>
  </si>
  <si>
    <t>Country-specific threshold</t>
  </si>
  <si>
    <t>(threshold times population)</t>
  </si>
  <si>
    <t>Hg input, kg/y</t>
  </si>
  <si>
    <t>Safety factor</t>
  </si>
  <si>
    <t>(general:)</t>
  </si>
  <si>
    <t xml:space="preserve">SKIP - -NO DATA </t>
  </si>
  <si>
    <t>SKIP -no need</t>
  </si>
  <si>
    <t>(custom factors in red based on expert judgement)</t>
  </si>
  <si>
    <t>Resulting generic threshold/per capita</t>
  </si>
  <si>
    <t>Hg input, kg/(capita*y)</t>
  </si>
  <si>
    <t>User input</t>
  </si>
  <si>
    <t>User input within bounds?</t>
  </si>
  <si>
    <t>Electricification rate, %</t>
  </si>
  <si>
    <t>**</t>
  </si>
  <si>
    <t>CREMATORIA AND CEMETERIES</t>
  </si>
  <si>
    <t>instead of the results shown above for the same source sub-categories. See the sheet "Insert IL2 results" for details.</t>
  </si>
  <si>
    <t>Note: Data for some of these source sub-categories were entered in the sheet "Insert IL2 results". The calculations shown above for the same source sub-categories are overruled by the IL2 results, and the IL2 results are shown in all summary and chart sheets.</t>
  </si>
  <si>
    <t>/Combustion of coal mix scenario (special for IL1): 1/3 bituminous, 1/3 sub-bituminous and 1/3 lignite</t>
  </si>
  <si>
    <t>Level 0: None</t>
  </si>
  <si>
    <t>Level 1: Particulate matter simple APC: ESP/PS/CYC</t>
  </si>
  <si>
    <t>Level 2: Particulate matter (FF)</t>
  </si>
  <si>
    <t>Level 3: Efficient APC: PM+SDA/wFGD</t>
  </si>
  <si>
    <t>Level 4: Very efficient APC: PM+FGD+SCR</t>
  </si>
  <si>
    <t>Level 5: Mercury specific filters</t>
  </si>
  <si>
    <t>Coal combustion in coal fired industrial boilers</t>
  </si>
  <si>
    <t>5.1.2.1</t>
  </si>
  <si>
    <t>5.1.2.2</t>
  </si>
  <si>
    <t>/Combustion in industrial boilers of coal mix scenario (special for IL1): 1/3 bituminous, 1/3 sub-bituminous and 1/3 lignite</t>
  </si>
  <si>
    <t>Power plants with cESP and FGD</t>
  </si>
  <si>
    <t>Smelter with no filters or only coarse, dry PM retention</t>
  </si>
  <si>
    <t>Smelters with wet gas cleaning</t>
  </si>
  <si>
    <t>Smelters with wet gas cleaning, acid plant and Hg specific filter</t>
  </si>
  <si>
    <t>IL2 Spreadsheet of UNEP Chemicals' Toolkit for identification and quantification of mercury releases</t>
  </si>
  <si>
    <t>IL2 spreadsheet of UNEP Chemicals' Toolkit for identification and quantification of mercury releases</t>
  </si>
  <si>
    <t>With no filters</t>
  </si>
  <si>
    <t>With filters an no filter dust recycling:</t>
  </si>
  <si>
    <t>Simple particle control (ESP / PS / FF)</t>
  </si>
  <si>
    <t>Optimized particle control (FF+SNCR / FF+WS / ESP+FGD / optimized FF)</t>
  </si>
  <si>
    <t>Efficient Hg pollution control (FF+DS / ESP+DS / ESP+WS / ESP+SNCR)</t>
  </si>
  <si>
    <t>Very efficient Hg pollution control (wetFGD+ACI / FF+scrubber+SNCR)</t>
  </si>
  <si>
    <t>With filters and filter dust recycling *2:</t>
  </si>
  <si>
    <t>Very efficient Hg pollution control (wetFGD+ACI/FF+scrubber+SNCR)</t>
  </si>
  <si>
    <t>Petroleum coke (pet coke)</t>
  </si>
  <si>
    <t>0.001-0.008</t>
  </si>
  <si>
    <t>g Hg/ t cement produced with this fuel</t>
  </si>
  <si>
    <t>Cement produced with this fuel as primary fuel, t/y</t>
  </si>
  <si>
    <t>Hard coal (anthrasite, bituminous or coking coal)</t>
  </si>
  <si>
    <t>0.006-0.05</t>
  </si>
  <si>
    <t>Lignite (brown coal)</t>
  </si>
  <si>
    <t>Fuel oil</t>
  </si>
  <si>
    <t>0.001-0.007</t>
  </si>
  <si>
    <t>Natural gas</t>
  </si>
  <si>
    <t>0.000000002-0.00000003</t>
  </si>
  <si>
    <t>Automatically calculated total of cement produced. Must equal cell I19.</t>
  </si>
  <si>
    <t>Kg Hg/y (incl. fossil fuel contributions)</t>
  </si>
  <si>
    <t>0.005-0.04</t>
  </si>
  <si>
    <t>0.008-0.08</t>
  </si>
  <si>
    <t>0.001-0.006</t>
  </si>
  <si>
    <t>Mercury specific absorbents (and downstream FF)</t>
  </si>
  <si>
    <t>t sludge incinerated/y (dry matter basis)</t>
  </si>
  <si>
    <t>Informal waste burning (open fire waste burning on landfills and informally)</t>
  </si>
  <si>
    <t>(Output scenario (a3) is not relevant as PUR is not considered a waste type to be collected separately)</t>
  </si>
  <si>
    <t>Other coal combustion (in IL1 considered 33/33/33% coal mix as for industrial boilers above)</t>
  </si>
  <si>
    <t>0.009-0.04</t>
  </si>
  <si>
    <t>0.0007-0.007</t>
  </si>
  <si>
    <t>- Fossil fuels used in production (in IL1, and equal mix of energy inputs from fossil fuels pet coal, hard coal, lignite, fuel oil and natural gas is assumed)</t>
  </si>
  <si>
    <t>Error: Sum of entered % must not exceed 100</t>
  </si>
  <si>
    <t>Extraction from whole ore with retort use and mercury recycling</t>
  </si>
  <si>
    <t>Include Hg controls in estimation? (y/n)</t>
  </si>
  <si>
    <t>Hg unaccounted for under "Sector specific treatment/disposal" (a</t>
  </si>
  <si>
    <t>Hg unaccounted for as releases (a</t>
  </si>
  <si>
    <t>(a: These two possible presentation forms pertain to the way "unaccounted losses" is chosen to be presented - see the Toolkit report section. It is up to the users to decide which one of the release presentations they choose.</t>
  </si>
  <si>
    <t>t NaOH/ t Cl2</t>
  </si>
  <si>
    <t>European Commission, 2001b, p.7</t>
  </si>
  <si>
    <t>No emissions controls</t>
  </si>
  <si>
    <t>- Fossil fuels used in production (in IL1, and equal mix of energy inputs from fossil fuels pet coke, hard coal, lignite, fuel oil and natural gas is assumed)</t>
  </si>
  <si>
    <t>More than 1/3 (one third = 33%) of the mercury-added products waste is safely collected and treated separately</t>
  </si>
  <si>
    <t>Less than 1/3 (one third = 33%) of the mercury-added products waste is safely collected and treated separately</t>
  </si>
  <si>
    <t>Answer Y or N in cells B4 and E4 in the sheet 'Step5 - Waste treatment + recycling'</t>
  </si>
  <si>
    <t>See Step5 B4, E4</t>
  </si>
  <si>
    <t>Mid-range fossil fuel amounts per t cement produced</t>
  </si>
  <si>
    <t>Calculated fuel inputs</t>
  </si>
  <si>
    <t>t fuel/t cement</t>
  </si>
  <si>
    <t>t fuel/y</t>
  </si>
  <si>
    <t>m³ gas/t cement</t>
  </si>
  <si>
    <t>m³ gas/y</t>
  </si>
  <si>
    <t>Cement production, fossil fuel amounts calculations (a</t>
  </si>
  <si>
    <t>Cement production, fossil fuel Hg inputs and releases with default factors</t>
  </si>
  <si>
    <t>Calculated Hg output from fossil fuels, Kg/y</t>
  </si>
  <si>
    <t>Calculat. Hg input from fossils, kg/y</t>
  </si>
  <si>
    <t>Cement production*5</t>
  </si>
  <si>
    <t>Cement production*3</t>
  </si>
  <si>
    <t>Cement production*4</t>
  </si>
  <si>
    <t>You have erased a link here. To re-establish it enter: =B23</t>
  </si>
  <si>
    <t>/From whole ore /with retort use and mercury recycling</t>
  </si>
  <si>
    <t>/From concentrate /with retort use and mercury recycling</t>
  </si>
  <si>
    <t>4.25</t>
  </si>
  <si>
    <t>0.55</t>
  </si>
  <si>
    <t>January, 2017</t>
  </si>
  <si>
    <t>The Estimated Hg input (or equivalent inserted IL2 results) marked in red colour is very high compared to previous observations. Data may be correct, but please confirm your activity rate data (or inserted IL2 data)</t>
  </si>
  <si>
    <t xml:space="preserve">Please note that the conditional formatting for Hg controls currnetly works for the following: EN: "y", ES:"s", FR:"O" and RU:"DA". If further translations are wanted to be added, the conditional formatting formulas must be updated accordingly. </t>
  </si>
  <si>
    <t>Kit de herramientas para la identificación y cuantificación de emisiones de mercurio del PNUMA: hoja de cálculo del nivel de inventario 1</t>
  </si>
  <si>
    <r>
      <rPr>
        <b/>
        <sz val="10"/>
        <rFont val="Arial"/>
        <family val="2"/>
      </rPr>
      <t>INVENTARIO DE MERCURIO PARA (INGRESAR NOMBRE DEL PAÍS):</t>
    </r>
  </si>
  <si>
    <r>
      <rPr>
        <b/>
        <sz val="10"/>
        <rFont val="Arial"/>
        <family val="2"/>
      </rPr>
      <t>Datos generales de población</t>
    </r>
  </si>
  <si>
    <t>Población (seleccionar el país más adelante para obtener la población)</t>
  </si>
  <si>
    <r>
      <rPr>
        <sz val="10"/>
        <rFont val="Arial"/>
        <family val="2"/>
      </rPr>
      <t>Año y referencia de los datos de población</t>
    </r>
  </si>
  <si>
    <t>PIB (producto interno bruto)</t>
  </si>
  <si>
    <t>Año y referencia de los datos del PIB</t>
  </si>
  <si>
    <r>
      <rPr>
        <sz val="10"/>
        <rFont val="Arial"/>
        <family val="2"/>
      </rPr>
      <t>Principales sectores de la economía del país (lista)</t>
    </r>
  </si>
  <si>
    <r>
      <rPr>
        <b/>
        <sz val="10"/>
        <rFont val="Arial"/>
        <family val="2"/>
      </rPr>
      <t>Punto de contacto responsable del inventario</t>
    </r>
  </si>
  <si>
    <r>
      <rPr>
        <sz val="10"/>
        <rFont val="Arial"/>
        <family val="2"/>
      </rPr>
      <t>Nombre completo de la institución</t>
    </r>
  </si>
  <si>
    <r>
      <rPr>
        <sz val="10"/>
        <rFont val="Arial"/>
        <family val="2"/>
      </rPr>
      <t>Persona de contacto</t>
    </r>
  </si>
  <si>
    <r>
      <rPr>
        <sz val="10"/>
        <rFont val="Arial"/>
        <family val="2"/>
      </rPr>
      <t>Dirección de correo electrónico</t>
    </r>
  </si>
  <si>
    <r>
      <rPr>
        <sz val="10"/>
        <rFont val="Arial"/>
        <family val="2"/>
      </rPr>
      <t>Número de teléfono</t>
    </r>
  </si>
  <si>
    <r>
      <rPr>
        <sz val="10"/>
        <rFont val="Arial"/>
        <family val="2"/>
      </rPr>
      <t>Número de fax</t>
    </r>
  </si>
  <si>
    <t>Sitio web de la institución</t>
  </si>
  <si>
    <r>
      <rPr>
        <b/>
        <sz val="10"/>
        <rFont val="Arial"/>
        <family val="2"/>
      </rPr>
      <t>ANTECEDENTES NECESARIOS PARA LOS CÁLCULOS PREDETERMINADOS Y LA PRUEBA DE RANGO</t>
    </r>
  </si>
  <si>
    <r>
      <rPr>
        <b/>
        <sz val="10"/>
        <rFont val="Arial"/>
        <family val="2"/>
      </rPr>
      <t>Obligatorio:</t>
    </r>
    <r>
      <rPr>
        <sz val="10"/>
        <rFont val="Arial"/>
        <family val="2"/>
      </rPr>
      <t xml:space="preserve"> Haga clic en la siguiente celda y seleccione un país de la lista</t>
    </r>
  </si>
  <si>
    <r>
      <rPr>
        <sz val="10"/>
        <rFont val="Arial"/>
        <family val="2"/>
      </rPr>
      <t>Personal odontológico cada 1000 habitantes</t>
    </r>
  </si>
  <si>
    <r>
      <rPr>
        <sz val="10"/>
        <rFont val="Arial"/>
        <family val="2"/>
      </rPr>
      <t>Tasa de electrificación,% de población con acceso a la electricidad</t>
    </r>
  </si>
  <si>
    <r>
      <rPr>
        <sz val="10"/>
        <rFont val="Arial"/>
        <family val="2"/>
      </rPr>
      <t>Notas: Ver el Apéndice 1 de la pauta de nivel de inventario 1 para obtener información sobre los antecedentes de los números.</t>
    </r>
  </si>
  <si>
    <t>Ver las secciones pertinentes del informe de referencia del kit de herramientas para consultar las referencias.</t>
  </si>
  <si>
    <r>
      <rPr>
        <b/>
        <sz val="10"/>
        <rFont val="Arial"/>
        <family val="2"/>
      </rPr>
      <t>Inventarios de territorios que no son países:</t>
    </r>
    <r>
      <rPr>
        <sz val="10"/>
        <rFont val="Arial"/>
        <family val="2"/>
      </rPr>
      <t xml:space="preserve"> En caso de que se esté haciendo este inventario para un territorio que no es un país (una ciudad, una región, etc.), se debe seleccionar un país que se corresponda con las condiciones predominantes en el territorio,</t>
    </r>
  </si>
  <si>
    <t>dado que así se ajustan las estimaciones calculadas en función de estas condiciones. Sin embargo, TAMBIÉN deberá ingresar la población del territorio MANUALMENTE en la celda B6 que aparece más arriba (sobrescriba el número que aparece automáticamente).</t>
  </si>
  <si>
    <r>
      <rPr>
        <sz val="10"/>
        <rFont val="Arial"/>
        <family val="2"/>
      </rPr>
      <t>Tenga en cuenta también que las hojas y el libro de trabajo de la hoja de cálculo están protegidos con una contraseña para evitar que se estropeen los cálculos de forma involuntaria.</t>
    </r>
  </si>
  <si>
    <r>
      <rPr>
        <b/>
        <sz val="10"/>
        <rFont val="Arial"/>
        <family val="2"/>
      </rPr>
      <t>Delimitación de responsabilidades:</t>
    </r>
  </si>
  <si>
    <r>
      <rPr>
        <sz val="10"/>
        <rFont val="Arial"/>
        <family val="2"/>
      </rPr>
      <t>Las designaciones empleadas y la presentación del material de esta publicación no implican la expresión de ningún tipo de opinión por parte del Programa de Naciones Unidas para el Medio Ambiente respecto de la situación jurídica de país, territorio, ciudad o área alguno o de sus autoridades, fronteras o límites. Es más, las opiniones expresadas no necesariamente representan la decisión o la política establecida del Programa de las Naciones Unidas para el Medioambiente. Del mismo modo, la citación de nombres o procesos comerciales no constituyen un apoyo a ellos.</t>
    </r>
  </si>
  <si>
    <r>
      <rPr>
        <sz val="10"/>
        <rFont val="Arial"/>
        <family val="2"/>
      </rPr>
      <t>El fin de esta publicación es servir como guía. Si bien se cree que la información proporcionada es exacta, el PNUMA deniega toda responsabilidad por posibles inexactitudes u omisiones y por las consecuencias que de ellas puedan derivarse. Ni el PNUMA ni persona alguna que haya participado en esta publicación será responsable por ningún tipo de lesión, pérdida, daño o perjuicio que pueda ser causado por personas cuyas acciones se hayan basado en su entendimiento de la información contenida en esta publicación.</t>
    </r>
  </si>
  <si>
    <r>
      <rPr>
        <b/>
        <sz val="10"/>
        <rFont val="Arial"/>
        <family val="2"/>
      </rPr>
      <t>Versión:</t>
    </r>
  </si>
  <si>
    <t>¿Presente?</t>
  </si>
  <si>
    <t>S</t>
  </si>
  <si>
    <r>
      <rPr>
        <sz val="10"/>
        <rFont val="Arial"/>
        <family val="2"/>
      </rPr>
      <t>N</t>
    </r>
  </si>
  <si>
    <r>
      <rPr>
        <sz val="10"/>
        <rFont val="Arial"/>
        <family val="2"/>
      </rPr>
      <t>?</t>
    </r>
  </si>
  <si>
    <r>
      <rPr>
        <sz val="10"/>
        <rFont val="Arial"/>
        <family val="2"/>
      </rPr>
      <t>Más de 2/3 (dos tercios: 67 %) de los desechos generales se recogen y depositan en vertederos revestidos o incineran con reducción de la contaminación</t>
    </r>
  </si>
  <si>
    <r>
      <rPr>
        <sz val="10"/>
        <rFont val="Arial"/>
        <family val="2"/>
      </rPr>
      <t>Menos de 2/3 (dos tercios: 67 %) de los desechos generales se recogen y depositan en vertederos revestidos o incineran con reducción de la contaminación</t>
    </r>
  </si>
  <si>
    <r>
      <rPr>
        <sz val="10"/>
        <rFont val="Arial"/>
        <family val="2"/>
      </rPr>
      <t>Responda S o N en la celda B4 de la hoja "Paso 5 - Tratamiento + reciclaje de desechos"</t>
    </r>
  </si>
  <si>
    <r>
      <rPr>
        <sz val="10"/>
        <rFont val="Arial"/>
        <family val="2"/>
      </rPr>
      <t>Ver celda F4 en el Paso 5</t>
    </r>
  </si>
  <si>
    <t>Categoría de fuente</t>
  </si>
  <si>
    <r>
      <rPr>
        <sz val="10"/>
        <rFont val="Arial"/>
        <family val="2"/>
      </rPr>
      <t>¿Fuente presente?</t>
    </r>
  </si>
  <si>
    <t>Caudal de actividad</t>
  </si>
  <si>
    <t>¿Fuente presente?</t>
  </si>
  <si>
    <t>Consumo de energía</t>
  </si>
  <si>
    <t>Consumo/producción anual</t>
  </si>
  <si>
    <t>Unidad</t>
  </si>
  <si>
    <r>
      <rPr>
        <sz val="10"/>
        <rFont val="Arial"/>
        <family val="2"/>
      </rPr>
      <t>Entrada estimada de Hg, kg Hg/a</t>
    </r>
  </si>
  <si>
    <r>
      <rPr>
        <sz val="10"/>
        <rFont val="Arial"/>
        <family val="2"/>
      </rPr>
      <t>Emisiones estimadas de Hg, estimaciones estándar, kg Hg/a</t>
    </r>
  </si>
  <si>
    <r>
      <rPr>
        <sz val="10"/>
        <rFont val="Arial"/>
        <family val="2"/>
      </rPr>
      <t>Estimación estándar</t>
    </r>
  </si>
  <si>
    <r>
      <rPr>
        <sz val="10"/>
        <rFont val="Arial"/>
        <family val="2"/>
      </rPr>
      <t>Aire</t>
    </r>
  </si>
  <si>
    <r>
      <rPr>
        <sz val="10"/>
        <rFont val="Arial"/>
        <family val="2"/>
      </rPr>
      <t>Agua</t>
    </r>
  </si>
  <si>
    <r>
      <rPr>
        <sz val="10"/>
        <rFont val="Arial"/>
        <family val="2"/>
      </rPr>
      <t>Tierra</t>
    </r>
  </si>
  <si>
    <r>
      <rPr>
        <sz val="10"/>
        <rFont val="Arial"/>
        <family val="2"/>
      </rPr>
      <t>Subproductos e impurezas</t>
    </r>
  </si>
  <si>
    <r>
      <rPr>
        <sz val="10"/>
        <rFont val="Arial"/>
        <family val="2"/>
      </rPr>
      <t>Desechos generales</t>
    </r>
  </si>
  <si>
    <r>
      <rPr>
        <sz val="10"/>
        <rFont val="Arial"/>
        <family val="2"/>
      </rPr>
      <t>Tratamiento/eliminación de desechos específico del sector</t>
    </r>
  </si>
  <si>
    <r>
      <rPr>
        <sz val="10"/>
        <rFont val="Arial"/>
        <family val="2"/>
      </rPr>
      <t>Notas:</t>
    </r>
  </si>
  <si>
    <t>Entrada estimada de Hg, kg Hg/a</t>
  </si>
  <si>
    <t>Emisiones estimadas de Hg, estimaciones estándar, kg Hg/a</t>
  </si>
  <si>
    <t>Estimación estándar</t>
  </si>
  <si>
    <t>Aire</t>
  </si>
  <si>
    <t>Agua</t>
  </si>
  <si>
    <t>Tierra</t>
  </si>
  <si>
    <t>Subproductos e impurezas</t>
  </si>
  <si>
    <t>Desechos generales</t>
  </si>
  <si>
    <t>Tratamiento/eliminación de desechos específico del sector</t>
  </si>
  <si>
    <t>N.o de cat.</t>
  </si>
  <si>
    <t>Notas:</t>
  </si>
  <si>
    <r>
      <rPr>
        <sz val="10"/>
        <rFont val="Arial"/>
        <family val="2"/>
      </rPr>
      <t>Carbón quemado, t/a</t>
    </r>
    <r>
      <rPr>
        <sz val="8"/>
        <rFont val="Times New Roman"/>
        <family val="1"/>
      </rPr>
      <t xml:space="preserve"> </t>
    </r>
  </si>
  <si>
    <t>Otros usos del carbón</t>
  </si>
  <si>
    <r>
      <rPr>
        <sz val="10"/>
        <rFont val="Arial"/>
        <family val="2"/>
      </rPr>
      <t>Carbón utilizado, t/a</t>
    </r>
  </si>
  <si>
    <t>Combustión de carbón en centrales eléctricas</t>
  </si>
  <si>
    <r>
      <rPr>
        <sz val="10"/>
        <rFont val="Arial"/>
        <family val="2"/>
      </rPr>
      <t>Combustión/uso de coque de petróleo y petróleo pesado</t>
    </r>
  </si>
  <si>
    <r>
      <rPr>
        <sz val="10"/>
        <rFont val="Arial"/>
        <family val="2"/>
      </rPr>
      <t>Producto de petróleo quemado, t/a</t>
    </r>
  </si>
  <si>
    <r>
      <rPr>
        <sz val="10"/>
        <rFont val="Arial"/>
        <family val="2"/>
      </rPr>
      <t>Combustión/uso de diesel, gasoil, petróleo, querosén, GLP y otros destilados livianos a medios</t>
    </r>
  </si>
  <si>
    <r>
      <rPr>
        <sz val="10"/>
        <rFont val="Arial"/>
        <family val="2"/>
      </rPr>
      <t>Uso de gas natural o limpio</t>
    </r>
  </si>
  <si>
    <r>
      <rPr>
        <sz val="10"/>
        <rFont val="Arial"/>
        <family val="2"/>
      </rPr>
      <t>Gas usado, Nm³/a</t>
    </r>
  </si>
  <si>
    <r>
      <rPr>
        <sz val="10"/>
        <rFont val="Arial"/>
        <family val="2"/>
      </rPr>
      <t>Uso de gas por cañería (calidad de consumo)</t>
    </r>
  </si>
  <si>
    <r>
      <rPr>
        <sz val="10"/>
        <rFont val="Arial"/>
        <family val="2"/>
      </rPr>
      <t>Biomasa quemada, t/a</t>
    </r>
  </si>
  <si>
    <t>Combustión de carbón vegetal</t>
  </si>
  <si>
    <r>
      <rPr>
        <sz val="10"/>
        <rFont val="Arial"/>
        <family val="2"/>
      </rPr>
      <t>Carbón vegetal quemado, t/a</t>
    </r>
  </si>
  <si>
    <r>
      <rPr>
        <sz val="10"/>
        <rFont val="Arial"/>
        <family val="2"/>
      </rPr>
      <t>Producción de combustible</t>
    </r>
  </si>
  <si>
    <r>
      <rPr>
        <sz val="10"/>
        <rFont val="Arial"/>
        <family val="2"/>
      </rPr>
      <t>Extracción de petróleo</t>
    </r>
  </si>
  <si>
    <t>Petróleo crudo producido, t/a</t>
  </si>
  <si>
    <r>
      <rPr>
        <sz val="10"/>
        <rFont val="Arial"/>
        <family val="2"/>
      </rPr>
      <t>Refinación de petróleo</t>
    </r>
  </si>
  <si>
    <t>Petróleo crudo refinado, t/a</t>
  </si>
  <si>
    <r>
      <rPr>
        <sz val="10"/>
        <rFont val="Arial"/>
        <family val="2"/>
      </rPr>
      <t>Extracción y procesamiento de gas natural</t>
    </r>
  </si>
  <si>
    <r>
      <rPr>
        <sz val="10"/>
        <rFont val="Arial"/>
        <family val="2"/>
      </rPr>
      <t>Gas producido, Nm³/a</t>
    </r>
  </si>
  <si>
    <t>Energía y producción de calor de biomasa</t>
  </si>
  <si>
    <r>
      <rPr>
        <b/>
        <sz val="10"/>
        <rFont val="Arial"/>
        <family val="2"/>
      </rPr>
      <t>PRODUCCIÓN INTERNA DE METALES Y MATERIAS PRIMAS</t>
    </r>
  </si>
  <si>
    <t>Extracción (primaria) de mercurio y procesamiento inicial</t>
  </si>
  <si>
    <t>Producción de zinc a partir de concentrados</t>
  </si>
  <si>
    <t>Producción de metales primarios</t>
  </si>
  <si>
    <t>Mercurio producido, t/a</t>
  </si>
  <si>
    <t>Concentrado usado, t/a</t>
  </si>
  <si>
    <t>Producción de cobre a partir de concentrados</t>
  </si>
  <si>
    <t>Producción de plomo a partir de concentrados</t>
  </si>
  <si>
    <t>Extracción de oro por métodos distintos a la amalgamación de mercurio</t>
  </si>
  <si>
    <r>
      <rPr>
        <sz val="10"/>
        <rFont val="Arial"/>
        <family val="2"/>
      </rPr>
      <t>Producción de alúmina a partir de bauxita (producción de aluminio)</t>
    </r>
  </si>
  <si>
    <t>Arrabio producido, t/a</t>
  </si>
  <si>
    <t>Mineral de oro usado, t/a</t>
  </si>
  <si>
    <t>Producción de alúmina a partir de bauxita (producción de aluminio)</t>
  </si>
  <si>
    <t>Bauxita procesada, t/a</t>
  </si>
  <si>
    <t>Producción primaria de metal ferroso (producción de arrabio)</t>
  </si>
  <si>
    <r>
      <rPr>
        <b/>
        <sz val="10"/>
        <rFont val="Arial"/>
        <family val="2"/>
      </rPr>
      <t>Producción de otros materiales</t>
    </r>
  </si>
  <si>
    <r>
      <rPr>
        <sz val="10"/>
        <rFont val="Arial"/>
        <family val="2"/>
      </rPr>
      <t>Producción de cemento</t>
    </r>
  </si>
  <si>
    <r>
      <rPr>
        <sz val="10"/>
        <rFont val="Arial"/>
        <family val="2"/>
      </rPr>
      <t>Cemento producido, t/a</t>
    </r>
  </si>
  <si>
    <r>
      <rPr>
        <sz val="10"/>
        <rFont val="Arial"/>
        <family val="2"/>
      </rPr>
      <t>Producción de pasta y papel</t>
    </r>
  </si>
  <si>
    <r>
      <rPr>
        <sz val="10"/>
        <rFont val="Arial"/>
        <family val="2"/>
      </rPr>
      <t>Biomasa usada para la producción, t/a</t>
    </r>
  </si>
  <si>
    <t>Extracción de oro con amalgamación de mercurio - a partir de concentrados</t>
  </si>
  <si>
    <r>
      <rPr>
        <b/>
        <sz val="10"/>
        <rFont val="Arial"/>
        <family val="2"/>
      </rPr>
      <t>PRODUCCIÓN Y PROCESAMIENTO INTERNOS CON UTILIZACIÓN DELIBERADA DE MERCURIO</t>
    </r>
  </si>
  <si>
    <t>Producción de cloro-álcali con celdas de mercurio</t>
  </si>
  <si>
    <r>
      <t>Cl</t>
    </r>
    <r>
      <rPr>
        <vertAlign val="subscript"/>
        <sz val="10"/>
        <rFont val="Arial"/>
        <family val="2"/>
      </rPr>
      <t>2</t>
    </r>
    <r>
      <rPr>
        <sz val="10"/>
        <rFont val="Arial"/>
        <family val="2"/>
      </rPr>
      <t xml:space="preserve"> producido, t/a </t>
    </r>
  </si>
  <si>
    <t>Producción de CVM con catalizador de mercurio</t>
  </si>
  <si>
    <t xml:space="preserve">CVM producido, t/a </t>
  </si>
  <si>
    <t>Producción de acetaldehído con catalizador de mercurio</t>
  </si>
  <si>
    <t>Producción de productos químicos</t>
  </si>
  <si>
    <t xml:space="preserve">Cl2 producido, t/a </t>
  </si>
  <si>
    <t>Acetaldehído producido, t/a</t>
  </si>
  <si>
    <t>Producción de productos con contenido de mercurio</t>
  </si>
  <si>
    <t xml:space="preserve">Termómetros de Hg (médicos, atmosféricos, de laboratorio, industriales, etc.) </t>
  </si>
  <si>
    <t>Mercurio utilizado para producción, kg/a</t>
  </si>
  <si>
    <t xml:space="preserve">Conmutadores eléctricos y relés con mercurio </t>
  </si>
  <si>
    <t xml:space="preserve">Fuentes lumínicas con mercurio (fluorescentes, compactas, otras: ver pauta) </t>
  </si>
  <si>
    <t xml:space="preserve">Pilas con mercurio </t>
  </si>
  <si>
    <t xml:space="preserve">Manómetros e indicadores con mercurio </t>
  </si>
  <si>
    <t xml:space="preserve">Biocidas y pesticidas con mercurio </t>
  </si>
  <si>
    <t xml:space="preserve">Pinturas con mercurio </t>
  </si>
  <si>
    <t xml:space="preserve">Cremas y jabones aclarantes de la piel con productos químicos con mercurio </t>
  </si>
  <si>
    <r>
      <rPr>
        <b/>
        <sz val="10"/>
        <rFont val="Arial"/>
        <family val="2"/>
      </rPr>
      <t>ORGANIZACIÓN DEL MANEJO DE DESECHOS GENERALES EN EL PAÍS</t>
    </r>
  </si>
  <si>
    <t>¿Qué porcentaje de los desechos se recoge y trata en condiciones controladas?</t>
  </si>
  <si>
    <t>¿Más de 2/3 (dos tercios; 67%) de los desechos generales se recogen y depositan en vertederos revestidos o son incinerados con reducción de la contaminación?</t>
  </si>
  <si>
    <r>
      <rPr>
        <b/>
        <sz val="10"/>
        <rFont val="Arial"/>
        <family val="2"/>
      </rPr>
      <t>MANEJO DE DESECHOS Y RECICLAJE</t>
    </r>
  </si>
  <si>
    <t>Producción anual       /eliminación de desechos</t>
  </si>
  <si>
    <t>Producción de mercurio reciclado ("producción secundaria")</t>
  </si>
  <si>
    <t xml:space="preserve">Mercurio producido, kg/a </t>
  </si>
  <si>
    <t>Producción de metales ferrosos reciclados (hierro y acero)</t>
  </si>
  <si>
    <t>Número de vehículos reciclados/a</t>
  </si>
  <si>
    <t>Producción de metales reciclados</t>
  </si>
  <si>
    <r>
      <rPr>
        <b/>
        <sz val="10"/>
        <rFont val="Arial"/>
        <family val="2"/>
      </rPr>
      <t>Incineración de desechos</t>
    </r>
  </si>
  <si>
    <t>Incineración de desechos municipales o generales</t>
  </si>
  <si>
    <t xml:space="preserve">Incineración de desechos, t/a </t>
  </si>
  <si>
    <t>Incineración residuos peligrosos</t>
  </si>
  <si>
    <t>Incineración de desechos, t/a</t>
  </si>
  <si>
    <r>
      <rPr>
        <sz val="10"/>
        <rFont val="Arial"/>
        <family val="2"/>
      </rPr>
      <t>Incineración y quema al aire libre de desechos médicos</t>
    </r>
  </si>
  <si>
    <t>Incineración de lodos residuales</t>
  </si>
  <si>
    <t>Quema al aire libre de desechos (en vertederos y de manera informal)</t>
  </si>
  <si>
    <t xml:space="preserve">Desechos quemados, t/a </t>
  </si>
  <si>
    <t>Depósito/vertido de desechos y tratamiento de aguas residuales</t>
  </si>
  <si>
    <t>Vertederos o depósitos controlados</t>
  </si>
  <si>
    <t>Desechos vertidos, t/a</t>
  </si>
  <si>
    <t>Vertido informal de desechos generales *1</t>
  </si>
  <si>
    <t>Sistema/tratamiento de aguas residuales</t>
  </si>
  <si>
    <t xml:space="preserve">Aguas residuales, m3/a </t>
  </si>
  <si>
    <t>Prueba de los factores de entrada predeterminados de desechos (ver el Apéndice 4 de la pauta del NI1; todos los resultados pertinentes deben estar calculados):</t>
  </si>
  <si>
    <t>Prueba de los factores de entrada predeterminados de aguas residuales (ver el Apéndice 4 de la pauta del NI1; todos los resultados pertinentes deben estar calculados):</t>
  </si>
  <si>
    <r>
      <rPr>
        <b/>
        <sz val="10"/>
        <rFont val="Arial"/>
        <family val="2"/>
      </rPr>
      <t>CONSUMO GENERAL DE MERCURIO EN PRODUCTOS, COMO MERCURIO METÁLICO Y SUSTANCIAS QUE CONTIENEN MERCURIO</t>
    </r>
  </si>
  <si>
    <t>Consumo anual/población</t>
  </si>
  <si>
    <t>Uso y desecho de productos con contenido de mercurio</t>
  </si>
  <si>
    <t>Empastes de amalgamas dentales (empastes de "plata")</t>
  </si>
  <si>
    <t>Preparaciones de empastes en clínicas odontológicas</t>
  </si>
  <si>
    <t>Uso: de empastes que ya están en la boca</t>
  </si>
  <si>
    <t>Desecho (dientes perdidos y extraídos)</t>
  </si>
  <si>
    <r>
      <rPr>
        <sz val="10"/>
        <rFont val="Arial"/>
        <family val="2"/>
      </rPr>
      <t>Número de habitantes</t>
    </r>
  </si>
  <si>
    <r>
      <rPr>
        <sz val="10"/>
        <rFont val="Arial"/>
        <family val="2"/>
      </rPr>
      <t>Cantidad de personal odontológico cada 1000 habitantes</t>
    </r>
  </si>
  <si>
    <r>
      <rPr>
        <sz val="10"/>
        <rFont val="Arial"/>
        <family val="2"/>
      </rPr>
      <t>Termómetros médicos de Hg</t>
    </r>
  </si>
  <si>
    <t>Termómetros</t>
  </si>
  <si>
    <t>Termómetros médicos de Hg</t>
  </si>
  <si>
    <t>Otros termómetros de vidrio de Hg (aire, laboratorio, lechería, etc.)</t>
  </si>
  <si>
    <t>Termómetros de Hg para control de motores y demás termómetros de Hg de gran tamaño de uso industrial o especializado</t>
  </si>
  <si>
    <t>Conmutadores eléctricos y relés con mercurio</t>
  </si>
  <si>
    <t>Artículos vendidos/a</t>
  </si>
  <si>
    <t>t pilas vendidas/a</t>
  </si>
  <si>
    <t>Pilas vendidas, t/a</t>
  </si>
  <si>
    <t>Número de habitantes</t>
  </si>
  <si>
    <t>Tasa de electrificación, %</t>
  </si>
  <si>
    <t>Pintura vendida, t/a</t>
  </si>
  <si>
    <t>Crema o jabón vendido, t/a</t>
  </si>
  <si>
    <r>
      <rPr>
        <sz val="10"/>
        <rFont val="Arial"/>
        <family val="2"/>
      </rPr>
      <t>Tubos fluorescentes (de doble terminal)</t>
    </r>
  </si>
  <si>
    <r>
      <rPr>
        <sz val="10"/>
        <rFont val="Arial"/>
        <family val="2"/>
      </rPr>
      <t>Lámpara compacta fluorescente (de un solo terminal)</t>
    </r>
  </si>
  <si>
    <t>Fuentes de luz con mercurio</t>
  </si>
  <si>
    <t>Tubos fluorescentes (de doble terminal)</t>
  </si>
  <si>
    <t>Lámpara compacta fluorescente (de un solo terminal)</t>
  </si>
  <si>
    <t>Otras fuentes de luz con contenido de Hg (ver pauta)</t>
  </si>
  <si>
    <t>Pilas con mercurio</t>
  </si>
  <si>
    <t>Óxido de mercurio (celdas de botón y de otros tamaño); también llamadas "celdas de mercurio y zinc"</t>
  </si>
  <si>
    <t>Otras celdas de botón (zinc-aire, celdas de botón alcalinas, plata-óxido)</t>
  </si>
  <si>
    <t>Otras pilas con mercurio (pilas cilíndricas alcalinas comunes, de permanganato, etc.; ver pauta)</t>
  </si>
  <si>
    <t>Poliuretano (PU, PUR) producido con catalizador de mercurio</t>
  </si>
  <si>
    <t>Pinturas con conservantes de mercurio</t>
  </si>
  <si>
    <t>Cremas y jabones aclarantes de la piel con productos químicos con mercurio</t>
  </si>
  <si>
    <t>Dispositivos médicos para tomar la presión sanguínea (esfingomanómetros de mercurio)</t>
  </si>
  <si>
    <t>Otros manómetros e indicadores con mercurio</t>
  </si>
  <si>
    <t>Productos químicos de laboratorio</t>
  </si>
  <si>
    <t xml:space="preserve">Demás equipos médicos y de laboratorio con mercurio </t>
  </si>
  <si>
    <t>Categoría de la fuente</t>
  </si>
  <si>
    <t>Crematorios y cementerios</t>
  </si>
  <si>
    <t>Cantidad anual de fallecidos</t>
  </si>
  <si>
    <t>Crematorios</t>
  </si>
  <si>
    <t>Cementerios</t>
  </si>
  <si>
    <r>
      <rPr>
        <sz val="10"/>
        <rFont val="Arial"/>
        <family val="2"/>
      </rPr>
      <t>Cadáveres cremados/a</t>
    </r>
  </si>
  <si>
    <r>
      <rPr>
        <sz val="10"/>
        <rFont val="Arial"/>
        <family val="2"/>
      </rPr>
      <t>Cadáveres enterrados/a</t>
    </r>
  </si>
  <si>
    <t>Combustión de turba</t>
  </si>
  <si>
    <t>Producción de energía geotérmica</t>
  </si>
  <si>
    <t>Producción de otros metales reciclados</t>
  </si>
  <si>
    <t>Producción de cal</t>
  </si>
  <si>
    <t>Producción de conglomerados de poco peso (trozos de arcilla quemada destinados a la construcción)</t>
  </si>
  <si>
    <t>Producción de poliuretano con catalizadores de mercurio</t>
  </si>
  <si>
    <t>Recubrimiento de semillas con productos químicos con mercurio</t>
  </si>
  <si>
    <t>Semiconductores de detección de infrarrojos</t>
  </si>
  <si>
    <t>Usos educativos</t>
  </si>
  <si>
    <t>Giroscopios con mercurio</t>
  </si>
  <si>
    <t>Bombas de vacío con mercurio</t>
  </si>
  <si>
    <t>Mercurio usado en rituales religiosos (amuletos y otros usos)</t>
  </si>
  <si>
    <t>Mercurio usado en medicinas tradicionales (ayurvédica y otras) y en la medicina homeopática</t>
  </si>
  <si>
    <t>Uso de mercurio como refrigerante en ciertos sistemas de enfriamiento</t>
  </si>
  <si>
    <t>Mercurio en grandes rodamientos de piezas mecánicas giratorias en, por ejemplo, plantas más antiguas de tratamiento de aguas residuales.</t>
  </si>
  <si>
    <t>Curtido</t>
  </si>
  <si>
    <t>Pigmentos</t>
  </si>
  <si>
    <t>Productos para dorar y grabar acero</t>
  </si>
  <si>
    <t>Ciertos tipos de papel para fotografías en color</t>
  </si>
  <si>
    <t>Amortiguadores del retroceso en rifles</t>
  </si>
  <si>
    <t>Explosivos (fulminato de mercurio, entre otros)</t>
  </si>
  <si>
    <t>Fuegos artificiales</t>
  </si>
  <si>
    <t>Juguetes de escritorio</t>
  </si>
  <si>
    <t>Fuentes varias de emisión de mercurio no cuantificadas en el nivel de inventario 1</t>
  </si>
  <si>
    <t>Combustión de esquisto bituminoso</t>
  </si>
  <si>
    <t>Producción de otros productos químicos (excluyendo cloro e hidróxido de sodio) en instalaciones de cloro-álcali con tecnología de celdas de mercurio</t>
  </si>
  <si>
    <t>Tubos Bougie y Cantor (de uso médico)</t>
  </si>
  <si>
    <t>Faros (rodamientos niveladores en luces de navegación marina)</t>
  </si>
  <si>
    <t>N.o de categoría de fuente</t>
  </si>
  <si>
    <t>Ingrese las entradas de Hg calculadas en kg Hg/a</t>
  </si>
  <si>
    <t>Tratamiento/eliminación de desechos específicos del sector</t>
  </si>
  <si>
    <t>Ingrese notas (se deben documentar también en detalle en el informe del inventario):</t>
  </si>
  <si>
    <t>Indicador del NI2</t>
  </si>
  <si>
    <t>Entrada estimada de Hg</t>
  </si>
  <si>
    <r>
      <rPr>
        <b/>
        <sz val="10"/>
        <rFont val="Arial"/>
        <family val="2"/>
      </rPr>
      <t>CONVERSIÓN DE UNIDADES</t>
    </r>
  </si>
  <si>
    <t>SOLO DEBE USARSE SI NO ES POSIBLE OBTENER LOS DATOS DE CAUDAL DE ACTIVIDAD EN LA UNIDAD INDICADA (Y SI NO SE CUENTA CON FACTORES DE CONVERSIÓN ESPECÍFICOS DOCUMENTADOS PARA EL PAÍS).</t>
  </si>
  <si>
    <r>
      <rPr>
        <sz val="10"/>
        <rFont val="Arial"/>
        <family val="2"/>
      </rPr>
      <t>Como ayuda para el usuario, el kit de herramientas ofrece algunos ejemplos de tasas de conversión a continuación, con la posibilidad de calcular las conversiones aquí.</t>
    </r>
  </si>
  <si>
    <r>
      <rPr>
        <sz val="10"/>
        <rFont val="Arial"/>
        <family val="2"/>
      </rPr>
      <t>Esta lista no es exhaustiva y las tasas de conversión para otros tipos de fuente deben buscarse en otra parte, por ejemplo, en Internet.</t>
    </r>
  </si>
  <si>
    <r>
      <rPr>
        <sz val="10"/>
        <rFont val="Arial"/>
        <family val="2"/>
      </rPr>
      <t>Estas tasas de conversión son altamente aproximativas, dado que los parámetros implicados pueden variar sustancialmente.</t>
    </r>
  </si>
  <si>
    <r>
      <rPr>
        <b/>
        <sz val="10"/>
        <rFont val="Arial"/>
        <family val="2"/>
      </rPr>
      <t>Tipo de fuente</t>
    </r>
  </si>
  <si>
    <t>Uso de gas en bruto o limpio</t>
  </si>
  <si>
    <t>Uso de gas por cañería (calidad de consumo)</t>
  </si>
  <si>
    <t>Extracción y procesamiento de gas natural</t>
  </si>
  <si>
    <r>
      <rPr>
        <sz val="10"/>
        <rFont val="Arial"/>
        <family val="2"/>
      </rPr>
      <t>Ingrese los datos de la tasa de actividad alternativos</t>
    </r>
  </si>
  <si>
    <r>
      <rPr>
        <sz val="10"/>
        <rFont val="Arial"/>
        <family val="2"/>
      </rPr>
      <t>Unidad de la tasa de actividad alternativa (debe ser exactamente esta)</t>
    </r>
  </si>
  <si>
    <r>
      <rPr>
        <b/>
        <sz val="10"/>
        <color rgb="FFFF0000"/>
        <rFont val="Arial"/>
        <family val="2"/>
      </rPr>
      <t>Caudal de actividad calculado del kit de herramientas (copiar en la celda correspondiente)</t>
    </r>
  </si>
  <si>
    <r>
      <rPr>
        <sz val="10"/>
        <rFont val="Arial"/>
        <family val="2"/>
      </rPr>
      <t>Unidad de la tasa de actividad del kit de herramientas</t>
    </r>
  </si>
  <si>
    <r>
      <rPr>
        <sz val="10"/>
        <rFont val="Arial"/>
        <family val="2"/>
      </rPr>
      <t>Factor de conversión utilizado</t>
    </r>
  </si>
  <si>
    <r>
      <rPr>
        <sz val="10"/>
        <rFont val="Arial"/>
        <family val="2"/>
      </rPr>
      <t>Unidad para el factor de conversión</t>
    </r>
  </si>
  <si>
    <r>
      <rPr>
        <sz val="10"/>
        <rFont val="Arial"/>
        <family val="2"/>
      </rPr>
      <t>Referencias y comentarios</t>
    </r>
  </si>
  <si>
    <r>
      <rPr>
        <sz val="10"/>
        <rFont val="Arial"/>
        <family val="2"/>
      </rPr>
      <t>Nm3 gas usado/a</t>
    </r>
  </si>
  <si>
    <r>
      <rPr>
        <sz val="10"/>
        <rFont val="Arial"/>
        <family val="2"/>
      </rPr>
      <t>Nm3/TJ</t>
    </r>
  </si>
  <si>
    <r>
      <rPr>
        <sz val="10"/>
        <rFont val="Arial"/>
        <family val="2"/>
      </rPr>
      <t>http://www.iea.org/stats/docs/statistics_manual.pdf (en inglés), pág. 182</t>
    </r>
  </si>
  <si>
    <r>
      <rPr>
        <sz val="10"/>
        <rFont val="Arial"/>
        <family val="2"/>
      </rPr>
      <t>Nm3 gas producido/a</t>
    </r>
  </si>
  <si>
    <r>
      <rPr>
        <sz val="10"/>
        <rFont val="Arial"/>
        <family val="2"/>
      </rPr>
      <t>t concentrado usado/a</t>
    </r>
  </si>
  <si>
    <r>
      <rPr>
        <sz val="10"/>
        <rFont val="Arial"/>
        <family val="2"/>
      </rPr>
      <t>t concentrado usado/t zinc producido</t>
    </r>
  </si>
  <si>
    <r>
      <rPr>
        <sz val="10"/>
        <rFont val="Arial"/>
        <family val="2"/>
      </rPr>
      <t>PNUMA/AMAP (2012)</t>
    </r>
  </si>
  <si>
    <r>
      <rPr>
        <sz val="10"/>
        <rFont val="Arial"/>
        <family val="2"/>
      </rPr>
      <t>t concentrado usado/t cobre producido</t>
    </r>
  </si>
  <si>
    <r>
      <rPr>
        <sz val="10"/>
        <rFont val="Arial"/>
        <family val="2"/>
      </rPr>
      <t>t concentrado usado/t plomo producido</t>
    </r>
  </si>
  <si>
    <r>
      <rPr>
        <sz val="10"/>
        <rFont val="Arial"/>
        <family val="2"/>
      </rPr>
      <t>t mineral de oro usado/a</t>
    </r>
  </si>
  <si>
    <r>
      <rPr>
        <sz val="10"/>
        <rFont val="Arial"/>
        <family val="2"/>
      </rPr>
      <t>t bauxita procesada/a</t>
    </r>
  </si>
  <si>
    <r>
      <rPr>
        <sz val="10"/>
        <rFont val="Arial"/>
        <family val="2"/>
      </rPr>
      <t>t bauxita procesada/t aluminio metal producido</t>
    </r>
  </si>
  <si>
    <r>
      <rPr>
        <sz val="10"/>
        <rFont val="Arial"/>
        <family val="2"/>
      </rPr>
      <t>kg</t>
    </r>
  </si>
  <si>
    <r>
      <rPr>
        <sz val="10"/>
        <rFont val="Arial"/>
        <family val="2"/>
      </rPr>
      <t>artículos vendidos/a</t>
    </r>
  </si>
  <si>
    <r>
      <rPr>
        <sz val="10"/>
        <rFont val="Arial"/>
        <family val="2"/>
      </rPr>
      <t>kg/artículo</t>
    </r>
  </si>
  <si>
    <r>
      <rPr>
        <sz val="10"/>
        <rFont val="Arial"/>
        <family val="2"/>
      </rPr>
      <t>Suposición aproximada del promedio con base en estadísticas de comercio.</t>
    </r>
  </si>
  <si>
    <r>
      <rPr>
        <sz val="10"/>
        <rFont val="Arial"/>
        <family val="2"/>
      </rPr>
      <t>Estimación aproximada del promedio en base a los datos de diversos productos obtenidos en Internet</t>
    </r>
  </si>
  <si>
    <r>
      <rPr>
        <sz val="10"/>
        <rFont val="Arial"/>
        <family val="2"/>
      </rPr>
      <t>Estimación aproximada del promedio en base a los datos de productos obtenidos en Osram.com</t>
    </r>
  </si>
  <si>
    <t xml:space="preserve">NaOH producido, t/a </t>
  </si>
  <si>
    <t>Enter calculated Hg releases in Kg Hg/a</t>
  </si>
  <si>
    <t>Paint sold, t/a</t>
  </si>
  <si>
    <t>Cream or soap sold, t/a</t>
  </si>
  <si>
    <t>Items sold/a</t>
  </si>
  <si>
    <t>Gold produced, kg/a</t>
  </si>
  <si>
    <t>NIVEL DE INVENTARIO 1 - RESUMEN EJECUTIVO</t>
  </si>
  <si>
    <t>Porcentaje de emisiones totales *3*4</t>
  </si>
  <si>
    <t>Emisiones totales *3*4*5</t>
  </si>
  <si>
    <r>
      <rPr>
        <sz val="10"/>
        <rFont val="Arial"/>
        <family val="2"/>
      </rPr>
      <t>Combustión de carbón y otros usos de carbón</t>
    </r>
  </si>
  <si>
    <t>Combustión de otros combustibles fósiles y biomasa</t>
  </si>
  <si>
    <r>
      <rPr>
        <sz val="10"/>
        <rFont val="Arial"/>
        <family val="2"/>
      </rPr>
      <t>Producción de petróleo y gas</t>
    </r>
  </si>
  <si>
    <r>
      <rPr>
        <sz val="10"/>
        <rFont val="Arial"/>
        <family val="2"/>
      </rPr>
      <t>Producción primaria de metales (excepto producción de oro mediante amalgamación)</t>
    </r>
  </si>
  <si>
    <r>
      <rPr>
        <sz val="10"/>
        <rFont val="Arial"/>
        <family val="2"/>
      </rPr>
      <t>Extracción de oro con aleación de mercurio</t>
    </r>
  </si>
  <si>
    <r>
      <rPr>
        <sz val="10"/>
        <rFont val="Arial"/>
        <family val="2"/>
      </rPr>
      <t>Producción de cloro-álcali con celdas de mercurio</t>
    </r>
  </si>
  <si>
    <r>
      <rPr>
        <sz val="10"/>
        <rFont val="Arial"/>
        <family val="2"/>
      </rPr>
      <t>Producción de metales reciclados</t>
    </r>
  </si>
  <si>
    <r>
      <rPr>
        <sz val="10"/>
        <rFont val="Arial"/>
        <family val="2"/>
      </rPr>
      <t>Crematorios y cementerios</t>
    </r>
  </si>
  <si>
    <t>Combustión de carbón y otros usos de carbón</t>
  </si>
  <si>
    <t>Producción de petróleo y gas</t>
  </si>
  <si>
    <t>Producción primaria de metales (excepto producción de oro mediante amalgamación)</t>
  </si>
  <si>
    <t>Extracción de oro con aleación de mercurio</t>
  </si>
  <si>
    <t>Otra producción de productos químicos y polímeros</t>
  </si>
  <si>
    <t>Producción de productos con contenido de mercurio*1</t>
  </si>
  <si>
    <t>Aplicación, uso y eliminación de rellenos para amalgamas dentales</t>
  </si>
  <si>
    <t>Uso y eliminación de otros productos</t>
  </si>
  <si>
    <t>Incineración de desechos y quema de desechos al aire libre*2</t>
  </si>
  <si>
    <t>Depósito de desechos*2</t>
  </si>
  <si>
    <t>Vertido informal de desechos generales *2*3</t>
  </si>
  <si>
    <t>Sistema/tratamiento de aguas residuales *4</t>
  </si>
  <si>
    <t>TOTALES (redondeados) *1*2*3*4*5</t>
  </si>
  <si>
    <r>
      <rPr>
        <sz val="10"/>
        <rFont val="Arial"/>
        <family val="2"/>
      </rPr>
      <t>*1 Para evitar el conteo doble de mercurio en los productos elaborados localmente y vendidos en el mercado local (incluidos el petróleo y gas), solo se incluyen en el TOTAL de entradas las</t>
    </r>
  </si>
  <si>
    <r>
      <rPr>
        <sz val="10"/>
        <rFont val="Arial"/>
        <family val="2"/>
      </rPr>
      <t xml:space="preserve"> emisiones de mercurio </t>
    </r>
    <r>
      <rPr>
        <i/>
        <sz val="10"/>
        <rFont val="Arial"/>
        <family val="2"/>
      </rPr>
      <t xml:space="preserve">liberadas </t>
    </r>
    <r>
      <rPr>
        <sz val="10"/>
        <rFont val="Arial"/>
        <family val="2"/>
      </rPr>
      <t>a partir de la producción.</t>
    </r>
  </si>
  <si>
    <r>
      <rPr>
        <sz val="10"/>
        <rFont val="Arial"/>
        <family val="2"/>
      </rPr>
      <t>*2: Para evitar el conteo doble de las entradas de mercurio provenientes de desechos y productos en el TOTAL de entradas, solo se incluye el 10 % de las entradas de mercurio a las fuentes de incineración de desechos, el depósito y</t>
    </r>
  </si>
  <si>
    <r>
      <rPr>
        <sz val="10"/>
        <rFont val="Arial"/>
        <family val="2"/>
      </rPr>
      <t xml:space="preserve"> vertido informal de desechos en el total de las </t>
    </r>
    <r>
      <rPr>
        <u/>
        <sz val="10"/>
        <rFont val="Arial"/>
        <family val="2"/>
      </rPr>
      <t>entradas</t>
    </r>
    <r>
      <rPr>
        <sz val="10"/>
        <rFont val="Arial"/>
        <family val="2"/>
      </rPr>
      <t xml:space="preserve"> de mercurio. Este 10 % representa aproximadamente la entrada de mercurio en los desechos procedentes de materiales que no fueron cuantificados </t>
    </r>
  </si>
  <si>
    <t>individualmente en el nivel de inventario 1 de este kit de herramientas. Ver el Apéndice 1 de la pauta del nivel de inventario 1 para obtener consultar una explicación más detallada.</t>
  </si>
  <si>
    <r>
      <rPr>
        <sz val="10"/>
        <rFont val="Arial"/>
        <family val="2"/>
      </rPr>
      <t xml:space="preserve">*3: Las cantidades estimadas incluyen el mercurio en productos que también ha sido contabilizado bajo cada categoría de productos. </t>
    </r>
  </si>
  <si>
    <r>
      <rPr>
        <sz val="10"/>
        <rFont val="Arial"/>
        <family val="2"/>
      </rPr>
      <t xml:space="preserve">Para evitar el conteo doble, se ha sustraído automáticamente de los TOTALES la emisión hacia la </t>
    </r>
    <r>
      <rPr>
        <u/>
        <sz val="10"/>
        <rFont val="Arial"/>
        <family val="2"/>
      </rPr>
      <t>tierra</t>
    </r>
    <r>
      <rPr>
        <sz val="10"/>
        <rFont val="Arial"/>
        <family val="2"/>
      </rPr>
      <t xml:space="preserve"> proveniente del vertido informal de desechos generales.</t>
    </r>
  </si>
  <si>
    <r>
      <rPr>
        <sz val="10"/>
        <rFont val="Arial"/>
        <family val="2"/>
      </rPr>
      <t xml:space="preserve">*4: La entrada y emisión estimadas al agua incluyen las cantidades de mercurio que también han sido contabilizadas bajo cada categoría de fuente. </t>
    </r>
  </si>
  <si>
    <r>
      <rPr>
        <sz val="10"/>
        <rFont val="Arial"/>
        <family val="2"/>
      </rPr>
      <t xml:space="preserve">Para evitar el conteo doble, se han sustraído automáticamente de los TOTALES </t>
    </r>
    <r>
      <rPr>
        <u/>
        <sz val="10"/>
        <rFont val="Arial"/>
        <family val="2"/>
      </rPr>
      <t>la entrada y liberación al agua proveniente</t>
    </r>
    <r>
      <rPr>
        <sz val="10"/>
        <rFont val="Arial"/>
        <family val="2"/>
      </rPr>
      <t xml:space="preserve"> del sistema y tratamiento de aguas residuales.</t>
    </r>
  </si>
  <si>
    <r>
      <rPr>
        <sz val="10"/>
        <rFont val="Arial"/>
        <family val="2"/>
      </rPr>
      <t>*5: Las entradas totales no necesariamente son iguales a las salidas totales debido a las correcciones por conteo doble (ver notas *1 a *3) y porque algo de mercurio está incluido en la categoría productos/mercurio metálico</t>
    </r>
  </si>
  <si>
    <t>que no se venden en el mismo país o el mismo año.</t>
  </si>
  <si>
    <r>
      <rPr>
        <b/>
        <sz val="10"/>
        <rFont val="Arial"/>
        <family val="2"/>
      </rPr>
      <t>GRÁFICOS ESTÁNDAR QUE SE DEBEN USAR PARA LA ELABORACIÓN DEL INFORME DEL INVENTARIO, VER A CONTINUACIÓN MÁS ADELANTE</t>
    </r>
  </si>
  <si>
    <r>
      <rPr>
        <sz val="10"/>
        <rFont val="Arial"/>
        <family val="2"/>
      </rPr>
      <t>TENGA EN CUENTA QUE ESTA TABLA DE RESUMEN CON GRÁFICOS DEL NIVEL DE INVENTARIO 1 DEBE USARSE PARA LOS GRÁFICOS (QUE HAN SIDO ESPECIALMENTE DISEÑADOS PARA NEUTRALIZAR EL CONTEO DOBLE DE LOS APORTES DE DESECHOS; VER LAS NOTAS)</t>
    </r>
  </si>
  <si>
    <r>
      <rPr>
        <b/>
        <sz val="10"/>
        <color rgb="FFFF0000"/>
        <rFont val="Arial"/>
        <family val="2"/>
      </rPr>
      <t>Se debe indicar la presencia de la fuente ("S/N/?") para todas las fuentes para que los gráficos funcionen correctamente</t>
    </r>
  </si>
  <si>
    <r>
      <rPr>
        <b/>
        <sz val="10"/>
        <color rgb="FFFF0000"/>
        <rFont val="Arial"/>
        <family val="2"/>
      </rPr>
      <t>ESTA TABLA NO ES PARA LA PRESENTACIÓN EN EL INFORME</t>
    </r>
  </si>
  <si>
    <t>Combustión de otros combustibles fósiles y biomasa*4</t>
  </si>
  <si>
    <r>
      <rPr>
        <sz val="10"/>
        <rFont val="Arial"/>
        <family val="2"/>
      </rPr>
      <t>Otra producción de productos químicos y polímeros*6</t>
    </r>
  </si>
  <si>
    <r>
      <rPr>
        <sz val="10"/>
        <rFont val="Arial"/>
        <family val="2"/>
      </rPr>
      <t>Producción de productos con contenido de mercurio</t>
    </r>
  </si>
  <si>
    <r>
      <rPr>
        <sz val="10"/>
        <rFont val="Arial"/>
        <family val="2"/>
      </rPr>
      <t>Uso y eliminación de otros productos*7</t>
    </r>
  </si>
  <si>
    <r>
      <rPr>
        <sz val="10"/>
        <rFont val="Arial"/>
        <family val="2"/>
      </rPr>
      <t>Incineración de desechos y quema de desechos al aire libre*1</t>
    </r>
  </si>
  <si>
    <r>
      <rPr>
        <sz val="10"/>
        <rFont val="Arial"/>
        <family val="2"/>
      </rPr>
      <t>Depósito de desechos*1</t>
    </r>
  </si>
  <si>
    <r>
      <rPr>
        <sz val="10"/>
        <rFont val="Arial"/>
        <family val="2"/>
      </rPr>
      <t>Vertido informal de desechos generales *1*2</t>
    </r>
  </si>
  <si>
    <r>
      <rPr>
        <sz val="10"/>
        <rFont val="Arial"/>
        <family val="2"/>
      </rPr>
      <t>Sistema/tratamiento de aguas residuales *3</t>
    </r>
  </si>
  <si>
    <r>
      <rPr>
        <b/>
        <sz val="10"/>
        <rFont val="Arial"/>
        <family val="2"/>
      </rPr>
      <t>TOTALES (redondeados) *1*2*3</t>
    </r>
  </si>
  <si>
    <t>Uso y eliminación de empastes de amalgamas dentales</t>
  </si>
  <si>
    <r>
      <rPr>
        <b/>
        <sz val="10"/>
        <rFont val="Arial"/>
        <family val="2"/>
      </rPr>
      <t>NIVEL DE INVENTARIO 1 - FUETES DE MERCURIO IDENTIFICADAS</t>
    </r>
  </si>
  <si>
    <t>Combustión de carbón en grandes centrales eléctricas</t>
  </si>
  <si>
    <r>
      <rPr>
        <b/>
        <sz val="10"/>
        <rFont val="Arial"/>
        <family val="2"/>
      </rPr>
      <t>NIVEL DE INVENTARIO 1 - RESUMEN DE EMISIONES</t>
    </r>
  </si>
  <si>
    <t>Tratamiento/ eliminación de desechos específicos del sector</t>
  </si>
  <si>
    <r>
      <rPr>
        <sz val="10"/>
        <rFont val="Arial"/>
        <family val="2"/>
      </rPr>
      <t xml:space="preserve">*1: Las cantidades estimadas incluyen el mercurio en productos que también ha sido contabilizado bajo cada categoría de productos. </t>
    </r>
  </si>
  <si>
    <r>
      <rPr>
        <sz val="10"/>
        <rFont val="Arial"/>
        <family val="2"/>
      </rPr>
      <t>Para evitar el conteo doble, se ha sustraído automáticamente de los TOTALES la liberación proveniente del vertido informal de desechos generales.</t>
    </r>
  </si>
  <si>
    <r>
      <rPr>
        <sz val="10"/>
        <rFont val="Arial"/>
        <family val="2"/>
      </rPr>
      <t xml:space="preserve">*2: La emisión estimada al agua incluye cantidades de mercurio que también han sido contabilizadas bajo cada categoría de fuente. </t>
    </r>
  </si>
  <si>
    <r>
      <rPr>
        <sz val="10"/>
        <rFont val="Arial"/>
        <family val="2"/>
      </rPr>
      <t>Para evitar el conteo doble, se han sustraído automáticamente de los TOTALES, la entrada y liberación al agua proveniente del sistema y tratamiento de aguas residuales.</t>
    </r>
  </si>
  <si>
    <r>
      <rPr>
        <b/>
        <sz val="10"/>
        <color rgb="FFFF0000"/>
        <rFont val="Arial"/>
        <family val="2"/>
      </rPr>
      <t>Copie estas notas y preséntelas con los gráficos en el informe</t>
    </r>
  </si>
  <si>
    <r>
      <rPr>
        <sz val="10"/>
        <rFont val="Arial"/>
        <family val="2"/>
      </rPr>
      <t>*1: Los desechos no son una fuente original de entradas de mercurio a la sociedad. Para evitar el conteo doble de las entradas de mercurio provenientes de desechos y productos en las gráficas, solo se incluye el 10 % de las entradas de mercurio</t>
    </r>
  </si>
  <si>
    <r>
      <rPr>
        <sz val="10"/>
        <rFont val="Arial"/>
        <family val="2"/>
      </rPr>
      <t xml:space="preserve">a la incineración de desechos, el depósito y vertido informal de desechos en las gráficas de las </t>
    </r>
    <r>
      <rPr>
        <u/>
        <sz val="10"/>
        <rFont val="Arial"/>
        <family val="2"/>
      </rPr>
      <t>entradas</t>
    </r>
    <r>
      <rPr>
        <sz val="10"/>
        <rFont val="Arial"/>
        <family val="2"/>
      </rPr>
      <t xml:space="preserve"> de mercurio. Este 10 % representa aproximadamente la entrada de mercurio en los desechos</t>
    </r>
  </si>
  <si>
    <r>
      <rPr>
        <sz val="10"/>
        <rFont val="Arial"/>
        <family val="2"/>
      </rPr>
      <t>procedentes de materiales que no fueron cuantificados individualmente en el nivel de inventario 1 de este kit de herramientas. Ver el Apéndice 1 de la pauta del nivel de inventario 1 para obtener consultar una explicación más detallada.</t>
    </r>
  </si>
  <si>
    <r>
      <rPr>
        <sz val="10"/>
        <rFont val="Arial"/>
        <family val="2"/>
      </rPr>
      <t xml:space="preserve">*2:  Los desechos no son una fuente original de entradas de mercurio a la sociedad. Las cantidades estimadas incluyen el mercurio en productos que también ha sido contabilizado bajo cada categoría de productos. </t>
    </r>
  </si>
  <si>
    <r>
      <rPr>
        <sz val="10"/>
        <rFont val="Arial"/>
        <family val="2"/>
      </rPr>
      <t xml:space="preserve">Para marcar la importancia de esta vía de emisión, NO se ha sustraído la emisión hacia la </t>
    </r>
    <r>
      <rPr>
        <u/>
        <sz val="10"/>
        <rFont val="Arial"/>
        <family val="2"/>
      </rPr>
      <t>tierra</t>
    </r>
    <r>
      <rPr>
        <sz val="10"/>
        <rFont val="Arial"/>
        <family val="2"/>
      </rPr>
      <t xml:space="preserve"> proveniente del vertido informal de desechos generales en los gráficos.</t>
    </r>
  </si>
  <si>
    <r>
      <rPr>
        <sz val="10"/>
        <rFont val="Arial"/>
        <family val="2"/>
      </rPr>
      <t>*3:  Las aguas residuales no son una fuente original de entradas de mercurio a la sociedad. La entrada y emisión estimadas al agua incluyen las cantidades de mercurio que también han sido contabilizadas</t>
    </r>
  </si>
  <si>
    <r>
      <rPr>
        <sz val="10"/>
        <rFont val="Arial"/>
        <family val="2"/>
      </rPr>
      <t xml:space="preserve">bajo cada categoría de fuente. Para evitar el conteo doble, se ha sustraído automáticamente en los gráficos la entrada al sistema y tratamiento de aguas residuales. </t>
    </r>
  </si>
  <si>
    <r>
      <rPr>
        <sz val="10"/>
        <rFont val="Arial"/>
        <family val="2"/>
      </rPr>
      <t>Para marcar la importancia de esta vía de emisión, NO se han ajustado las emisiones al agua a través del sistema y tratamiento de aguas residuales en los gráficos, a pesar del conteo doble.</t>
    </r>
  </si>
  <si>
    <t>*4: Incluye coque de petróleo, petróleo pesado, diesel, gasoil, petróleo, querosén, gas natural, carbón vegetal y otros biocombustibles.</t>
  </si>
  <si>
    <t>*5: Incluye la producción of cemento y pulpa y papel.</t>
  </si>
  <si>
    <r>
      <rPr>
        <sz val="10"/>
        <rFont val="Arial"/>
        <family val="2"/>
      </rPr>
      <t xml:space="preserve">*6: Incluye la producción de CVM y acetaldehído </t>
    </r>
  </si>
  <si>
    <r>
      <rPr>
        <sz val="10"/>
        <rFont val="Arial"/>
        <family val="2"/>
      </rPr>
      <t>*7: Incluye termómetros, interruptores eléctricos y relés, fuentes de luz, pilas, poliuretano con catalizador de Hg, pinturas y cremas para la piel con Hg, instrumentos para medir la presión arterial</t>
    </r>
  </si>
  <si>
    <r>
      <rPr>
        <sz val="10"/>
        <rFont val="Arial"/>
        <family val="2"/>
      </rPr>
      <t>y otros manómetros, productos químicos de laboratorio, y otros usos analíticos y médicos.</t>
    </r>
  </si>
  <si>
    <r>
      <rPr>
        <b/>
        <sz val="10"/>
        <color rgb="FFFF0000"/>
        <rFont val="Arial"/>
        <family val="2"/>
      </rPr>
      <t>DESPLÁCESE HACIA ABAJO EN ESTA HOJA PARA ENCONTRAR LOS GRÁFICOS SOBRE OTROS RESULTADOS RESUMIDOS. COPIE LOS GRÁFICOS EN EL INFORME JUNTO CON LAS NOTAS QUE SE INDICAN ANTERIORMENTE.</t>
    </r>
  </si>
  <si>
    <r>
      <rPr>
        <b/>
        <sz val="10"/>
        <color rgb="FFFF0000"/>
        <rFont val="Arial"/>
        <family val="2"/>
      </rPr>
      <t>TENGA EN CUENTA QUE ES POSIBLE QUE SEA NECESARIO HACER PEQUEÑAS MODIFICACIONES A LA DIAGRAMACIÓN DE LOS GRÁFICOS PARA QUE SE MUESTREN BIEN EN SU INFORME (lo que se muestra dependerá de sus resultados)</t>
    </r>
  </si>
  <si>
    <r>
      <rPr>
        <b/>
        <sz val="10"/>
        <rFont val="Arial"/>
        <family val="2"/>
      </rPr>
      <t>NIVEL DE INVENTARIO 1 - RESUMEN DE ENTRADAS DE MERCURIO</t>
    </r>
  </si>
  <si>
    <t>Tasa de actividad</t>
  </si>
  <si>
    <r>
      <rPr>
        <b/>
        <sz val="10"/>
        <rFont val="Arial"/>
        <family val="2"/>
      </rPr>
      <t>TOTAL de entradas cuantificadas*1*2*3</t>
    </r>
  </si>
  <si>
    <r>
      <rPr>
        <sz val="10"/>
        <rFont val="Arial"/>
        <family val="2"/>
      </rPr>
      <t>*1: Para evitar el conteo doble de las entradas de mercurio provenientes de desechos y productos en el TOTAL de entradas, solo se incluye el 10 % de las entradas de mercurio a las fuentes de incineración de desechos, el depósito de desechos y el vertido informal</t>
    </r>
  </si>
  <si>
    <t>en el total de entradas de mercurio. Este 10 % representa aproximadamente la entrada de mercurio en los desechos procedentes de materiales que no fueron cuantificados individualmente en el nivel de inventario 1 de este kit de herramientas.</t>
  </si>
  <si>
    <t>Ver el Apéndice 1 de la pauta del nivel de inventario 1 para obtener consultar una explicación más detallada.</t>
  </si>
  <si>
    <t xml:space="preserve">*2: Las cantidades estimadas incluyen el mercurio en productos que también ha sido contabilizado bajo cada categoría de productos. </t>
  </si>
  <si>
    <r>
      <rPr>
        <sz val="10"/>
        <rFont val="Arial"/>
        <family val="2"/>
      </rPr>
      <t xml:space="preserve">*3: La entrada y emisión estimadas al agua incluyen las cantidades de mercurio que también han sido contabilizadas bajo cada categoría de fuente. </t>
    </r>
  </si>
  <si>
    <t>TOTAL de emisiones cuantificadas*1*2*3</t>
  </si>
  <si>
    <t>NIVEL DE INVENTARIO 1 - RESUMEN TOTAL</t>
  </si>
  <si>
    <t>TOTAL de emisiones cuantificadas *1*2*3*4*5</t>
  </si>
  <si>
    <r>
      <rPr>
        <sz val="10"/>
        <rFont val="Arial"/>
        <family val="2"/>
      </rPr>
      <t xml:space="preserve">*4 Para evitar el conteo doble de mercurio en los productos elaborados localmente y vendidos en el mercado local (incluidos el petróleo y gas), solo se incluyen en el TOTAL de entradas las emisiones de mercurio </t>
    </r>
    <r>
      <rPr>
        <i/>
        <sz val="10"/>
        <rFont val="Arial"/>
        <family val="2"/>
      </rPr>
      <t>producidas</t>
    </r>
    <r>
      <rPr>
        <sz val="10"/>
        <rFont val="Arial"/>
        <family val="2"/>
      </rPr>
      <t xml:space="preserve"> a partir de la producción.</t>
    </r>
  </si>
  <si>
    <r>
      <rPr>
        <sz val="10"/>
        <color rgb="FF00B050"/>
        <rFont val="Arial"/>
        <family val="2"/>
      </rPr>
      <t>Los datos que aparecen en letra verde, si los hubiere, se ingresaron en la hoja "Inserte resultados de NI2". Esos datos prevalecen sobre los resultados calculados del NI1 para las mismas subcategorías de fuente, y en todas las hojas de resúmenes y gráficos se muestran los datos del NI2.</t>
    </r>
  </si>
  <si>
    <r>
      <rPr>
        <sz val="10"/>
        <color rgb="FF00B050"/>
        <rFont val="Arial"/>
        <family val="2"/>
      </rPr>
      <t>Los resultados del NI2 ingresados pueden verse en la hoja "Inserte resultados de NI2".</t>
    </r>
  </si>
  <si>
    <r>
      <rPr>
        <sz val="10"/>
        <rFont val="Arial"/>
        <family val="2"/>
      </rPr>
      <t xml:space="preserve">MUY IMPORTANTE: </t>
    </r>
    <r>
      <rPr>
        <b/>
        <sz val="10"/>
        <rFont val="Arial"/>
        <family val="2"/>
      </rPr>
      <t>NO</t>
    </r>
    <r>
      <rPr>
        <sz val="10"/>
        <rFont val="Arial"/>
        <family val="2"/>
      </rPr>
      <t xml:space="preserve"> MODIFIQUE NINGUNA FÓRMULA. VERIFIQUE CUIDADOSAMENTE CUÁLES CELDAS TIENEN FÓRMULAS, ANTES DE HACER LA TRADUCCIÓN</t>
    </r>
  </si>
  <si>
    <t xml:space="preserve">La versión en español de la hoja de cálculo fue actualizada por Ramon Jimenez y Juha Ronkainen de acuerdo a la traducción previa del 2015 puesta a disposición por El Centro Coordinador del Convenio de Basilea para América Latina y el Caribe (BCCC) </t>
  </si>
  <si>
    <t>Number of inhabitants 2015*3</t>
  </si>
  <si>
    <t>Eswatini (Swaziland)</t>
  </si>
  <si>
    <t xml:space="preserve">*3: Data source: United Nations, Department of Economic and Social Affairs, Population Division (2017). World Population Prospects: The 2017 Revision, DVD Edition. (Population estimates from year 2015). </t>
  </si>
  <si>
    <t>https://population.un.org/wpp/DataQuery/</t>
  </si>
  <si>
    <t>1-De click aquí para seleccionar el país</t>
  </si>
  <si>
    <t>Población en 2015 (o tan reciente como lo permitan los datos disponibles; UN DESA, 2017)</t>
  </si>
  <si>
    <t>Combustión de carbón en calderas industriales de carbón</t>
  </si>
  <si>
    <t>Sin empleo de controles default</t>
  </si>
  <si>
    <t>Escenarios de salida por default en caso que los controles NO estén incluidos en los cálculos</t>
  </si>
  <si>
    <t>NIVEL 1 - ESCENARIOS DE SALIDA POR DEFAULT</t>
  </si>
  <si>
    <t xml:space="preserve">Las entradas estimadas de Hg (o equivalentes ingresados como resultados IL2) marcados en color rojo es muy alto comparados con las observaciones previas. La información podría estar correcta, pero por favor confirme la información de la tasa de actividad (o información ingresada IL2) </t>
  </si>
  <si>
    <t>Más de 1/3 (un tercio =33%) de los residuos de productos añadidos con mercurio son recolectados de manera segura y tratados de manera separada</t>
  </si>
  <si>
    <t>Menos de 1/3 (un tercio =33%) de los residuos de productos añadidos con mercurio son recolectados de manera segura y tratados de manera separada</t>
  </si>
  <si>
    <t>Ingrese porcentajes de tasas de actividad total por tipo:</t>
  </si>
  <si>
    <t>Opciones de abatimiento de contaminación relevante (guía: de click en las celdas oliva)</t>
  </si>
  <si>
    <t>1: CCA simple para material particulado</t>
  </si>
  <si>
    <t>Ninguno</t>
  </si>
  <si>
    <t>0: Ninguno</t>
  </si>
  <si>
    <t>2: Filtros de tela (FT; o "filtros de bolsa")</t>
  </si>
  <si>
    <t>3: CCA eficiente</t>
  </si>
  <si>
    <t>4: CCA muy eficiente</t>
  </si>
  <si>
    <t>5: Específico del mercurio</t>
  </si>
  <si>
    <t>Precipitadores electrostáticos (PES) o depurador de partículas (DP)</t>
  </si>
  <si>
    <t>PES-LC y DGE</t>
  </si>
  <si>
    <t>Procesamiento de gas sin eliminación de mercurio</t>
  </si>
  <si>
    <t>Procesamiento de gas con eliminación de mercurio</t>
  </si>
  <si>
    <t>Sin uso de filtros con retención de MP seco y grueso</t>
  </si>
  <si>
    <t>Limpieza húmeda del gas</t>
  </si>
  <si>
    <t>Limpieza húmeda del gas y planta de ácido</t>
  </si>
  <si>
    <t>Limpieza húmeda del gas, planta de ácido y filtro específicos para mercurio</t>
  </si>
  <si>
    <t>Sin uso de retortas</t>
  </si>
  <si>
    <t>Con uso de retortas</t>
  </si>
  <si>
    <t>1) CON RESIDUOS USADOS como combustible (&gt;3% de la energía); opciones de abatimiento de  la contaminación relevante)</t>
  </si>
  <si>
    <t>2) NO/RESIDUOS BAJOS empleados como combustible; opciones de abatimiento de la contaminación relevantes</t>
  </si>
  <si>
    <t>Control simple de partículas (PES/DP/FT)</t>
  </si>
  <si>
    <t>Controles de partícula optimizados (FT+RNCS / FT+DH / PES+DGC / FT optimizado)</t>
  </si>
  <si>
    <t>Control eficiente de la contaminación por Hg (FT+DS / PES+DS / PES+DH / PES+RNCS)</t>
  </si>
  <si>
    <t>Control muy eficiente de la contaminación por Hg (DGChúm+ICA / FT+depurador +RNCS)</t>
  </si>
  <si>
    <t>Control MP  con PES, o DP</t>
  </si>
  <si>
    <r>
      <rPr>
        <b/>
        <sz val="10"/>
        <rFont val="Arial"/>
        <family val="2"/>
      </rPr>
      <t>b)</t>
    </r>
    <r>
      <rPr>
        <sz val="10"/>
        <rFont val="Arial"/>
        <family val="2"/>
      </rPr>
      <t xml:space="preserve"> Es más de 1/3 (un tercio = 33%) de desechos de productos con mercurio añadido recolectados de forma segura y tratados por separado?</t>
    </r>
  </si>
  <si>
    <t>Estas dos preguntas deben ser respondidas para emisiones de productos relacionados con mercurio para ser calculados</t>
  </si>
  <si>
    <t>ERROR: Estas dos preguntas deben ser respondidas. La combinación: "no" en la celda B4 y "sí" en la celda E4 no es válido</t>
  </si>
  <si>
    <t>Sin dispositivos de reducción de emisión</t>
  </si>
  <si>
    <t>Reducción de MP con PES simple o similar</t>
  </si>
  <si>
    <t>Control de gases ácidos + retención de MP con FT o PES en dirección del flujo</t>
  </si>
  <si>
    <t>Absorbentes específicos para mercurio + FT en dirección del flujo</t>
  </si>
  <si>
    <t>Sin tratamiento</t>
  </si>
  <si>
    <t>Solo tratamiento mecánico</t>
  </si>
  <si>
    <t>Tratamiento mecánico y biológico (lodos activados), sin aplicación de los lodos al suelo</t>
  </si>
  <si>
    <t>Tratamiento mecánico y biológico (lodos activados), &gt;40 % de los lodos utilizados para aplicación al suelo</t>
  </si>
  <si>
    <t>Entradas totales de Hg calculadas en los residuos generales:</t>
  </si>
  <si>
    <t>Salidas totales de Hg calculadas en los residuos generales del uso intencional de mercurio:</t>
  </si>
  <si>
    <t>Resultados de prueba de los residuos generales (citados en su reporte):</t>
  </si>
  <si>
    <t>Entradas totales de Hg calculadas en el tratamiento de agua residual:</t>
  </si>
  <si>
    <t>Salidas totales de Hg calculadas en el agua del uso intencional de mercurio</t>
  </si>
  <si>
    <t>Clínicas donde sólo coladores de rejilla simple/filtros son empleados</t>
  </si>
  <si>
    <t>Clínicas donde separadores de amalgama de alta eficiencia son empleados</t>
  </si>
  <si>
    <t>NOTA: Selección respecto al manejo de desechos:</t>
  </si>
  <si>
    <t>RESULTADOS DEL INVENTARIO NIVEL 1 (IL1) - INSERCIÓN DEL INVENTARIO NIVEL 2 (IL2) SI HAY ALGUNO</t>
  </si>
  <si>
    <t>Si ha calculado los resultados de inventario para las categorías de fuentes de mercurio seleccionadas en el Nivel de Inventario 2, los resultados se pueden ingresar aquí para que se incluyan en las tablas de resultados resumen (consulte la Guía del Inventario Nivel 1 para obtener consejos).</t>
  </si>
  <si>
    <t>Presencia de fuentes (s/n/?) y los datos de tasa de actividad siempre se deben ingresar en la pagina de Pasos correspondiente en esta hoja de cálculo, también cuando se introduzcan los resultados del Inventario Nivel 2.</t>
  </si>
  <si>
    <t>Tenga en cuenta que todos los datos y cálculos insertados en los Pasos 1-7 para las mismas categorías de fuentes se anulan, por los resultados insertados en la hoja actual IL2, en todas las hojas de resumen y de gráficos.</t>
  </si>
  <si>
    <t>Nota importante: esta hoja debe usarse UNICAMENTE para incluir los resultados de inventario calculados en el Inventario Nivel 2, y se requiere la documentación adecuada</t>
  </si>
  <si>
    <t>(cualquier inserción aquí interrumpirá la presentación resumida de los resultados del IL1 para las mismas categorías de fuentes).</t>
  </si>
  <si>
    <t>*6 Para evitar el doble conteo, las contribuciones de mercurio de los combustibles fósiles a la producción de cemento se restaron automáticamente en los TOTALES.</t>
  </si>
  <si>
    <t>Producción de otros materiales*6</t>
  </si>
  <si>
    <t>*8 Para evitar el doble conteo, las contribuciones de mercurio de los combustibles fósiles a la producción de cemento se restaron automáticamente en los TOTALES.</t>
  </si>
  <si>
    <t>Producción de otros materiales*5*8</t>
  </si>
  <si>
    <t>*3 Para evitar el doble conteo, las contribuciones de mercurio de los combustibles fósiles a la producción de cemento se restaron automáticamente en los TOTALES.</t>
  </si>
  <si>
    <t>Opciones de abatimiento de contaminación relevante</t>
  </si>
  <si>
    <t>*4 Para evitar el doble conteo, las contribuciones de mercurio de los combustibles fósiles a la producción de cemento se restaron automáticamente en los TOTALES.</t>
  </si>
  <si>
    <t>*5 Para evitar el doble conteo, las contribuciones de mercurio de los combustibles fósiles a la producción de cemento se restaron automáticamente en los TOTALES.</t>
  </si>
  <si>
    <r>
      <rPr>
        <sz val="10"/>
        <rFont val="Arial"/>
        <family val="2"/>
      </rPr>
      <t>TJ (terajulios) gas usado/a</t>
    </r>
  </si>
  <si>
    <r>
      <rPr>
        <sz val="10"/>
        <rFont val="Arial"/>
        <family val="2"/>
      </rPr>
      <t>TJ (terajulios) gas producido/a</t>
    </r>
  </si>
  <si>
    <r>
      <rPr>
        <sz val="10"/>
        <rFont val="Arial"/>
        <family val="2"/>
      </rPr>
      <t>t zinc producido/a</t>
    </r>
  </si>
  <si>
    <r>
      <rPr>
        <sz val="10"/>
        <rFont val="Arial"/>
        <family val="2"/>
      </rPr>
      <t>t cobre producido/a</t>
    </r>
  </si>
  <si>
    <r>
      <rPr>
        <sz val="10"/>
        <rFont val="Arial"/>
        <family val="2"/>
      </rPr>
      <t>t plomo producido/a</t>
    </r>
  </si>
  <si>
    <r>
      <rPr>
        <sz val="10"/>
        <rFont val="Arial"/>
        <family val="2"/>
      </rPr>
      <t>t oro producido/a</t>
    </r>
  </si>
  <si>
    <r>
      <rPr>
        <sz val="10"/>
        <rFont val="Arial"/>
        <family val="2"/>
      </rPr>
      <t>t aluminio metal materia prima producido/a</t>
    </r>
  </si>
  <si>
    <t>Extracción de oro con amalgamación de mercurio -  a partir del mineral entero (mineral en bruto)</t>
  </si>
  <si>
    <t>2-15</t>
  </si>
  <si>
    <t>1.4-4</t>
  </si>
  <si>
    <t>15-70</t>
  </si>
  <si>
    <t>5-150</t>
  </si>
  <si>
    <t>0.2-4</t>
  </si>
  <si>
    <t>g oro producido/t mineral usado</t>
  </si>
  <si>
    <t>Global 2013 gold mine and deposits ranking, http://2oqz471sa19h3vbwa53m33yj.wpengine.netdna-cdn.com/wp-content/uploads/2013/11/global-gold-mine-and-deposit-rankings-2013.pdf)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</si>
</sst>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3" formatCode="_(* #,##0.00_);_(* \(#,##0.00\);_(* &quot;-&quot;??_);_(@_)"/>
    <numFmt numFmtId="164" formatCode="0.000"/>
    <numFmt numFmtId="165" formatCode="0.0"/>
    <numFmt numFmtId="166" formatCode="#,##0.000"/>
    <numFmt numFmtId="167" formatCode="#,##0.00000"/>
    <numFmt numFmtId="168" formatCode="#,##0.0"/>
    <numFmt numFmtId="169" formatCode="_(* #,##0_);_(* \(#,##0\);_(* &quot;-&quot;??_);_(@_)"/>
    <numFmt numFmtId="170" formatCode="0.0000"/>
    <numFmt numFmtId="171" formatCode="0.0000000000"/>
    <numFmt numFmtId="172" formatCode="0.000000"/>
    <numFmt numFmtId="173" formatCode="_(* #,##0.0000_);_(* \(#,##0.0000\);_(* &quot;-&quot;??_);_(@_)"/>
  </numFmts>
  <fonts count="64">
    <font>
      <sz val="10"/>
      <name val="Arial"/>
    </font>
    <font>
      <sz val="10"/>
      <name val="Arial"/>
      <family val="2"/>
    </font>
    <font>
      <sz val="8"/>
      <name val="Arial"/>
      <family val="2"/>
    </font>
    <font>
      <b/>
      <sz val="10"/>
      <name val="Arial"/>
      <family val="2"/>
    </font>
    <font>
      <b/>
      <sz val="14"/>
      <name val="Arial"/>
      <family val="2"/>
    </font>
    <font>
      <b/>
      <u/>
      <sz val="10"/>
      <name val="Arial"/>
      <family val="2"/>
    </font>
    <font>
      <sz val="10"/>
      <name val="Arial"/>
      <family val="2"/>
    </font>
    <font>
      <sz val="10"/>
      <name val="Times New Roman"/>
      <family val="1"/>
    </font>
    <font>
      <b/>
      <sz val="10"/>
      <color indexed="10"/>
      <name val="Arial"/>
      <family val="2"/>
    </font>
    <font>
      <sz val="10"/>
      <color indexed="11"/>
      <name val="Arial"/>
      <family val="2"/>
    </font>
    <font>
      <b/>
      <sz val="10"/>
      <name val="Times New Roman"/>
      <family val="1"/>
    </font>
    <font>
      <i/>
      <sz val="10"/>
      <name val="Times New Roman"/>
      <family val="1"/>
    </font>
    <font>
      <b/>
      <sz val="11.5"/>
      <name val="Times New Roman"/>
      <family val="1"/>
    </font>
    <font>
      <b/>
      <sz val="11"/>
      <name val="Times New Roman"/>
      <family val="1"/>
    </font>
    <font>
      <b/>
      <sz val="11"/>
      <color indexed="10"/>
      <name val="Arial"/>
      <family val="2"/>
    </font>
    <font>
      <sz val="10"/>
      <color indexed="10"/>
      <name val="Arial"/>
      <family val="2"/>
    </font>
    <font>
      <u/>
      <sz val="8.5"/>
      <color indexed="12"/>
      <name val="Arial"/>
      <family val="2"/>
    </font>
    <font>
      <b/>
      <sz val="12"/>
      <name val="Arial"/>
      <family val="2"/>
    </font>
    <font>
      <b/>
      <sz val="11"/>
      <name val="Arial"/>
      <family val="2"/>
    </font>
    <font>
      <b/>
      <sz val="14"/>
      <color indexed="10"/>
      <name val="Arial"/>
      <family val="2"/>
    </font>
    <font>
      <b/>
      <sz val="10"/>
      <name val="Arial"/>
      <family val="2"/>
    </font>
    <font>
      <sz val="10"/>
      <name val="Arial"/>
      <family val="2"/>
    </font>
    <font>
      <b/>
      <sz val="10"/>
      <color indexed="10"/>
      <name val="Arial"/>
      <family val="2"/>
    </font>
    <font>
      <i/>
      <sz val="10"/>
      <name val="Arial"/>
      <family val="2"/>
    </font>
    <font>
      <sz val="10"/>
      <name val="Arial"/>
      <family val="2"/>
    </font>
    <font>
      <b/>
      <i/>
      <sz val="10"/>
      <name val="Arial"/>
      <family val="2"/>
    </font>
    <font>
      <u/>
      <sz val="10"/>
      <name val="Arial"/>
      <family val="2"/>
    </font>
    <font>
      <sz val="8"/>
      <color indexed="81"/>
      <name val="Tahoma"/>
      <family val="2"/>
    </font>
    <font>
      <b/>
      <sz val="8"/>
      <color indexed="81"/>
      <name val="Tahoma"/>
      <family val="2"/>
    </font>
    <font>
      <sz val="10"/>
      <name val="Arial"/>
      <family val="2"/>
    </font>
    <font>
      <sz val="11"/>
      <name val="Calibri"/>
      <family val="2"/>
    </font>
    <font>
      <sz val="10"/>
      <name val="Arial"/>
      <family val="2"/>
    </font>
    <font>
      <sz val="10"/>
      <name val="Arial"/>
      <family val="2"/>
    </font>
    <font>
      <sz val="8"/>
      <name val="Times New Roman"/>
      <family val="1"/>
    </font>
    <font>
      <vertAlign val="subscript"/>
      <sz val="10"/>
      <name val="Arial"/>
      <family val="2"/>
    </font>
    <font>
      <sz val="9"/>
      <color indexed="81"/>
      <name val="Tahoma"/>
      <family val="2"/>
    </font>
    <font>
      <b/>
      <sz val="9"/>
      <color indexed="81"/>
      <name val="Tahoma"/>
      <family val="2"/>
    </font>
    <font>
      <sz val="11"/>
      <color theme="1"/>
      <name val="Calibri"/>
      <family val="2"/>
      <scheme val="minor"/>
    </font>
    <font>
      <b/>
      <sz val="11"/>
      <color theme="1"/>
      <name val="Calibri"/>
      <family val="2"/>
      <scheme val="minor"/>
    </font>
    <font>
      <sz val="11"/>
      <color rgb="FFFF0000"/>
      <name val="Calibri"/>
      <family val="2"/>
      <scheme val="minor"/>
    </font>
    <font>
      <b/>
      <sz val="10"/>
      <color rgb="FFFF0000"/>
      <name val="Arial"/>
      <family val="2"/>
    </font>
    <font>
      <sz val="10"/>
      <color rgb="FFFF0000"/>
      <name val="Arial"/>
      <family val="2"/>
    </font>
    <font>
      <b/>
      <sz val="10"/>
      <color rgb="FFC00000"/>
      <name val="Times New Roman"/>
      <family val="1"/>
    </font>
    <font>
      <b/>
      <sz val="10"/>
      <color rgb="FFC00000"/>
      <name val="Arial"/>
      <family val="2"/>
    </font>
    <font>
      <sz val="10"/>
      <color rgb="FFC00000"/>
      <name val="Arial"/>
      <family val="2"/>
    </font>
    <font>
      <b/>
      <sz val="10"/>
      <color rgb="FFFF0000"/>
      <name val="Times New Roman"/>
      <family val="1"/>
    </font>
    <font>
      <sz val="10"/>
      <color rgb="FF222222"/>
      <name val="Inherit"/>
    </font>
    <font>
      <sz val="10"/>
      <color rgb="FF00B050"/>
      <name val="Arial"/>
      <family val="2"/>
    </font>
    <font>
      <sz val="8"/>
      <color rgb="FF000000"/>
      <name val="Verdana"/>
      <family val="2"/>
    </font>
    <font>
      <i/>
      <sz val="8"/>
      <color rgb="FF000000"/>
      <name val="Verdana"/>
      <family val="2"/>
    </font>
    <font>
      <u/>
      <sz val="8"/>
      <color rgb="FF000000"/>
      <name val="Verdana"/>
      <family val="2"/>
    </font>
    <font>
      <sz val="11"/>
      <name val="Calibri"/>
      <family val="2"/>
      <scheme val="minor"/>
    </font>
    <font>
      <sz val="8"/>
      <color theme="0"/>
      <name val="Arial"/>
      <family val="2"/>
    </font>
    <font>
      <b/>
      <sz val="10"/>
      <color rgb="FF00B050"/>
      <name val="Arial"/>
      <family val="2"/>
    </font>
    <font>
      <sz val="10"/>
      <color rgb="FFFFFFCC"/>
      <name val="Arial"/>
      <family val="2"/>
    </font>
    <font>
      <sz val="10"/>
      <color theme="6" tint="-0.499984740745262"/>
      <name val="Arial"/>
      <family val="2"/>
    </font>
    <font>
      <b/>
      <sz val="10"/>
      <color theme="6" tint="-0.499984740745262"/>
      <name val="Arial"/>
      <family val="2"/>
    </font>
    <font>
      <sz val="10"/>
      <color theme="0"/>
      <name val="Arial"/>
      <family val="2"/>
    </font>
    <font>
      <b/>
      <sz val="9"/>
      <color rgb="FF000000"/>
      <name val="Tahoma"/>
      <family val="2"/>
    </font>
    <font>
      <sz val="9"/>
      <color rgb="FF000000"/>
      <name val="Tahoma"/>
      <family val="2"/>
    </font>
    <font>
      <b/>
      <sz val="11"/>
      <name val="Calibri"/>
      <family val="2"/>
    </font>
    <font>
      <sz val="10"/>
      <color theme="1"/>
      <name val="Arial"/>
      <family val="2"/>
    </font>
    <font>
      <b/>
      <sz val="8"/>
      <color rgb="FF000000"/>
      <name val="Tahoma"/>
      <family val="2"/>
    </font>
    <font>
      <sz val="8"/>
      <color rgb="FF000000"/>
      <name val="Tahoma"/>
      <family val="2"/>
    </font>
  </fonts>
  <fills count="16">
    <fill>
      <patternFill patternType="none"/>
    </fill>
    <fill>
      <patternFill patternType="gray125"/>
    </fill>
    <fill>
      <patternFill patternType="solid">
        <fgColor indexed="41"/>
        <bgColor indexed="64"/>
      </patternFill>
    </fill>
    <fill>
      <patternFill patternType="solid">
        <fgColor indexed="43"/>
        <bgColor indexed="64"/>
      </patternFill>
    </fill>
    <fill>
      <patternFill patternType="solid">
        <fgColor indexed="9"/>
        <bgColor indexed="64"/>
      </patternFill>
    </fill>
    <fill>
      <patternFill patternType="solid">
        <fgColor rgb="FFFFC000"/>
        <bgColor indexed="64"/>
      </patternFill>
    </fill>
    <fill>
      <patternFill patternType="solid">
        <fgColor rgb="FFFFFFCC"/>
        <bgColor indexed="64"/>
      </patternFill>
    </fill>
    <fill>
      <patternFill patternType="solid">
        <fgColor theme="0"/>
        <bgColor indexed="64"/>
      </patternFill>
    </fill>
    <fill>
      <patternFill patternType="solid">
        <fgColor rgb="FFCCFFFF"/>
        <bgColor indexed="64"/>
      </patternFill>
    </fill>
    <fill>
      <patternFill patternType="solid">
        <fgColor rgb="FF92D050"/>
        <bgColor indexed="64"/>
      </patternFill>
    </fill>
    <fill>
      <patternFill patternType="solid">
        <fgColor rgb="FFFFFF66"/>
        <bgColor indexed="64"/>
      </patternFill>
    </fill>
    <fill>
      <patternFill patternType="solid">
        <fgColor rgb="FFFF0000"/>
        <bgColor indexed="64"/>
      </patternFill>
    </fill>
    <fill>
      <patternFill patternType="solid">
        <fgColor theme="6" tint="0.39997558519241921"/>
        <bgColor indexed="64"/>
      </patternFill>
    </fill>
    <fill>
      <patternFill patternType="solid">
        <fgColor rgb="FFFFFF99"/>
        <bgColor indexed="64"/>
      </patternFill>
    </fill>
    <fill>
      <patternFill patternType="solid">
        <fgColor theme="4" tint="0.79998168889431442"/>
        <bgColor indexed="64"/>
      </patternFill>
    </fill>
    <fill>
      <patternFill patternType="solid">
        <fgColor theme="0" tint="-0.14999847407452621"/>
        <bgColor theme="0" tint="-0.14999847407452621"/>
      </patternFill>
    </fill>
  </fills>
  <borders count="45">
    <border>
      <left/>
      <right/>
      <top/>
      <bottom/>
      <diagonal/>
    </border>
    <border>
      <left style="thin">
        <color indexed="64"/>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bottom style="medium">
        <color indexed="64"/>
      </bottom>
      <diagonal/>
    </border>
    <border>
      <left style="medium">
        <color indexed="64"/>
      </left>
      <right style="medium">
        <color indexed="64"/>
      </right>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thin">
        <color indexed="64"/>
      </top>
      <bottom style="thin">
        <color indexed="64"/>
      </bottom>
      <diagonal/>
    </border>
    <border>
      <left style="thin">
        <color theme="1"/>
      </left>
      <right/>
      <top/>
      <bottom/>
      <diagonal/>
    </border>
  </borders>
  <cellStyleXfs count="5">
    <xf numFmtId="0" fontId="0" fillId="0" borderId="0"/>
    <xf numFmtId="43" fontId="1" fillId="0" borderId="0" applyFont="0" applyFill="0" applyBorder="0" applyAlignment="0" applyProtection="0"/>
    <xf numFmtId="0" fontId="16" fillId="0" borderId="0" applyNumberFormat="0" applyFill="0" applyBorder="0" applyAlignment="0" applyProtection="0">
      <alignment vertical="top"/>
      <protection locked="0"/>
    </xf>
    <xf numFmtId="9" fontId="1" fillId="0" borderId="0" applyFont="0" applyFill="0" applyBorder="0" applyAlignment="0" applyProtection="0"/>
    <xf numFmtId="0" fontId="1" fillId="0" borderId="0"/>
  </cellStyleXfs>
  <cellXfs count="839">
    <xf numFmtId="0" fontId="0" fillId="0" borderId="0" xfId="0"/>
    <xf numFmtId="0" fontId="4" fillId="0" borderId="0" xfId="0" applyFont="1"/>
    <xf numFmtId="0" fontId="0" fillId="2" borderId="0" xfId="0" applyFill="1"/>
    <xf numFmtId="0" fontId="0" fillId="0" borderId="0" xfId="0" applyFill="1"/>
    <xf numFmtId="0" fontId="0" fillId="3" borderId="0" xfId="0" applyFill="1"/>
    <xf numFmtId="0" fontId="3" fillId="0" borderId="0" xfId="0" applyFont="1"/>
    <xf numFmtId="0" fontId="0" fillId="0" borderId="0" xfId="0" quotePrefix="1"/>
    <xf numFmtId="0" fontId="3" fillId="0" borderId="0" xfId="0" applyFont="1" applyFill="1"/>
    <xf numFmtId="0" fontId="6" fillId="0" borderId="0" xfId="0" applyFont="1"/>
    <xf numFmtId="0" fontId="0" fillId="0" borderId="0" xfId="0" applyAlignment="1">
      <alignment wrapText="1"/>
    </xf>
    <xf numFmtId="0" fontId="8" fillId="3" borderId="0" xfId="0" applyFont="1" applyFill="1"/>
    <xf numFmtId="0" fontId="0" fillId="0" borderId="0" xfId="0" quotePrefix="1" applyFill="1"/>
    <xf numFmtId="0" fontId="3" fillId="0" borderId="0" xfId="0" applyFont="1" applyAlignment="1">
      <alignment wrapText="1"/>
    </xf>
    <xf numFmtId="0" fontId="0" fillId="0" borderId="1" xfId="0" applyBorder="1"/>
    <xf numFmtId="0" fontId="3" fillId="0" borderId="1" xfId="0" applyFont="1" applyBorder="1"/>
    <xf numFmtId="0" fontId="7" fillId="0" borderId="1" xfId="0" applyFont="1" applyBorder="1" applyAlignment="1">
      <alignment wrapText="1"/>
    </xf>
    <xf numFmtId="0" fontId="3" fillId="0" borderId="1" xfId="0" quotePrefix="1" applyFont="1" applyBorder="1"/>
    <xf numFmtId="0" fontId="7" fillId="0" borderId="0" xfId="0" applyFont="1" applyFill="1" applyBorder="1" applyAlignment="1">
      <alignment vertical="top" wrapText="1"/>
    </xf>
    <xf numFmtId="17" fontId="0" fillId="0" borderId="0" xfId="0" quotePrefix="1" applyNumberFormat="1"/>
    <xf numFmtId="0" fontId="9" fillId="0" borderId="0" xfId="0" applyFont="1" applyFill="1"/>
    <xf numFmtId="3" fontId="9" fillId="0" borderId="0" xfId="0" applyNumberFormat="1" applyFont="1" applyFill="1"/>
    <xf numFmtId="3" fontId="0" fillId="0" borderId="0" xfId="0" applyNumberFormat="1" applyFill="1"/>
    <xf numFmtId="4" fontId="0" fillId="0" borderId="0" xfId="0" applyNumberFormat="1" applyFill="1"/>
    <xf numFmtId="0" fontId="7" fillId="0" borderId="0" xfId="0" applyFont="1" applyFill="1" applyBorder="1" applyAlignment="1">
      <alignment horizontal="right" vertical="top" wrapText="1"/>
    </xf>
    <xf numFmtId="0" fontId="7" fillId="0" borderId="0" xfId="0" applyFont="1" applyFill="1" applyBorder="1" applyAlignment="1">
      <alignment horizontal="left" vertical="top" wrapText="1"/>
    </xf>
    <xf numFmtId="4" fontId="8" fillId="0" borderId="0" xfId="0" applyNumberFormat="1" applyFont="1" applyFill="1"/>
    <xf numFmtId="0" fontId="3" fillId="0" borderId="0" xfId="0" applyFont="1" applyFill="1" applyAlignment="1">
      <alignment wrapText="1"/>
    </xf>
    <xf numFmtId="0" fontId="0" fillId="0" borderId="0" xfId="0" quotePrefix="1" applyNumberFormat="1"/>
    <xf numFmtId="0" fontId="0" fillId="0" borderId="0" xfId="0" applyFill="1" applyBorder="1"/>
    <xf numFmtId="0" fontId="7" fillId="0" borderId="0" xfId="0" applyFont="1" applyFill="1" applyBorder="1" applyAlignment="1">
      <alignment wrapText="1"/>
    </xf>
    <xf numFmtId="0" fontId="3" fillId="0" borderId="0" xfId="0" applyFont="1" applyFill="1" applyBorder="1"/>
    <xf numFmtId="0" fontId="3" fillId="0" borderId="0" xfId="0" quotePrefix="1" applyFont="1" applyFill="1" applyBorder="1"/>
    <xf numFmtId="0" fontId="3" fillId="0" borderId="1" xfId="0" applyFont="1" applyBorder="1" applyAlignment="1">
      <alignment wrapText="1"/>
    </xf>
    <xf numFmtId="0" fontId="0" fillId="0" borderId="1" xfId="0" applyBorder="1" applyAlignment="1">
      <alignment wrapText="1"/>
    </xf>
    <xf numFmtId="0" fontId="3" fillId="0" borderId="1" xfId="0" quotePrefix="1" applyFont="1" applyBorder="1" applyAlignment="1">
      <alignment wrapText="1"/>
    </xf>
    <xf numFmtId="0" fontId="7" fillId="0" borderId="0" xfId="0" applyFont="1" applyBorder="1" applyAlignment="1">
      <alignment wrapText="1"/>
    </xf>
    <xf numFmtId="0" fontId="6" fillId="0" borderId="0" xfId="0" applyFont="1" applyFill="1"/>
    <xf numFmtId="0" fontId="7" fillId="0" borderId="0" xfId="0" applyFont="1" applyBorder="1" applyAlignment="1">
      <alignment horizontal="center" wrapText="1"/>
    </xf>
    <xf numFmtId="0" fontId="7" fillId="0" borderId="1" xfId="0" quotePrefix="1" applyFont="1" applyBorder="1" applyAlignment="1">
      <alignment wrapText="1"/>
    </xf>
    <xf numFmtId="0" fontId="10" fillId="0" borderId="1" xfId="0" applyFont="1" applyBorder="1" applyAlignment="1">
      <alignment wrapText="1"/>
    </xf>
    <xf numFmtId="0" fontId="3" fillId="0" borderId="0" xfId="0" quotePrefix="1" applyFont="1" applyFill="1"/>
    <xf numFmtId="17" fontId="0" fillId="0" borderId="0" xfId="0" quotePrefix="1" applyNumberFormat="1" applyFill="1"/>
    <xf numFmtId="0" fontId="7" fillId="0" borderId="0" xfId="0" applyFont="1" applyBorder="1" applyAlignment="1"/>
    <xf numFmtId="0" fontId="0" fillId="0" borderId="0" xfId="0" quotePrefix="1" applyAlignment="1">
      <alignment horizontal="center"/>
    </xf>
    <xf numFmtId="0" fontId="0" fillId="0" borderId="0" xfId="0" applyAlignment="1">
      <alignment horizontal="center"/>
    </xf>
    <xf numFmtId="0" fontId="0" fillId="0" borderId="0" xfId="0" quotePrefix="1" applyAlignment="1">
      <alignment horizontal="left"/>
    </xf>
    <xf numFmtId="0" fontId="0" fillId="0" borderId="0" xfId="0" quotePrefix="1" applyAlignment="1">
      <alignment horizontal="left" wrapText="1"/>
    </xf>
    <xf numFmtId="0" fontId="0" fillId="0" borderId="0" xfId="0" quotePrefix="1" applyFill="1" applyAlignment="1">
      <alignment horizontal="center"/>
    </xf>
    <xf numFmtId="0" fontId="0" fillId="0" borderId="0" xfId="0" applyBorder="1"/>
    <xf numFmtId="0" fontId="0" fillId="2" borderId="0" xfId="0" applyFill="1" applyBorder="1"/>
    <xf numFmtId="0" fontId="3" fillId="0" borderId="0" xfId="0" applyFont="1" applyBorder="1"/>
    <xf numFmtId="0" fontId="6" fillId="0" borderId="0" xfId="0" applyFont="1" applyBorder="1"/>
    <xf numFmtId="0" fontId="6" fillId="0" borderId="0" xfId="0" applyFont="1" applyBorder="1" applyAlignment="1">
      <alignment horizontal="left"/>
    </xf>
    <xf numFmtId="0" fontId="6" fillId="0" borderId="0" xfId="0" applyFont="1" applyAlignment="1">
      <alignment wrapText="1"/>
    </xf>
    <xf numFmtId="0" fontId="14" fillId="0" borderId="0" xfId="0" applyFont="1"/>
    <xf numFmtId="0" fontId="0" fillId="0" borderId="2" xfId="0" applyBorder="1"/>
    <xf numFmtId="0" fontId="3" fillId="3" borderId="3" xfId="0" applyFont="1" applyFill="1" applyBorder="1"/>
    <xf numFmtId="0" fontId="3" fillId="3" borderId="3" xfId="0" applyFont="1" applyFill="1" applyBorder="1" applyAlignment="1">
      <alignment wrapText="1"/>
    </xf>
    <xf numFmtId="0" fontId="0" fillId="3" borderId="3" xfId="0" applyFill="1" applyBorder="1"/>
    <xf numFmtId="0" fontId="3" fillId="0" borderId="1" xfId="0" quotePrefix="1" applyFont="1" applyFill="1" applyBorder="1"/>
    <xf numFmtId="0" fontId="7" fillId="0" borderId="0" xfId="0" applyFont="1" applyFill="1" applyBorder="1" applyAlignment="1">
      <alignment horizontal="center" wrapText="1"/>
    </xf>
    <xf numFmtId="0" fontId="7" fillId="0" borderId="0" xfId="0" applyFont="1" applyFill="1" applyBorder="1" applyAlignment="1"/>
    <xf numFmtId="0" fontId="7" fillId="0" borderId="1" xfId="0" applyFont="1" applyFill="1" applyBorder="1" applyAlignment="1">
      <alignment wrapText="1"/>
    </xf>
    <xf numFmtId="0" fontId="0" fillId="0" borderId="1" xfId="0" applyFill="1" applyBorder="1"/>
    <xf numFmtId="0" fontId="3" fillId="0" borderId="1" xfId="0" applyFont="1" applyFill="1" applyBorder="1"/>
    <xf numFmtId="0" fontId="3" fillId="2" borderId="0" xfId="0" applyFont="1" applyFill="1"/>
    <xf numFmtId="0" fontId="6" fillId="0" borderId="0" xfId="0" applyFont="1" applyFill="1" applyAlignment="1">
      <alignment wrapText="1"/>
    </xf>
    <xf numFmtId="0" fontId="3" fillId="0" borderId="0" xfId="0" quotePrefix="1" applyFont="1" applyAlignment="1">
      <alignment wrapText="1"/>
    </xf>
    <xf numFmtId="0" fontId="10" fillId="0" borderId="0" xfId="0" applyFont="1" applyBorder="1" applyAlignment="1">
      <alignment wrapText="1"/>
    </xf>
    <xf numFmtId="0" fontId="10" fillId="0" borderId="0" xfId="0" applyFont="1" applyBorder="1" applyAlignment="1">
      <alignment vertical="top" wrapText="1"/>
    </xf>
    <xf numFmtId="0" fontId="3" fillId="0" borderId="0" xfId="0" quotePrefix="1" applyFont="1" applyFill="1" applyAlignment="1">
      <alignment wrapText="1"/>
    </xf>
    <xf numFmtId="0" fontId="12" fillId="0" borderId="0" xfId="0" applyFont="1" applyAlignment="1">
      <alignment wrapText="1"/>
    </xf>
    <xf numFmtId="0" fontId="13" fillId="0" borderId="0" xfId="0" applyFont="1" applyAlignment="1">
      <alignment wrapText="1"/>
    </xf>
    <xf numFmtId="0" fontId="13" fillId="0" borderId="0" xfId="0" applyFont="1" applyBorder="1" applyAlignment="1">
      <alignment vertical="top" wrapText="1"/>
    </xf>
    <xf numFmtId="0" fontId="6" fillId="0" borderId="0" xfId="0" applyFont="1" applyAlignment="1"/>
    <xf numFmtId="0" fontId="3" fillId="0" borderId="0" xfId="0" quotePrefix="1" applyFont="1" applyAlignment="1">
      <alignment horizontal="center"/>
    </xf>
    <xf numFmtId="0" fontId="0" fillId="2" borderId="3" xfId="0" applyFill="1" applyBorder="1"/>
    <xf numFmtId="0" fontId="0" fillId="3" borderId="3" xfId="0" applyFill="1" applyBorder="1" applyAlignment="1">
      <alignment horizontal="center"/>
    </xf>
    <xf numFmtId="0" fontId="3" fillId="3" borderId="4" xfId="0" applyFont="1" applyFill="1" applyBorder="1" applyAlignment="1">
      <alignment horizontal="center"/>
    </xf>
    <xf numFmtId="0" fontId="3" fillId="3" borderId="4" xfId="0" applyFont="1" applyFill="1" applyBorder="1" applyAlignment="1">
      <alignment horizontal="center" wrapText="1"/>
    </xf>
    <xf numFmtId="0" fontId="3" fillId="3" borderId="5" xfId="0" applyFont="1" applyFill="1" applyBorder="1"/>
    <xf numFmtId="0" fontId="0" fillId="3" borderId="5" xfId="0" applyFill="1" applyBorder="1"/>
    <xf numFmtId="0" fontId="3" fillId="3" borderId="6" xfId="0" applyFont="1" applyFill="1" applyBorder="1"/>
    <xf numFmtId="0" fontId="0" fillId="3" borderId="7" xfId="0" applyFill="1" applyBorder="1"/>
    <xf numFmtId="0" fontId="8" fillId="3" borderId="3" xfId="0" applyFont="1" applyFill="1" applyBorder="1" applyAlignment="1">
      <alignment wrapText="1"/>
    </xf>
    <xf numFmtId="1" fontId="0" fillId="3" borderId="3" xfId="0" applyNumberFormat="1" applyFill="1" applyBorder="1" applyAlignment="1">
      <alignment horizontal="center"/>
    </xf>
    <xf numFmtId="1" fontId="0" fillId="3" borderId="3" xfId="0" quotePrefix="1" applyNumberFormat="1" applyFill="1" applyBorder="1" applyAlignment="1">
      <alignment horizontal="center"/>
    </xf>
    <xf numFmtId="165" fontId="0" fillId="3" borderId="3" xfId="0" applyNumberFormat="1" applyFill="1" applyBorder="1" applyAlignment="1">
      <alignment horizontal="center"/>
    </xf>
    <xf numFmtId="0" fontId="0" fillId="0" borderId="8" xfId="0" applyFill="1" applyBorder="1"/>
    <xf numFmtId="0" fontId="3" fillId="0" borderId="8" xfId="0" applyFont="1" applyFill="1" applyBorder="1" applyAlignment="1">
      <alignment wrapText="1"/>
    </xf>
    <xf numFmtId="0" fontId="0" fillId="0" borderId="9" xfId="0" applyBorder="1" applyAlignment="1">
      <alignment wrapText="1"/>
    </xf>
    <xf numFmtId="0" fontId="0" fillId="0" borderId="8" xfId="0" applyBorder="1"/>
    <xf numFmtId="0" fontId="5" fillId="0" borderId="0" xfId="0" applyFont="1" applyFill="1" applyBorder="1"/>
    <xf numFmtId="0" fontId="3" fillId="0" borderId="0" xfId="0" applyFont="1" applyFill="1" applyBorder="1" applyAlignment="1">
      <alignment wrapText="1"/>
    </xf>
    <xf numFmtId="0" fontId="3" fillId="2" borderId="0" xfId="0" applyFont="1" applyFill="1" applyBorder="1"/>
    <xf numFmtId="0" fontId="0" fillId="0" borderId="0" xfId="0" quotePrefix="1" applyBorder="1"/>
    <xf numFmtId="0" fontId="0" fillId="0" borderId="0" xfId="0" applyBorder="1" applyAlignment="1">
      <alignment wrapText="1"/>
    </xf>
    <xf numFmtId="0" fontId="3" fillId="0" borderId="8" xfId="0" applyFont="1" applyBorder="1" applyAlignment="1">
      <alignment wrapText="1"/>
    </xf>
    <xf numFmtId="0" fontId="0" fillId="0" borderId="8" xfId="0" quotePrefix="1" applyBorder="1"/>
    <xf numFmtId="0" fontId="3" fillId="0" borderId="9" xfId="0" quotePrefix="1" applyFont="1" applyBorder="1" applyAlignment="1">
      <alignment wrapText="1"/>
    </xf>
    <xf numFmtId="0" fontId="3" fillId="0" borderId="0" xfId="0" applyFont="1" applyBorder="1" applyAlignment="1">
      <alignment wrapText="1"/>
    </xf>
    <xf numFmtId="0" fontId="0" fillId="0" borderId="10" xfId="0" applyFill="1" applyBorder="1"/>
    <xf numFmtId="43" fontId="0" fillId="0" borderId="0" xfId="1" applyFont="1"/>
    <xf numFmtId="0" fontId="3" fillId="3" borderId="0" xfId="0" applyFont="1" applyFill="1"/>
    <xf numFmtId="0" fontId="0" fillId="0" borderId="2" xfId="0" applyFill="1" applyBorder="1"/>
    <xf numFmtId="0" fontId="0" fillId="0" borderId="2" xfId="0" applyBorder="1" applyAlignment="1">
      <alignment wrapText="1"/>
    </xf>
    <xf numFmtId="0" fontId="0" fillId="0" borderId="2" xfId="0" quotePrefix="1" applyBorder="1"/>
    <xf numFmtId="0" fontId="7" fillId="0" borderId="11" xfId="0" applyFont="1" applyBorder="1" applyAlignment="1">
      <alignment wrapText="1"/>
    </xf>
    <xf numFmtId="0" fontId="3" fillId="0" borderId="11" xfId="0" quotePrefix="1" applyFont="1" applyBorder="1" applyAlignment="1">
      <alignment wrapText="1"/>
    </xf>
    <xf numFmtId="0" fontId="7" fillId="0" borderId="2" xfId="0" applyFont="1" applyFill="1" applyBorder="1" applyAlignment="1">
      <alignment vertical="top" wrapText="1"/>
    </xf>
    <xf numFmtId="0" fontId="3" fillId="0" borderId="11" xfId="0" applyFont="1" applyBorder="1" applyAlignment="1">
      <alignment wrapText="1"/>
    </xf>
    <xf numFmtId="0" fontId="3" fillId="2" borderId="3" xfId="0" applyFont="1" applyFill="1" applyBorder="1"/>
    <xf numFmtId="0" fontId="3" fillId="2" borderId="3" xfId="0" applyFont="1" applyFill="1" applyBorder="1" applyAlignment="1">
      <alignment wrapText="1"/>
    </xf>
    <xf numFmtId="0" fontId="6" fillId="3" borderId="3" xfId="0" applyFont="1" applyFill="1" applyBorder="1"/>
    <xf numFmtId="4" fontId="8" fillId="3" borderId="3" xfId="0" applyNumberFormat="1" applyFont="1" applyFill="1" applyBorder="1"/>
    <xf numFmtId="3" fontId="0" fillId="3" borderId="3" xfId="0" applyNumberFormat="1" applyFill="1" applyBorder="1"/>
    <xf numFmtId="4" fontId="0" fillId="3" borderId="3" xfId="0" applyNumberFormat="1" applyFill="1" applyBorder="1"/>
    <xf numFmtId="0" fontId="7" fillId="2" borderId="3" xfId="0" applyFont="1" applyFill="1" applyBorder="1" applyAlignment="1">
      <alignment horizontal="right" vertical="top" wrapText="1"/>
    </xf>
    <xf numFmtId="0" fontId="7" fillId="2" borderId="3" xfId="0" applyFont="1" applyFill="1" applyBorder="1" applyAlignment="1">
      <alignment horizontal="left" vertical="top" wrapText="1"/>
    </xf>
    <xf numFmtId="0" fontId="0" fillId="2" borderId="4" xfId="0" applyFill="1" applyBorder="1"/>
    <xf numFmtId="0" fontId="3" fillId="2" borderId="4" xfId="0" applyFont="1" applyFill="1" applyBorder="1"/>
    <xf numFmtId="0" fontId="6" fillId="3" borderId="4" xfId="0" applyFont="1" applyFill="1" applyBorder="1"/>
    <xf numFmtId="0" fontId="0" fillId="3" borderId="4" xfId="0" applyFill="1" applyBorder="1"/>
    <xf numFmtId="0" fontId="3" fillId="0" borderId="3" xfId="0" applyFont="1" applyBorder="1"/>
    <xf numFmtId="0" fontId="3" fillId="0" borderId="3" xfId="0" applyFont="1" applyBorder="1" applyAlignment="1">
      <alignment wrapText="1"/>
    </xf>
    <xf numFmtId="0" fontId="3" fillId="0" borderId="3" xfId="0" applyFont="1" applyFill="1" applyBorder="1"/>
    <xf numFmtId="0" fontId="3" fillId="0" borderId="3" xfId="0" applyFont="1" applyFill="1" applyBorder="1" applyAlignment="1">
      <alignment wrapText="1"/>
    </xf>
    <xf numFmtId="0" fontId="0" fillId="2" borderId="3" xfId="0" applyFill="1" applyBorder="1" applyAlignment="1">
      <alignment horizontal="center"/>
    </xf>
    <xf numFmtId="0" fontId="0" fillId="0" borderId="5" xfId="0" applyFill="1" applyBorder="1"/>
    <xf numFmtId="0" fontId="0" fillId="0" borderId="5" xfId="0" applyBorder="1"/>
    <xf numFmtId="0" fontId="7" fillId="2" borderId="3" xfId="0" applyFont="1" applyFill="1" applyBorder="1" applyAlignment="1">
      <alignment horizontal="center" vertical="top" wrapText="1"/>
    </xf>
    <xf numFmtId="0" fontId="7" fillId="2" borderId="3" xfId="0" applyFont="1" applyFill="1" applyBorder="1" applyAlignment="1">
      <alignment horizontal="center" wrapText="1"/>
    </xf>
    <xf numFmtId="0" fontId="0" fillId="2" borderId="4" xfId="0" applyFill="1" applyBorder="1" applyAlignment="1">
      <alignment horizontal="center"/>
    </xf>
    <xf numFmtId="4" fontId="8" fillId="3" borderId="4" xfId="0" applyNumberFormat="1" applyFont="1" applyFill="1" applyBorder="1"/>
    <xf numFmtId="0" fontId="3" fillId="0" borderId="5" xfId="0" applyFont="1" applyBorder="1" applyAlignment="1">
      <alignment wrapText="1"/>
    </xf>
    <xf numFmtId="0" fontId="3" fillId="0" borderId="6" xfId="0" applyFont="1" applyBorder="1"/>
    <xf numFmtId="0" fontId="3" fillId="0" borderId="2" xfId="0" applyFont="1" applyBorder="1" applyAlignment="1">
      <alignment wrapText="1"/>
    </xf>
    <xf numFmtId="0" fontId="3" fillId="0" borderId="2" xfId="0" applyFont="1" applyFill="1" applyBorder="1" applyAlignment="1">
      <alignment wrapText="1"/>
    </xf>
    <xf numFmtId="0" fontId="0" fillId="0" borderId="11" xfId="0" applyBorder="1" applyAlignment="1">
      <alignment wrapText="1"/>
    </xf>
    <xf numFmtId="0" fontId="3" fillId="0" borderId="2" xfId="0" applyFont="1" applyFill="1" applyBorder="1"/>
    <xf numFmtId="0" fontId="3" fillId="0" borderId="6" xfId="0" applyFont="1" applyBorder="1" applyAlignment="1">
      <alignment wrapText="1"/>
    </xf>
    <xf numFmtId="0" fontId="3" fillId="0" borderId="7" xfId="0" applyFont="1" applyBorder="1" applyAlignment="1">
      <alignment wrapText="1"/>
    </xf>
    <xf numFmtId="0" fontId="3" fillId="0" borderId="6" xfId="0" applyFont="1" applyFill="1" applyBorder="1"/>
    <xf numFmtId="0" fontId="3" fillId="0" borderId="5" xfId="0" applyFont="1" applyFill="1" applyBorder="1"/>
    <xf numFmtId="0" fontId="3" fillId="0" borderId="5" xfId="0" applyFont="1" applyBorder="1"/>
    <xf numFmtId="0" fontId="3" fillId="0" borderId="7" xfId="0" applyFont="1" applyFill="1" applyBorder="1"/>
    <xf numFmtId="0" fontId="3" fillId="0" borderId="6" xfId="0" applyFont="1" applyFill="1" applyBorder="1" applyAlignment="1">
      <alignment wrapText="1"/>
    </xf>
    <xf numFmtId="0" fontId="3" fillId="2" borderId="3" xfId="0" applyFont="1" applyFill="1" applyBorder="1" applyAlignment="1">
      <alignment horizontal="center"/>
    </xf>
    <xf numFmtId="0" fontId="3" fillId="2" borderId="3" xfId="0" applyFont="1" applyFill="1" applyBorder="1" applyAlignment="1">
      <alignment horizontal="center" wrapText="1"/>
    </xf>
    <xf numFmtId="0" fontId="0" fillId="0" borderId="2" xfId="0" quotePrefix="1" applyFill="1" applyBorder="1"/>
    <xf numFmtId="0" fontId="0" fillId="0" borderId="2" xfId="0" applyFill="1" applyBorder="1" applyAlignment="1">
      <alignment wrapText="1"/>
    </xf>
    <xf numFmtId="0" fontId="3" fillId="0" borderId="5" xfId="0" applyFont="1" applyFill="1" applyBorder="1" applyAlignment="1">
      <alignment wrapText="1"/>
    </xf>
    <xf numFmtId="0" fontId="5" fillId="0" borderId="2" xfId="0" applyFont="1" applyFill="1" applyBorder="1"/>
    <xf numFmtId="0" fontId="3" fillId="0" borderId="4" xfId="0" applyFont="1" applyFill="1" applyBorder="1"/>
    <xf numFmtId="0" fontId="3" fillId="0" borderId="4" xfId="0" applyFont="1" applyFill="1" applyBorder="1" applyAlignment="1">
      <alignment wrapText="1"/>
    </xf>
    <xf numFmtId="0" fontId="3" fillId="0" borderId="12" xfId="0" applyFont="1" applyFill="1" applyBorder="1"/>
    <xf numFmtId="0" fontId="3" fillId="0" borderId="11" xfId="0" applyFont="1" applyFill="1" applyBorder="1" applyAlignment="1">
      <alignment wrapText="1"/>
    </xf>
    <xf numFmtId="0" fontId="3" fillId="0" borderId="13" xfId="0" applyFont="1" applyBorder="1"/>
    <xf numFmtId="0" fontId="7" fillId="0" borderId="13" xfId="0" applyFont="1" applyBorder="1" applyAlignment="1">
      <alignment wrapText="1"/>
    </xf>
    <xf numFmtId="0" fontId="7" fillId="0" borderId="4" xfId="0" applyFont="1" applyBorder="1" applyAlignment="1">
      <alignment wrapText="1"/>
    </xf>
    <xf numFmtId="0" fontId="0" fillId="0" borderId="4" xfId="0" applyBorder="1"/>
    <xf numFmtId="0" fontId="6" fillId="0" borderId="2" xfId="0" applyFont="1" applyBorder="1" applyAlignment="1">
      <alignment wrapText="1"/>
    </xf>
    <xf numFmtId="0" fontId="0" fillId="0" borderId="11" xfId="0" applyBorder="1"/>
    <xf numFmtId="0" fontId="3" fillId="0" borderId="2" xfId="0" quotePrefix="1" applyFont="1" applyBorder="1" applyAlignment="1">
      <alignment wrapText="1"/>
    </xf>
    <xf numFmtId="0" fontId="3" fillId="0" borderId="11" xfId="0" quotePrefix="1" applyFont="1" applyBorder="1"/>
    <xf numFmtId="0" fontId="3" fillId="0" borderId="2" xfId="0" quotePrefix="1" applyFont="1" applyBorder="1"/>
    <xf numFmtId="17" fontId="7" fillId="2" borderId="3" xfId="0" applyNumberFormat="1" applyFont="1" applyFill="1" applyBorder="1" applyAlignment="1">
      <alignment horizontal="center" vertical="top" wrapText="1"/>
    </xf>
    <xf numFmtId="0" fontId="7" fillId="2" borderId="3" xfId="0" applyFont="1" applyFill="1" applyBorder="1" applyAlignment="1">
      <alignment horizontal="right" wrapText="1"/>
    </xf>
    <xf numFmtId="3" fontId="8" fillId="3" borderId="3" xfId="0" applyNumberFormat="1" applyFont="1" applyFill="1" applyBorder="1"/>
    <xf numFmtId="3" fontId="6" fillId="3" borderId="3" xfId="0" applyNumberFormat="1" applyFont="1" applyFill="1" applyBorder="1"/>
    <xf numFmtId="0" fontId="0" fillId="2" borderId="3" xfId="0" applyFill="1" applyBorder="1" applyAlignment="1">
      <alignment horizontal="right"/>
    </xf>
    <xf numFmtId="4" fontId="6" fillId="3" borderId="3" xfId="0" applyNumberFormat="1" applyFont="1" applyFill="1" applyBorder="1"/>
    <xf numFmtId="3" fontId="1" fillId="3" borderId="3" xfId="0" applyNumberFormat="1" applyFont="1" applyFill="1" applyBorder="1"/>
    <xf numFmtId="0" fontId="1" fillId="3" borderId="3" xfId="0" applyFont="1" applyFill="1" applyBorder="1"/>
    <xf numFmtId="0" fontId="3" fillId="0" borderId="11" xfId="0" applyFont="1" applyBorder="1"/>
    <xf numFmtId="0" fontId="3" fillId="0" borderId="2" xfId="0" quotePrefix="1" applyFont="1" applyFill="1" applyBorder="1" applyAlignment="1">
      <alignment wrapText="1"/>
    </xf>
    <xf numFmtId="0" fontId="12" fillId="0" borderId="2" xfId="0" applyFont="1" applyBorder="1" applyAlignment="1">
      <alignment wrapText="1"/>
    </xf>
    <xf numFmtId="4" fontId="8" fillId="0" borderId="2" xfId="0" applyNumberFormat="1" applyFont="1" applyFill="1" applyBorder="1"/>
    <xf numFmtId="0" fontId="3" fillId="0" borderId="2" xfId="0" quotePrefix="1" applyFont="1" applyFill="1" applyBorder="1"/>
    <xf numFmtId="0" fontId="0" fillId="2" borderId="3" xfId="0" quotePrefix="1" applyFill="1" applyBorder="1"/>
    <xf numFmtId="0" fontId="3" fillId="0" borderId="8" xfId="0" applyFont="1" applyBorder="1"/>
    <xf numFmtId="0" fontId="3" fillId="0" borderId="8" xfId="0" applyFont="1" applyFill="1" applyBorder="1"/>
    <xf numFmtId="0" fontId="3" fillId="0" borderId="9" xfId="0" applyFont="1" applyFill="1" applyBorder="1"/>
    <xf numFmtId="0" fontId="3" fillId="2" borderId="8" xfId="0" applyFont="1" applyFill="1" applyBorder="1"/>
    <xf numFmtId="0" fontId="8" fillId="3" borderId="8" xfId="0" applyFont="1" applyFill="1" applyBorder="1"/>
    <xf numFmtId="0" fontId="3" fillId="3" borderId="8" xfId="0" applyFont="1" applyFill="1" applyBorder="1"/>
    <xf numFmtId="0" fontId="3" fillId="0" borderId="2" xfId="0" applyFont="1" applyBorder="1"/>
    <xf numFmtId="0" fontId="0" fillId="0" borderId="5" xfId="0" applyBorder="1" applyAlignment="1">
      <alignment horizontal="center"/>
    </xf>
    <xf numFmtId="0" fontId="0" fillId="2" borderId="3" xfId="0" quotePrefix="1" applyFill="1" applyBorder="1" applyAlignment="1">
      <alignment horizontal="center"/>
    </xf>
    <xf numFmtId="0" fontId="15" fillId="3" borderId="3" xfId="0" applyFont="1" applyFill="1" applyBorder="1"/>
    <xf numFmtId="3" fontId="15" fillId="3" borderId="3" xfId="0" applyNumberFormat="1" applyFont="1" applyFill="1" applyBorder="1"/>
    <xf numFmtId="0" fontId="8" fillId="3" borderId="3" xfId="0" applyFont="1" applyFill="1" applyBorder="1"/>
    <xf numFmtId="0" fontId="7" fillId="2" borderId="3" xfId="0" quotePrefix="1" applyFont="1" applyFill="1" applyBorder="1" applyAlignment="1">
      <alignment horizontal="center" wrapText="1"/>
    </xf>
    <xf numFmtId="0" fontId="3" fillId="2" borderId="3" xfId="0" quotePrefix="1" applyFont="1" applyFill="1" applyBorder="1" applyAlignment="1">
      <alignment horizontal="center"/>
    </xf>
    <xf numFmtId="3" fontId="0" fillId="3" borderId="3" xfId="0" applyNumberFormat="1" applyFill="1" applyBorder="1" applyAlignment="1">
      <alignment horizontal="right"/>
    </xf>
    <xf numFmtId="0" fontId="0" fillId="0" borderId="0" xfId="0" applyFill="1" applyAlignment="1">
      <alignment horizontal="center"/>
    </xf>
    <xf numFmtId="0" fontId="8" fillId="0" borderId="0" xfId="0" applyFont="1" applyFill="1"/>
    <xf numFmtId="0" fontId="8" fillId="0" borderId="0" xfId="0" applyFont="1" applyFill="1" applyBorder="1"/>
    <xf numFmtId="4" fontId="8" fillId="0" borderId="0" xfId="0" applyNumberFormat="1" applyFont="1" applyFill="1" applyBorder="1"/>
    <xf numFmtId="4" fontId="8" fillId="3" borderId="3" xfId="0" applyNumberFormat="1" applyFont="1" applyFill="1" applyBorder="1" applyAlignment="1">
      <alignment horizontal="center"/>
    </xf>
    <xf numFmtId="4" fontId="8" fillId="3" borderId="3" xfId="0" quotePrefix="1" applyNumberFormat="1" applyFont="1" applyFill="1" applyBorder="1" applyAlignment="1">
      <alignment horizontal="center"/>
    </xf>
    <xf numFmtId="4" fontId="0" fillId="3" borderId="3" xfId="0" applyNumberFormat="1" applyFill="1" applyBorder="1" applyAlignment="1">
      <alignment horizontal="center"/>
    </xf>
    <xf numFmtId="0" fontId="7" fillId="2" borderId="3" xfId="0" applyFont="1" applyFill="1" applyBorder="1" applyAlignment="1">
      <alignment wrapText="1"/>
    </xf>
    <xf numFmtId="0" fontId="0" fillId="4" borderId="0" xfId="0" applyFill="1"/>
    <xf numFmtId="0" fontId="3" fillId="4" borderId="0" xfId="0" applyFont="1" applyFill="1" applyAlignment="1">
      <alignment horizontal="left" vertical="top" wrapText="1"/>
    </xf>
    <xf numFmtId="0" fontId="3" fillId="4" borderId="0" xfId="0" applyFont="1" applyFill="1" applyBorder="1" applyAlignment="1">
      <alignment horizontal="left" vertical="top" wrapText="1"/>
    </xf>
    <xf numFmtId="0" fontId="6" fillId="4" borderId="0" xfId="0" applyFont="1" applyFill="1" applyAlignment="1">
      <alignment horizontal="left" vertical="top" wrapText="1"/>
    </xf>
    <xf numFmtId="0" fontId="6" fillId="4" borderId="0" xfId="0" applyFont="1" applyFill="1" applyBorder="1"/>
    <xf numFmtId="0" fontId="0" fillId="4" borderId="0" xfId="0" applyFill="1" applyAlignment="1">
      <alignment horizontal="left" vertical="top" wrapText="1"/>
    </xf>
    <xf numFmtId="0" fontId="0" fillId="4" borderId="0" xfId="0" applyNumberFormat="1" applyFill="1" applyAlignment="1">
      <alignment horizontal="left" vertical="top" wrapText="1"/>
    </xf>
    <xf numFmtId="0" fontId="19" fillId="4" borderId="2" xfId="0" applyFont="1" applyFill="1" applyBorder="1" applyAlignment="1">
      <alignment horizontal="left" vertical="top" wrapText="1"/>
    </xf>
    <xf numFmtId="0" fontId="17" fillId="4" borderId="2" xfId="0" applyFont="1" applyFill="1" applyBorder="1" applyAlignment="1">
      <alignment horizontal="left" vertical="top" wrapText="1"/>
    </xf>
    <xf numFmtId="0" fontId="18" fillId="4" borderId="2" xfId="0" applyFont="1" applyFill="1" applyBorder="1" applyAlignment="1">
      <alignment horizontal="left" vertical="top" wrapText="1"/>
    </xf>
    <xf numFmtId="0" fontId="3" fillId="4" borderId="0" xfId="0" applyFont="1" applyFill="1" applyAlignment="1">
      <alignment wrapText="1"/>
    </xf>
    <xf numFmtId="0" fontId="6" fillId="4" borderId="0" xfId="0" applyFont="1" applyFill="1" applyAlignment="1">
      <alignment wrapText="1"/>
    </xf>
    <xf numFmtId="0" fontId="3" fillId="3" borderId="3" xfId="0" applyFont="1" applyFill="1" applyBorder="1" applyAlignment="1">
      <alignment horizontal="left" wrapText="1"/>
    </xf>
    <xf numFmtId="0" fontId="3" fillId="2" borderId="7" xfId="0" applyFont="1" applyFill="1" applyBorder="1" applyAlignment="1">
      <alignment wrapText="1"/>
    </xf>
    <xf numFmtId="0" fontId="6" fillId="2" borderId="3" xfId="0" applyFont="1" applyFill="1" applyBorder="1" applyAlignment="1">
      <alignment wrapText="1"/>
    </xf>
    <xf numFmtId="0" fontId="0" fillId="2" borderId="3" xfId="0" applyFill="1" applyBorder="1" applyAlignment="1">
      <alignment wrapText="1"/>
    </xf>
    <xf numFmtId="4" fontId="0" fillId="2" borderId="3" xfId="0" applyNumberFormat="1" applyFill="1" applyBorder="1" applyAlignment="1">
      <alignment wrapText="1"/>
    </xf>
    <xf numFmtId="0" fontId="3" fillId="3" borderId="14" xfId="0" applyFont="1" applyFill="1" applyBorder="1"/>
    <xf numFmtId="0" fontId="3" fillId="0" borderId="15" xfId="0" applyFont="1" applyBorder="1"/>
    <xf numFmtId="0" fontId="3" fillId="3" borderId="16" xfId="0" applyFont="1" applyFill="1" applyBorder="1"/>
    <xf numFmtId="0" fontId="3" fillId="3" borderId="15" xfId="0" applyFont="1" applyFill="1" applyBorder="1"/>
    <xf numFmtId="0" fontId="3" fillId="3" borderId="17" xfId="0" applyFont="1" applyFill="1" applyBorder="1"/>
    <xf numFmtId="0" fontId="3" fillId="2" borderId="17" xfId="0" applyFont="1" applyFill="1" applyBorder="1" applyAlignment="1">
      <alignment wrapText="1"/>
    </xf>
    <xf numFmtId="0" fontId="0" fillId="3" borderId="14" xfId="0" applyFill="1" applyBorder="1" applyAlignment="1">
      <alignment horizontal="center"/>
    </xf>
    <xf numFmtId="0" fontId="0" fillId="2" borderId="14" xfId="0" applyFill="1" applyBorder="1" applyAlignment="1">
      <alignment wrapText="1"/>
    </xf>
    <xf numFmtId="0" fontId="0" fillId="0" borderId="15" xfId="0" applyBorder="1"/>
    <xf numFmtId="0" fontId="3" fillId="3" borderId="17" xfId="0" quotePrefix="1" applyFont="1" applyFill="1" applyBorder="1" applyAlignment="1">
      <alignment horizontal="center"/>
    </xf>
    <xf numFmtId="0" fontId="0" fillId="0" borderId="0" xfId="0" applyAlignment="1"/>
    <xf numFmtId="0" fontId="1" fillId="0" borderId="0" xfId="0" applyFont="1"/>
    <xf numFmtId="0" fontId="1" fillId="0" borderId="0" xfId="0" applyFont="1" applyFill="1"/>
    <xf numFmtId="0" fontId="21" fillId="3" borderId="4" xfId="0" applyFont="1" applyFill="1" applyBorder="1"/>
    <xf numFmtId="3" fontId="21" fillId="3" borderId="3" xfId="0" applyNumberFormat="1" applyFont="1" applyFill="1" applyBorder="1"/>
    <xf numFmtId="0" fontId="21" fillId="3" borderId="3" xfId="0" applyFont="1" applyFill="1" applyBorder="1"/>
    <xf numFmtId="168" fontId="20" fillId="3" borderId="3" xfId="0" applyNumberFormat="1" applyFont="1" applyFill="1" applyBorder="1"/>
    <xf numFmtId="4" fontId="21" fillId="3" borderId="3" xfId="0" applyNumberFormat="1" applyFont="1" applyFill="1" applyBorder="1"/>
    <xf numFmtId="168" fontId="21" fillId="3" borderId="3" xfId="0" applyNumberFormat="1" applyFont="1" applyFill="1" applyBorder="1"/>
    <xf numFmtId="0" fontId="21" fillId="0" borderId="0" xfId="0" applyFont="1" applyFill="1"/>
    <xf numFmtId="0" fontId="21" fillId="0" borderId="0" xfId="0" applyFont="1"/>
    <xf numFmtId="0" fontId="22" fillId="3" borderId="3" xfId="0" applyFont="1" applyFill="1" applyBorder="1" applyAlignment="1">
      <alignment wrapText="1"/>
    </xf>
    <xf numFmtId="4" fontId="20" fillId="3" borderId="4" xfId="0" applyNumberFormat="1" applyFont="1" applyFill="1" applyBorder="1"/>
    <xf numFmtId="3" fontId="21" fillId="3" borderId="4" xfId="0" applyNumberFormat="1" applyFont="1" applyFill="1" applyBorder="1"/>
    <xf numFmtId="4" fontId="8" fillId="3" borderId="3" xfId="0" quotePrefix="1" applyNumberFormat="1" applyFont="1" applyFill="1" applyBorder="1"/>
    <xf numFmtId="0" fontId="20" fillId="2" borderId="3" xfId="0" applyFont="1" applyFill="1" applyBorder="1" applyAlignment="1">
      <alignment wrapText="1"/>
    </xf>
    <xf numFmtId="0" fontId="21" fillId="2" borderId="4" xfId="0" applyFont="1" applyFill="1" applyBorder="1"/>
    <xf numFmtId="0" fontId="21" fillId="2" borderId="3" xfId="0" applyFont="1" applyFill="1" applyBorder="1"/>
    <xf numFmtId="3" fontId="21" fillId="2" borderId="3" xfId="0" applyNumberFormat="1" applyFont="1" applyFill="1" applyBorder="1"/>
    <xf numFmtId="3" fontId="21" fillId="0" borderId="0" xfId="0" applyNumberFormat="1" applyFont="1" applyFill="1"/>
    <xf numFmtId="3" fontId="21" fillId="2" borderId="4" xfId="0" applyNumberFormat="1" applyFont="1" applyFill="1" applyBorder="1"/>
    <xf numFmtId="3" fontId="21" fillId="2" borderId="4" xfId="0" quotePrefix="1" applyNumberFormat="1" applyFont="1" applyFill="1" applyBorder="1" applyAlignment="1">
      <alignment horizontal="center"/>
    </xf>
    <xf numFmtId="3" fontId="21" fillId="2" borderId="3" xfId="0" quotePrefix="1" applyNumberFormat="1" applyFont="1" applyFill="1" applyBorder="1" applyAlignment="1">
      <alignment horizontal="center"/>
    </xf>
    <xf numFmtId="0" fontId="1" fillId="2" borderId="3" xfId="0" applyFont="1" applyFill="1" applyBorder="1"/>
    <xf numFmtId="3" fontId="1" fillId="2" borderId="3" xfId="0" applyNumberFormat="1" applyFont="1" applyFill="1" applyBorder="1"/>
    <xf numFmtId="0" fontId="20" fillId="0" borderId="0" xfId="0" applyFont="1" applyFill="1"/>
    <xf numFmtId="3" fontId="21" fillId="0" borderId="0" xfId="0" applyNumberFormat="1" applyFont="1" applyFill="1" applyBorder="1"/>
    <xf numFmtId="0" fontId="21" fillId="0" borderId="0" xfId="0" applyFont="1" applyFill="1" applyBorder="1"/>
    <xf numFmtId="0" fontId="20" fillId="0" borderId="8" xfId="0" applyFont="1" applyFill="1" applyBorder="1"/>
    <xf numFmtId="0" fontId="21" fillId="2" borderId="3" xfId="0" quotePrefix="1" applyFont="1" applyFill="1" applyBorder="1" applyAlignment="1">
      <alignment horizontal="center"/>
    </xf>
    <xf numFmtId="3" fontId="21" fillId="2" borderId="3" xfId="0" quotePrefix="1" applyNumberFormat="1" applyFont="1" applyFill="1" applyBorder="1"/>
    <xf numFmtId="3" fontId="21" fillId="2" borderId="3" xfId="0" applyNumberFormat="1" applyFont="1" applyFill="1" applyBorder="1" applyAlignment="1">
      <alignment horizontal="center"/>
    </xf>
    <xf numFmtId="0" fontId="0" fillId="6" borderId="0" xfId="0" applyFill="1"/>
    <xf numFmtId="0" fontId="0" fillId="6" borderId="3" xfId="0" applyFill="1" applyBorder="1" applyAlignment="1">
      <alignment wrapText="1"/>
    </xf>
    <xf numFmtId="0" fontId="6" fillId="6" borderId="3" xfId="0" applyFont="1" applyFill="1" applyBorder="1" applyAlignment="1">
      <alignment horizontal="center" wrapText="1"/>
    </xf>
    <xf numFmtId="0" fontId="3" fillId="6" borderId="3" xfId="0" applyFont="1" applyFill="1" applyBorder="1" applyAlignment="1">
      <alignment wrapText="1"/>
    </xf>
    <xf numFmtId="0" fontId="3" fillId="6" borderId="18" xfId="0" applyFont="1" applyFill="1" applyBorder="1" applyAlignment="1">
      <alignment horizontal="center"/>
    </xf>
    <xf numFmtId="0" fontId="6" fillId="6" borderId="18" xfId="0" applyFont="1" applyFill="1" applyBorder="1" applyAlignment="1">
      <alignment horizontal="center" wrapText="1"/>
    </xf>
    <xf numFmtId="0" fontId="0" fillId="6" borderId="3" xfId="0" applyFill="1" applyBorder="1" applyAlignment="1">
      <alignment horizontal="center" wrapText="1"/>
    </xf>
    <xf numFmtId="0" fontId="6" fillId="6" borderId="3" xfId="0" applyFont="1" applyFill="1" applyBorder="1" applyAlignment="1">
      <alignment horizontal="center"/>
    </xf>
    <xf numFmtId="0" fontId="0" fillId="6" borderId="6" xfId="0" applyFill="1" applyBorder="1" applyAlignment="1">
      <alignment wrapText="1"/>
    </xf>
    <xf numFmtId="0" fontId="0" fillId="6" borderId="7" xfId="0" applyFill="1" applyBorder="1" applyAlignment="1"/>
    <xf numFmtId="0" fontId="0" fillId="6" borderId="3" xfId="0" applyFill="1" applyBorder="1"/>
    <xf numFmtId="0" fontId="6" fillId="6" borderId="3" xfId="0" applyFont="1" applyFill="1" applyBorder="1"/>
    <xf numFmtId="0" fontId="6" fillId="6" borderId="0" xfId="0" applyFont="1" applyFill="1"/>
    <xf numFmtId="0" fontId="6" fillId="6" borderId="6" xfId="0" applyFont="1" applyFill="1" applyBorder="1" applyAlignment="1">
      <alignment wrapText="1"/>
    </xf>
    <xf numFmtId="3" fontId="6" fillId="7" borderId="3" xfId="0" applyNumberFormat="1" applyFont="1" applyFill="1" applyBorder="1" applyProtection="1">
      <protection locked="0"/>
    </xf>
    <xf numFmtId="0" fontId="6" fillId="2" borderId="3" xfId="0" applyFont="1" applyFill="1" applyBorder="1"/>
    <xf numFmtId="0" fontId="6" fillId="0" borderId="0" xfId="0" applyFont="1" applyFill="1" applyBorder="1"/>
    <xf numFmtId="3" fontId="0" fillId="6" borderId="3" xfId="0" applyNumberFormat="1" applyFill="1" applyBorder="1"/>
    <xf numFmtId="168" fontId="0" fillId="6" borderId="3" xfId="0" applyNumberFormat="1" applyFill="1" applyBorder="1"/>
    <xf numFmtId="0" fontId="6" fillId="3" borderId="3" xfId="0" applyFont="1" applyFill="1" applyBorder="1" applyAlignment="1">
      <alignment wrapText="1"/>
    </xf>
    <xf numFmtId="0" fontId="6" fillId="3" borderId="14" xfId="0" applyFont="1" applyFill="1" applyBorder="1"/>
    <xf numFmtId="0" fontId="0" fillId="8" borderId="3" xfId="0" applyFill="1" applyBorder="1"/>
    <xf numFmtId="0" fontId="7" fillId="8" borderId="3" xfId="0" applyFont="1" applyFill="1" applyBorder="1" applyAlignment="1">
      <alignment horizontal="center" wrapText="1"/>
    </xf>
    <xf numFmtId="3" fontId="1" fillId="2" borderId="4" xfId="0" applyNumberFormat="1" applyFont="1" applyFill="1" applyBorder="1"/>
    <xf numFmtId="0" fontId="0" fillId="0" borderId="6" xfId="0" quotePrefix="1" applyBorder="1"/>
    <xf numFmtId="0" fontId="6" fillId="7" borderId="7" xfId="0" applyFont="1" applyFill="1" applyBorder="1"/>
    <xf numFmtId="0" fontId="0" fillId="2" borderId="18" xfId="0" applyFill="1" applyBorder="1"/>
    <xf numFmtId="0" fontId="1" fillId="2" borderId="18" xfId="0" applyFont="1" applyFill="1" applyBorder="1"/>
    <xf numFmtId="3" fontId="6" fillId="3" borderId="18" xfId="0" applyNumberFormat="1" applyFont="1" applyFill="1" applyBorder="1"/>
    <xf numFmtId="3" fontId="6" fillId="3" borderId="4" xfId="0" applyNumberFormat="1" applyFont="1" applyFill="1" applyBorder="1"/>
    <xf numFmtId="0" fontId="1" fillId="2" borderId="4" xfId="0" applyFont="1" applyFill="1" applyBorder="1"/>
    <xf numFmtId="0" fontId="0" fillId="0" borderId="6" xfId="0" applyFill="1" applyBorder="1"/>
    <xf numFmtId="0" fontId="6" fillId="0" borderId="5" xfId="0" applyFont="1" applyFill="1" applyBorder="1"/>
    <xf numFmtId="0" fontId="0" fillId="0" borderId="7" xfId="0" applyBorder="1"/>
    <xf numFmtId="0" fontId="7" fillId="8" borderId="3" xfId="0" applyFont="1" applyFill="1" applyBorder="1" applyAlignment="1">
      <alignment horizontal="right" wrapText="1"/>
    </xf>
    <xf numFmtId="0" fontId="0" fillId="8" borderId="3" xfId="0" applyFill="1" applyBorder="1" applyAlignment="1">
      <alignment horizontal="right"/>
    </xf>
    <xf numFmtId="3" fontId="6" fillId="8" borderId="3" xfId="0" applyNumberFormat="1" applyFont="1" applyFill="1" applyBorder="1"/>
    <xf numFmtId="0" fontId="6" fillId="0" borderId="0" xfId="0" applyFont="1" applyAlignment="1">
      <alignment horizontal="left" wrapText="1"/>
    </xf>
    <xf numFmtId="3" fontId="1" fillId="3" borderId="3" xfId="0" applyNumberFormat="1" applyFont="1" applyFill="1" applyBorder="1" applyAlignment="1">
      <alignment horizontal="right"/>
    </xf>
    <xf numFmtId="3" fontId="6" fillId="3" borderId="3" xfId="0" quotePrefix="1" applyNumberFormat="1" applyFont="1" applyFill="1" applyBorder="1" applyAlignment="1">
      <alignment horizontal="right"/>
    </xf>
    <xf numFmtId="3" fontId="0" fillId="3" borderId="3" xfId="0" quotePrefix="1" applyNumberFormat="1" applyFill="1" applyBorder="1" applyAlignment="1">
      <alignment horizontal="right"/>
    </xf>
    <xf numFmtId="3" fontId="8" fillId="3" borderId="3" xfId="0" applyNumberFormat="1" applyFont="1" applyFill="1" applyBorder="1" applyAlignment="1">
      <alignment horizontal="right"/>
    </xf>
    <xf numFmtId="0" fontId="0" fillId="7" borderId="3" xfId="0" applyFill="1" applyBorder="1" applyAlignment="1">
      <alignment horizontal="center" wrapText="1"/>
    </xf>
    <xf numFmtId="0" fontId="6" fillId="7" borderId="3" xfId="0" applyFont="1" applyFill="1" applyBorder="1"/>
    <xf numFmtId="0" fontId="0" fillId="7" borderId="3" xfId="0" applyFill="1" applyBorder="1"/>
    <xf numFmtId="0" fontId="40" fillId="0" borderId="0" xfId="0" applyFont="1"/>
    <xf numFmtId="0" fontId="6" fillId="7" borderId="3" xfId="0" applyFont="1" applyFill="1" applyBorder="1" applyAlignment="1">
      <alignment horizontal="center" wrapText="1"/>
    </xf>
    <xf numFmtId="4" fontId="41" fillId="3" borderId="3" xfId="0" applyNumberFormat="1" applyFont="1" applyFill="1" applyBorder="1"/>
    <xf numFmtId="43" fontId="6" fillId="0" borderId="0" xfId="1" applyNumberFormat="1" applyFont="1"/>
    <xf numFmtId="0" fontId="42" fillId="0" borderId="0" xfId="0" applyFont="1" applyBorder="1" applyAlignment="1">
      <alignment vertical="top" wrapText="1"/>
    </xf>
    <xf numFmtId="0" fontId="43" fillId="2" borderId="3" xfId="0" applyFont="1" applyFill="1" applyBorder="1"/>
    <xf numFmtId="0" fontId="44" fillId="0" borderId="0" xfId="0" applyFont="1" applyFill="1"/>
    <xf numFmtId="0" fontId="44" fillId="2" borderId="3" xfId="0" applyFont="1" applyFill="1" applyBorder="1"/>
    <xf numFmtId="3" fontId="44" fillId="2" borderId="3" xfId="0" applyNumberFormat="1" applyFont="1" applyFill="1" applyBorder="1"/>
    <xf numFmtId="0" fontId="41" fillId="0" borderId="0" xfId="0" applyFont="1"/>
    <xf numFmtId="0" fontId="41" fillId="0" borderId="0" xfId="0" applyFont="1" applyFill="1"/>
    <xf numFmtId="0" fontId="45" fillId="0" borderId="0" xfId="0" applyFont="1" applyBorder="1" applyAlignment="1">
      <alignment wrapText="1"/>
    </xf>
    <xf numFmtId="0" fontId="40" fillId="2" borderId="3" xfId="0" applyFont="1" applyFill="1" applyBorder="1"/>
    <xf numFmtId="0" fontId="41" fillId="2" borderId="3" xfId="0" applyFont="1" applyFill="1" applyBorder="1"/>
    <xf numFmtId="3" fontId="41" fillId="2" borderId="3" xfId="0" applyNumberFormat="1" applyFont="1" applyFill="1" applyBorder="1"/>
    <xf numFmtId="0" fontId="41" fillId="0" borderId="1" xfId="0" applyFont="1" applyBorder="1" applyAlignment="1">
      <alignment wrapText="1"/>
    </xf>
    <xf numFmtId="0" fontId="6" fillId="7" borderId="0" xfId="0" applyFont="1" applyFill="1"/>
    <xf numFmtId="3" fontId="6" fillId="2" borderId="3" xfId="0" applyNumberFormat="1" applyFont="1" applyFill="1" applyBorder="1"/>
    <xf numFmtId="0" fontId="21" fillId="2" borderId="18" xfId="0" applyFont="1" applyFill="1" applyBorder="1"/>
    <xf numFmtId="0" fontId="0" fillId="3" borderId="18" xfId="0" applyFill="1" applyBorder="1"/>
    <xf numFmtId="3" fontId="21" fillId="2" borderId="18" xfId="0" applyNumberFormat="1" applyFont="1" applyFill="1" applyBorder="1"/>
    <xf numFmtId="4" fontId="0" fillId="3" borderId="18" xfId="0" applyNumberFormat="1" applyFill="1" applyBorder="1"/>
    <xf numFmtId="0" fontId="6" fillId="0" borderId="8" xfId="0" applyFont="1" applyBorder="1"/>
    <xf numFmtId="0" fontId="3" fillId="0" borderId="9" xfId="0" applyFont="1" applyBorder="1"/>
    <xf numFmtId="4" fontId="0" fillId="2" borderId="3" xfId="0" applyNumberFormat="1" applyFill="1" applyBorder="1"/>
    <xf numFmtId="0" fontId="21" fillId="8" borderId="3" xfId="0" applyFont="1" applyFill="1" applyBorder="1"/>
    <xf numFmtId="3" fontId="21" fillId="8" borderId="3" xfId="0" applyNumberFormat="1" applyFont="1" applyFill="1" applyBorder="1"/>
    <xf numFmtId="0" fontId="0" fillId="0" borderId="0" xfId="0" applyFill="1" applyAlignment="1">
      <alignment wrapText="1"/>
    </xf>
    <xf numFmtId="4" fontId="40" fillId="3" borderId="3" xfId="0" applyNumberFormat="1" applyFont="1" applyFill="1" applyBorder="1" applyAlignment="1">
      <alignment horizontal="center"/>
    </xf>
    <xf numFmtId="0" fontId="6" fillId="8" borderId="3" xfId="0" applyFont="1" applyFill="1" applyBorder="1"/>
    <xf numFmtId="0" fontId="7" fillId="8" borderId="3" xfId="0" applyFont="1" applyFill="1" applyBorder="1" applyAlignment="1">
      <alignment horizontal="center" vertical="top" wrapText="1"/>
    </xf>
    <xf numFmtId="0" fontId="0" fillId="8" borderId="4" xfId="0" applyFill="1" applyBorder="1"/>
    <xf numFmtId="0" fontId="0" fillId="7" borderId="0" xfId="0" applyFill="1"/>
    <xf numFmtId="3" fontId="40" fillId="3" borderId="3" xfId="0" applyNumberFormat="1" applyFont="1" applyFill="1" applyBorder="1"/>
    <xf numFmtId="0" fontId="6" fillId="0" borderId="1" xfId="0" applyFont="1" applyBorder="1"/>
    <xf numFmtId="0" fontId="0" fillId="8" borderId="3" xfId="0" applyFill="1" applyBorder="1" applyAlignment="1">
      <alignment horizontal="center"/>
    </xf>
    <xf numFmtId="0" fontId="0" fillId="8" borderId="4" xfId="0" applyFill="1" applyBorder="1" applyAlignment="1">
      <alignment horizontal="center"/>
    </xf>
    <xf numFmtId="0" fontId="3" fillId="6" borderId="3" xfId="0" applyFont="1" applyFill="1" applyBorder="1" applyAlignment="1">
      <alignment horizontal="center"/>
    </xf>
    <xf numFmtId="0" fontId="6" fillId="6" borderId="7" xfId="0" applyFont="1" applyFill="1" applyBorder="1"/>
    <xf numFmtId="0" fontId="0" fillId="6" borderId="18" xfId="0" applyFill="1" applyBorder="1" applyAlignment="1">
      <alignment horizontal="center" wrapText="1"/>
    </xf>
    <xf numFmtId="3" fontId="6" fillId="6" borderId="18" xfId="0" applyNumberFormat="1" applyFont="1" applyFill="1" applyBorder="1" applyProtection="1">
      <protection locked="0"/>
    </xf>
    <xf numFmtId="0" fontId="6" fillId="6" borderId="7" xfId="0" applyFont="1" applyFill="1" applyBorder="1" applyAlignment="1"/>
    <xf numFmtId="0" fontId="0" fillId="6" borderId="4" xfId="0" applyFill="1" applyBorder="1" applyAlignment="1">
      <alignment horizontal="center" wrapText="1"/>
    </xf>
    <xf numFmtId="3" fontId="6" fillId="6" borderId="4" xfId="0" applyNumberFormat="1" applyFont="1" applyFill="1" applyBorder="1" applyProtection="1">
      <protection locked="0"/>
    </xf>
    <xf numFmtId="3" fontId="6" fillId="6" borderId="3" xfId="0" applyNumberFormat="1" applyFont="1" applyFill="1" applyBorder="1" applyAlignment="1">
      <alignment horizontal="center" wrapText="1"/>
    </xf>
    <xf numFmtId="168" fontId="6" fillId="6" borderId="3" xfId="0" applyNumberFormat="1" applyFont="1" applyFill="1" applyBorder="1" applyAlignment="1">
      <alignment horizontal="center"/>
    </xf>
    <xf numFmtId="168" fontId="6" fillId="6" borderId="3" xfId="0" applyNumberFormat="1" applyFont="1" applyFill="1" applyBorder="1" applyAlignment="1">
      <alignment horizontal="center" wrapText="1"/>
    </xf>
    <xf numFmtId="0" fontId="3" fillId="6" borderId="6" xfId="0" applyFont="1" applyFill="1" applyBorder="1" applyAlignment="1">
      <alignment wrapText="1"/>
    </xf>
    <xf numFmtId="0" fontId="0" fillId="6" borderId="7" xfId="0" applyFill="1" applyBorder="1"/>
    <xf numFmtId="0" fontId="3" fillId="7" borderId="0" xfId="0" applyFont="1" applyFill="1"/>
    <xf numFmtId="0" fontId="3" fillId="7" borderId="0" xfId="0" applyFont="1" applyFill="1" applyAlignment="1">
      <alignment horizontal="center"/>
    </xf>
    <xf numFmtId="0" fontId="6" fillId="7" borderId="0" xfId="0" applyFont="1" applyFill="1" applyBorder="1" applyAlignment="1">
      <alignment horizontal="left"/>
    </xf>
    <xf numFmtId="0" fontId="6" fillId="7" borderId="0" xfId="0" applyFont="1" applyFill="1" applyBorder="1" applyAlignment="1">
      <alignment horizontal="center"/>
    </xf>
    <xf numFmtId="0" fontId="0" fillId="7" borderId="0" xfId="0" applyFill="1" applyAlignment="1">
      <alignment horizontal="center"/>
    </xf>
    <xf numFmtId="0" fontId="0" fillId="7" borderId="0" xfId="0" applyFill="1" applyAlignment="1">
      <alignment wrapText="1"/>
    </xf>
    <xf numFmtId="0" fontId="7" fillId="8" borderId="3" xfId="0" applyFont="1" applyFill="1" applyBorder="1" applyAlignment="1">
      <alignment horizontal="right" vertical="top" wrapText="1"/>
    </xf>
    <xf numFmtId="0" fontId="0" fillId="0" borderId="6" xfId="0" applyBorder="1"/>
    <xf numFmtId="3" fontId="20" fillId="3" borderId="3" xfId="0" applyNumberFormat="1" applyFont="1" applyFill="1" applyBorder="1"/>
    <xf numFmtId="0" fontId="6" fillId="7" borderId="3" xfId="0" applyFont="1" applyFill="1" applyBorder="1" applyAlignment="1">
      <alignment horizontal="center"/>
    </xf>
    <xf numFmtId="0" fontId="6" fillId="0" borderId="19" xfId="0" applyFont="1" applyFill="1" applyBorder="1" applyAlignment="1" applyProtection="1">
      <alignment horizontal="center" wrapText="1"/>
      <protection locked="0"/>
    </xf>
    <xf numFmtId="0" fontId="6" fillId="0" borderId="20" xfId="0" applyFont="1" applyFill="1" applyBorder="1" applyAlignment="1" applyProtection="1">
      <alignment horizontal="center" wrapText="1"/>
      <protection locked="0"/>
    </xf>
    <xf numFmtId="0" fontId="6" fillId="6" borderId="3" xfId="0" applyFont="1" applyFill="1" applyBorder="1" applyAlignment="1">
      <alignment wrapText="1"/>
    </xf>
    <xf numFmtId="0" fontId="0" fillId="7" borderId="0" xfId="0" applyFill="1" applyAlignment="1">
      <alignment horizontal="left"/>
    </xf>
    <xf numFmtId="0" fontId="0" fillId="7" borderId="0" xfId="0" applyFill="1" applyBorder="1"/>
    <xf numFmtId="0" fontId="6" fillId="7" borderId="0" xfId="0" applyFont="1" applyFill="1" applyBorder="1"/>
    <xf numFmtId="0" fontId="0" fillId="7" borderId="3" xfId="0" applyFill="1" applyBorder="1" applyAlignment="1">
      <alignment wrapText="1"/>
    </xf>
    <xf numFmtId="0" fontId="3" fillId="7" borderId="3" xfId="0" applyFont="1" applyFill="1" applyBorder="1" applyAlignment="1">
      <alignment horizontal="center"/>
    </xf>
    <xf numFmtId="0" fontId="6" fillId="7" borderId="3" xfId="0" applyFont="1" applyFill="1" applyBorder="1" applyAlignment="1">
      <alignment wrapText="1"/>
    </xf>
    <xf numFmtId="0" fontId="3" fillId="6" borderId="3" xfId="0" applyFont="1" applyFill="1" applyBorder="1"/>
    <xf numFmtId="3" fontId="6" fillId="6" borderId="3" xfId="0" applyNumberFormat="1" applyFont="1" applyFill="1" applyBorder="1" applyProtection="1">
      <protection locked="0"/>
    </xf>
    <xf numFmtId="3" fontId="0" fillId="6" borderId="4" xfId="0" applyNumberFormat="1" applyFill="1" applyBorder="1"/>
    <xf numFmtId="3" fontId="6" fillId="7" borderId="21" xfId="0" applyNumberFormat="1" applyFont="1" applyFill="1" applyBorder="1" applyProtection="1">
      <protection locked="0"/>
    </xf>
    <xf numFmtId="3" fontId="6" fillId="7" borderId="23" xfId="0" applyNumberFormat="1" applyFont="1" applyFill="1" applyBorder="1" applyProtection="1">
      <protection locked="0"/>
    </xf>
    <xf numFmtId="3" fontId="0" fillId="7" borderId="23" xfId="0" applyNumberFormat="1" applyFill="1" applyBorder="1" applyProtection="1">
      <protection locked="0"/>
    </xf>
    <xf numFmtId="0" fontId="6" fillId="7" borderId="20" xfId="0" applyFont="1" applyFill="1" applyBorder="1" applyAlignment="1" applyProtection="1">
      <alignment horizontal="center" wrapText="1"/>
      <protection locked="0"/>
    </xf>
    <xf numFmtId="3" fontId="0" fillId="6" borderId="18" xfId="0" applyNumberFormat="1" applyFill="1" applyBorder="1"/>
    <xf numFmtId="0" fontId="6" fillId="7" borderId="19" xfId="0" applyFont="1" applyFill="1" applyBorder="1" applyAlignment="1" applyProtection="1">
      <alignment horizontal="center"/>
      <protection locked="0"/>
    </xf>
    <xf numFmtId="3" fontId="0" fillId="7" borderId="21" xfId="0" applyNumberFormat="1" applyFill="1" applyBorder="1" applyProtection="1">
      <protection locked="0"/>
    </xf>
    <xf numFmtId="3" fontId="6" fillId="7" borderId="24" xfId="0" applyNumberFormat="1" applyFont="1" applyFill="1" applyBorder="1" applyAlignment="1" applyProtection="1">
      <alignment horizontal="left" wrapText="1"/>
      <protection locked="0"/>
    </xf>
    <xf numFmtId="1" fontId="6" fillId="7" borderId="24" xfId="0" applyNumberFormat="1" applyFont="1" applyFill="1" applyBorder="1" applyAlignment="1" applyProtection="1">
      <alignment horizontal="left" wrapText="1"/>
      <protection locked="0"/>
    </xf>
    <xf numFmtId="3" fontId="6" fillId="7" borderId="25" xfId="0" applyNumberFormat="1" applyFont="1" applyFill="1" applyBorder="1" applyAlignment="1" applyProtection="1">
      <alignment horizontal="left" wrapText="1"/>
      <protection locked="0"/>
    </xf>
    <xf numFmtId="0" fontId="0" fillId="6" borderId="6" xfId="0" applyFill="1" applyBorder="1"/>
    <xf numFmtId="3" fontId="6" fillId="7" borderId="26" xfId="0" applyNumberFormat="1" applyFont="1" applyFill="1" applyBorder="1" applyAlignment="1" applyProtection="1">
      <alignment horizontal="left"/>
      <protection locked="0"/>
    </xf>
    <xf numFmtId="0" fontId="3" fillId="7" borderId="0" xfId="0" applyFont="1" applyFill="1" applyAlignment="1">
      <alignment horizontal="left"/>
    </xf>
    <xf numFmtId="0" fontId="3" fillId="7" borderId="0" xfId="0" applyFont="1" applyFill="1" applyBorder="1" applyAlignment="1"/>
    <xf numFmtId="0" fontId="3" fillId="7" borderId="0" xfId="0" applyFont="1" applyFill="1" applyBorder="1" applyAlignment="1">
      <alignment horizontal="left"/>
    </xf>
    <xf numFmtId="0" fontId="3" fillId="7" borderId="0" xfId="0" applyFont="1" applyFill="1" applyBorder="1" applyAlignment="1">
      <alignment horizontal="center"/>
    </xf>
    <xf numFmtId="0" fontId="3" fillId="7" borderId="3" xfId="0" applyFont="1" applyFill="1" applyBorder="1" applyAlignment="1">
      <alignment wrapText="1"/>
    </xf>
    <xf numFmtId="0" fontId="6" fillId="6" borderId="0" xfId="0" applyFont="1" applyFill="1" applyBorder="1"/>
    <xf numFmtId="0" fontId="0" fillId="6" borderId="0" xfId="0" applyFill="1" applyBorder="1"/>
    <xf numFmtId="0" fontId="3" fillId="6" borderId="0" xfId="0" applyFont="1" applyFill="1" applyBorder="1" applyAlignment="1">
      <alignment horizontal="center"/>
    </xf>
    <xf numFmtId="3" fontId="6" fillId="6" borderId="3" xfId="0" applyNumberFormat="1" applyFont="1" applyFill="1" applyBorder="1"/>
    <xf numFmtId="0" fontId="6" fillId="6" borderId="4" xfId="0" applyFont="1" applyFill="1" applyBorder="1"/>
    <xf numFmtId="3" fontId="6" fillId="6" borderId="4" xfId="0" applyNumberFormat="1" applyFont="1" applyFill="1" applyBorder="1"/>
    <xf numFmtId="3" fontId="6" fillId="7" borderId="27" xfId="0" applyNumberFormat="1" applyFont="1" applyFill="1" applyBorder="1" applyProtection="1">
      <protection locked="0"/>
    </xf>
    <xf numFmtId="0" fontId="0" fillId="6" borderId="13" xfId="0" applyFill="1" applyBorder="1" applyAlignment="1">
      <alignment horizontal="center" wrapText="1"/>
    </xf>
    <xf numFmtId="3" fontId="6" fillId="6" borderId="13" xfId="0" applyNumberFormat="1" applyFont="1" applyFill="1" applyBorder="1" applyProtection="1">
      <protection locked="0"/>
    </xf>
    <xf numFmtId="3" fontId="6" fillId="7" borderId="28" xfId="0" applyNumberFormat="1" applyFont="1" applyFill="1" applyBorder="1" applyProtection="1">
      <protection locked="0"/>
    </xf>
    <xf numFmtId="169" fontId="24" fillId="7" borderId="0" xfId="1" applyNumberFormat="1" applyFont="1" applyFill="1"/>
    <xf numFmtId="0" fontId="23" fillId="6" borderId="3" xfId="0" applyFont="1" applyFill="1" applyBorder="1" applyAlignment="1">
      <alignment wrapText="1"/>
    </xf>
    <xf numFmtId="168" fontId="25" fillId="6" borderId="3" xfId="0" applyNumberFormat="1" applyFont="1" applyFill="1" applyBorder="1" applyAlignment="1">
      <alignment horizontal="right"/>
    </xf>
    <xf numFmtId="168" fontId="6" fillId="6" borderId="3" xfId="0" applyNumberFormat="1" applyFont="1" applyFill="1" applyBorder="1"/>
    <xf numFmtId="0" fontId="25" fillId="6" borderId="3" xfId="0" applyFont="1" applyFill="1" applyBorder="1"/>
    <xf numFmtId="0" fontId="25" fillId="6" borderId="18" xfId="0" applyFont="1" applyFill="1" applyBorder="1" applyAlignment="1">
      <alignment horizontal="center"/>
    </xf>
    <xf numFmtId="3" fontId="25" fillId="6" borderId="18" xfId="0" applyNumberFormat="1" applyFont="1" applyFill="1" applyBorder="1"/>
    <xf numFmtId="0" fontId="0" fillId="6" borderId="4" xfId="0" applyFill="1" applyBorder="1"/>
    <xf numFmtId="0" fontId="23" fillId="6" borderId="6" xfId="0" applyFont="1" applyFill="1" applyBorder="1" applyAlignment="1">
      <alignment wrapText="1"/>
    </xf>
    <xf numFmtId="3" fontId="6" fillId="6" borderId="7" xfId="0" applyNumberFormat="1" applyFont="1" applyFill="1" applyBorder="1"/>
    <xf numFmtId="0" fontId="6" fillId="6" borderId="18" xfId="0" applyFont="1" applyFill="1" applyBorder="1" applyAlignment="1">
      <alignment horizontal="center"/>
    </xf>
    <xf numFmtId="0" fontId="25" fillId="7" borderId="30" xfId="0" applyFont="1" applyFill="1" applyBorder="1" applyAlignment="1" applyProtection="1">
      <alignment horizontal="center"/>
      <protection locked="0"/>
    </xf>
    <xf numFmtId="0" fontId="0" fillId="6" borderId="13" xfId="0" applyFill="1" applyBorder="1"/>
    <xf numFmtId="3" fontId="0" fillId="6" borderId="13" xfId="0" applyNumberFormat="1" applyFill="1" applyBorder="1"/>
    <xf numFmtId="3" fontId="23" fillId="6" borderId="18" xfId="0" applyNumberFormat="1" applyFont="1" applyFill="1" applyBorder="1"/>
    <xf numFmtId="3" fontId="6" fillId="6" borderId="13" xfId="0" applyNumberFormat="1" applyFont="1" applyFill="1" applyBorder="1" applyProtection="1"/>
    <xf numFmtId="0" fontId="6" fillId="6" borderId="4" xfId="0" applyFont="1" applyFill="1" applyBorder="1" applyAlignment="1" applyProtection="1">
      <alignment horizontal="center" wrapText="1"/>
    </xf>
    <xf numFmtId="3" fontId="6" fillId="6" borderId="3" xfId="0" applyNumberFormat="1" applyFont="1" applyFill="1" applyBorder="1" applyProtection="1"/>
    <xf numFmtId="0" fontId="6" fillId="6" borderId="3" xfId="0" applyFont="1" applyFill="1" applyBorder="1" applyAlignment="1" applyProtection="1">
      <alignment horizontal="center"/>
    </xf>
    <xf numFmtId="3" fontId="6" fillId="7" borderId="3" xfId="0" applyNumberFormat="1" applyFont="1" applyFill="1" applyBorder="1" applyAlignment="1">
      <alignment horizontal="center" wrapText="1"/>
    </xf>
    <xf numFmtId="3" fontId="0" fillId="7" borderId="3" xfId="0" applyNumberFormat="1" applyFill="1" applyBorder="1" applyAlignment="1">
      <alignment wrapText="1"/>
    </xf>
    <xf numFmtId="168" fontId="0" fillId="7" borderId="3" xfId="0" applyNumberFormat="1" applyFill="1" applyBorder="1" applyAlignment="1">
      <alignment horizontal="right" wrapText="1"/>
    </xf>
    <xf numFmtId="3" fontId="0" fillId="6" borderId="3" xfId="0" applyNumberFormat="1" applyFill="1" applyBorder="1" applyAlignment="1">
      <alignment wrapText="1"/>
    </xf>
    <xf numFmtId="168" fontId="0" fillId="6" borderId="3" xfId="0" applyNumberFormat="1" applyFill="1" applyBorder="1" applyAlignment="1">
      <alignment horizontal="right" wrapText="1"/>
    </xf>
    <xf numFmtId="0" fontId="3" fillId="6" borderId="3" xfId="0" applyFont="1" applyFill="1" applyBorder="1" applyAlignment="1">
      <alignment horizontal="center" wrapText="1"/>
    </xf>
    <xf numFmtId="3" fontId="3" fillId="6" borderId="3" xfId="0" applyNumberFormat="1" applyFont="1" applyFill="1" applyBorder="1" applyProtection="1">
      <protection locked="0"/>
    </xf>
    <xf numFmtId="3" fontId="3" fillId="6" borderId="3" xfId="0" applyNumberFormat="1" applyFont="1" applyFill="1" applyBorder="1"/>
    <xf numFmtId="0" fontId="0" fillId="6" borderId="10" xfId="0" applyFill="1" applyBorder="1"/>
    <xf numFmtId="0" fontId="0" fillId="6" borderId="18" xfId="0" applyFill="1" applyBorder="1" applyAlignment="1">
      <alignment wrapText="1"/>
    </xf>
    <xf numFmtId="0" fontId="0" fillId="8" borderId="18" xfId="0" applyFill="1" applyBorder="1" applyAlignment="1">
      <alignment horizontal="right"/>
    </xf>
    <xf numFmtId="0" fontId="7" fillId="8" borderId="3" xfId="0" quotePrefix="1" applyFont="1" applyFill="1" applyBorder="1" applyAlignment="1">
      <alignment horizontal="center" wrapText="1"/>
    </xf>
    <xf numFmtId="0" fontId="6" fillId="7" borderId="30" xfId="0" applyFont="1" applyFill="1" applyBorder="1" applyAlignment="1" applyProtection="1">
      <alignment horizontal="center" wrapText="1"/>
      <protection locked="0"/>
    </xf>
    <xf numFmtId="168" fontId="0" fillId="7" borderId="3" xfId="0" applyNumberFormat="1" applyFill="1" applyBorder="1" applyAlignment="1">
      <alignment horizontal="right"/>
    </xf>
    <xf numFmtId="168" fontId="3" fillId="6" borderId="3" xfId="0" applyNumberFormat="1" applyFont="1" applyFill="1" applyBorder="1" applyAlignment="1">
      <alignment horizontal="right"/>
    </xf>
    <xf numFmtId="3" fontId="0" fillId="6" borderId="3" xfId="0" applyNumberFormat="1" applyFill="1" applyBorder="1" applyAlignment="1">
      <alignment horizontal="right" wrapText="1"/>
    </xf>
    <xf numFmtId="3" fontId="0" fillId="7" borderId="3" xfId="0" applyNumberFormat="1" applyFill="1" applyBorder="1" applyAlignment="1">
      <alignment horizontal="right" wrapText="1"/>
    </xf>
    <xf numFmtId="0" fontId="7" fillId="0" borderId="0" xfId="0" applyFont="1" applyBorder="1" applyAlignment="1">
      <alignment horizontal="center" vertical="top" wrapText="1"/>
    </xf>
    <xf numFmtId="0" fontId="6" fillId="0" borderId="1" xfId="0" applyFont="1" applyBorder="1" applyAlignment="1">
      <alignment wrapText="1"/>
    </xf>
    <xf numFmtId="4" fontId="21" fillId="2" borderId="4" xfId="0" applyNumberFormat="1" applyFont="1" applyFill="1" applyBorder="1" applyAlignment="1">
      <alignment horizontal="center"/>
    </xf>
    <xf numFmtId="167" fontId="21" fillId="2" borderId="3" xfId="0" applyNumberFormat="1" applyFont="1" applyFill="1" applyBorder="1"/>
    <xf numFmtId="0" fontId="7" fillId="0" borderId="0" xfId="0" applyFont="1" applyBorder="1" applyAlignment="1">
      <alignment horizontal="center"/>
    </xf>
    <xf numFmtId="167" fontId="21" fillId="0" borderId="0" xfId="0" applyNumberFormat="1" applyFont="1" applyFill="1" applyBorder="1"/>
    <xf numFmtId="170" fontId="0" fillId="0" borderId="0" xfId="0" applyNumberFormat="1" applyFill="1" applyBorder="1"/>
    <xf numFmtId="0" fontId="0" fillId="0" borderId="0" xfId="0" applyAlignment="1">
      <alignment horizontal="left"/>
    </xf>
    <xf numFmtId="0" fontId="6" fillId="0" borderId="2" xfId="0" applyFont="1" applyBorder="1"/>
    <xf numFmtId="0" fontId="3" fillId="7" borderId="30" xfId="0" applyFont="1" applyFill="1" applyBorder="1" applyAlignment="1" applyProtection="1">
      <alignment horizontal="left" wrapText="1"/>
      <protection locked="0"/>
    </xf>
    <xf numFmtId="168" fontId="21" fillId="2" borderId="3" xfId="0" applyNumberFormat="1" applyFont="1" applyFill="1" applyBorder="1"/>
    <xf numFmtId="168" fontId="0" fillId="0" borderId="3" xfId="0" applyNumberFormat="1" applyFill="1" applyBorder="1" applyAlignment="1">
      <alignment horizontal="right" wrapText="1"/>
    </xf>
    <xf numFmtId="0" fontId="0" fillId="10" borderId="0" xfId="0" applyFill="1" applyAlignment="1">
      <alignment wrapText="1"/>
    </xf>
    <xf numFmtId="0" fontId="0" fillId="10" borderId="3" xfId="0" applyFill="1" applyBorder="1" applyAlignment="1">
      <alignment wrapText="1"/>
    </xf>
    <xf numFmtId="0" fontId="6" fillId="10" borderId="3" xfId="0" applyFont="1" applyFill="1" applyBorder="1" applyAlignment="1">
      <alignment wrapText="1"/>
    </xf>
    <xf numFmtId="3" fontId="0" fillId="7" borderId="0" xfId="0" applyNumberFormat="1" applyFill="1"/>
    <xf numFmtId="3" fontId="24" fillId="6" borderId="3" xfId="1" applyNumberFormat="1" applyFont="1" applyFill="1" applyBorder="1" applyAlignment="1"/>
    <xf numFmtId="3" fontId="24" fillId="6" borderId="0" xfId="1" applyNumberFormat="1" applyFont="1" applyFill="1" applyAlignment="1"/>
    <xf numFmtId="3" fontId="24" fillId="6" borderId="7" xfId="1" applyNumberFormat="1" applyFont="1" applyFill="1" applyBorder="1" applyAlignment="1"/>
    <xf numFmtId="3" fontId="6" fillId="6" borderId="3" xfId="1" applyNumberFormat="1" applyFont="1" applyFill="1" applyBorder="1" applyAlignment="1"/>
    <xf numFmtId="3" fontId="0" fillId="6" borderId="3" xfId="0" applyNumberFormat="1" applyFill="1" applyBorder="1" applyAlignment="1"/>
    <xf numFmtId="168" fontId="0" fillId="6" borderId="3" xfId="0" applyNumberFormat="1" applyFill="1" applyBorder="1" applyAlignment="1"/>
    <xf numFmtId="0" fontId="0" fillId="7" borderId="0" xfId="0" applyFill="1" applyProtection="1">
      <protection locked="0"/>
    </xf>
    <xf numFmtId="0" fontId="6" fillId="7" borderId="0" xfId="0" applyFont="1" applyFill="1" applyProtection="1">
      <protection locked="0"/>
    </xf>
    <xf numFmtId="0" fontId="0" fillId="7" borderId="0" xfId="0" applyFill="1" applyBorder="1" applyProtection="1">
      <protection locked="0"/>
    </xf>
    <xf numFmtId="0" fontId="0" fillId="7" borderId="0" xfId="0" applyFill="1" applyAlignment="1" applyProtection="1">
      <alignment wrapText="1"/>
      <protection locked="0"/>
    </xf>
    <xf numFmtId="0" fontId="6" fillId="7" borderId="0" xfId="0" applyFont="1" applyFill="1" applyAlignment="1">
      <alignment wrapText="1"/>
    </xf>
    <xf numFmtId="0" fontId="0" fillId="0" borderId="0" xfId="0" applyFill="1" applyProtection="1">
      <protection locked="0"/>
    </xf>
    <xf numFmtId="0" fontId="3" fillId="7" borderId="0" xfId="0" applyFont="1" applyFill="1" applyBorder="1" applyAlignment="1">
      <alignment wrapText="1"/>
    </xf>
    <xf numFmtId="168" fontId="3" fillId="7" borderId="0" xfId="0" applyNumberFormat="1" applyFont="1" applyFill="1" applyBorder="1"/>
    <xf numFmtId="3" fontId="0" fillId="0" borderId="3" xfId="0" applyNumberFormat="1" applyFill="1" applyBorder="1" applyAlignment="1">
      <alignment horizontal="right" wrapText="1"/>
    </xf>
    <xf numFmtId="9" fontId="29" fillId="7" borderId="3" xfId="3" applyFont="1" applyFill="1" applyBorder="1" applyAlignment="1">
      <alignment horizontal="right" wrapText="1"/>
    </xf>
    <xf numFmtId="9" fontId="3" fillId="6" borderId="3" xfId="3" applyFont="1" applyFill="1" applyBorder="1"/>
    <xf numFmtId="168" fontId="0" fillId="7" borderId="0" xfId="0" applyNumberFormat="1" applyFill="1"/>
    <xf numFmtId="165" fontId="0" fillId="7" borderId="0" xfId="0" applyNumberFormat="1" applyFill="1"/>
    <xf numFmtId="0" fontId="3" fillId="6" borderId="12" xfId="0" applyFont="1" applyFill="1" applyBorder="1" applyAlignment="1">
      <alignment horizontal="left"/>
    </xf>
    <xf numFmtId="0" fontId="3" fillId="6" borderId="32" xfId="0" applyFont="1" applyFill="1" applyBorder="1" applyAlignment="1">
      <alignment horizontal="left"/>
    </xf>
    <xf numFmtId="3" fontId="6" fillId="6" borderId="12" xfId="0" applyNumberFormat="1" applyFont="1" applyFill="1" applyBorder="1" applyAlignment="1">
      <alignment horizontal="left" wrapText="1"/>
    </xf>
    <xf numFmtId="3" fontId="3" fillId="6" borderId="32" xfId="0" applyNumberFormat="1" applyFont="1" applyFill="1" applyBorder="1" applyAlignment="1">
      <alignment horizontal="left"/>
    </xf>
    <xf numFmtId="0" fontId="0" fillId="6" borderId="12" xfId="0" applyFill="1" applyBorder="1" applyAlignment="1">
      <alignment horizontal="left"/>
    </xf>
    <xf numFmtId="0" fontId="3" fillId="6" borderId="32" xfId="0" applyFont="1" applyFill="1" applyBorder="1" applyAlignment="1">
      <alignment horizontal="center"/>
    </xf>
    <xf numFmtId="0" fontId="0" fillId="6" borderId="12" xfId="0" applyFill="1" applyBorder="1" applyAlignment="1">
      <alignment horizontal="center"/>
    </xf>
    <xf numFmtId="0" fontId="0" fillId="6" borderId="12" xfId="0" applyFill="1" applyBorder="1" applyAlignment="1">
      <alignment horizontal="center" wrapText="1"/>
    </xf>
    <xf numFmtId="0" fontId="0" fillId="6" borderId="32" xfId="0" applyFill="1" applyBorder="1" applyAlignment="1">
      <alignment horizontal="center" wrapText="1"/>
    </xf>
    <xf numFmtId="0" fontId="6" fillId="6" borderId="9" xfId="0" applyFont="1" applyFill="1" applyBorder="1" applyAlignment="1">
      <alignment wrapText="1"/>
    </xf>
    <xf numFmtId="0" fontId="3" fillId="6" borderId="1" xfId="0" applyFont="1" applyFill="1" applyBorder="1"/>
    <xf numFmtId="0" fontId="6" fillId="6" borderId="6" xfId="0" applyFont="1" applyFill="1" applyBorder="1" applyAlignment="1">
      <alignment horizontal="left"/>
    </xf>
    <xf numFmtId="0" fontId="6" fillId="6" borderId="2" xfId="0" applyFont="1" applyFill="1" applyBorder="1" applyAlignment="1">
      <alignment horizontal="center"/>
    </xf>
    <xf numFmtId="0" fontId="6" fillId="0" borderId="26" xfId="0" applyFont="1" applyFill="1" applyBorder="1" applyAlignment="1" applyProtection="1">
      <alignment horizontal="center" wrapText="1"/>
      <protection locked="0"/>
    </xf>
    <xf numFmtId="0" fontId="6" fillId="0" borderId="24" xfId="0" applyFont="1" applyFill="1" applyBorder="1" applyAlignment="1" applyProtection="1">
      <alignment horizontal="center" wrapText="1"/>
      <protection locked="0"/>
    </xf>
    <xf numFmtId="0" fontId="6" fillId="0" borderId="25" xfId="0" applyFont="1" applyFill="1" applyBorder="1" applyAlignment="1" applyProtection="1">
      <alignment horizontal="center" wrapText="1"/>
      <protection locked="0"/>
    </xf>
    <xf numFmtId="0" fontId="0" fillId="11" borderId="0" xfId="0" applyFill="1"/>
    <xf numFmtId="0" fontId="0" fillId="7" borderId="0" xfId="0" applyFill="1" applyBorder="1" applyAlignment="1"/>
    <xf numFmtId="168" fontId="6" fillId="6" borderId="7" xfId="0" applyNumberFormat="1" applyFont="1" applyFill="1" applyBorder="1"/>
    <xf numFmtId="164" fontId="6" fillId="6" borderId="7" xfId="0" applyNumberFormat="1" applyFont="1" applyFill="1" applyBorder="1" applyProtection="1"/>
    <xf numFmtId="0" fontId="0" fillId="6" borderId="12" xfId="0" applyFill="1" applyBorder="1"/>
    <xf numFmtId="3" fontId="6" fillId="6" borderId="4" xfId="0" applyNumberFormat="1" applyFont="1" applyFill="1" applyBorder="1" applyProtection="1"/>
    <xf numFmtId="166" fontId="0" fillId="7" borderId="0" xfId="0" applyNumberFormat="1" applyFill="1" applyAlignment="1">
      <alignment horizontal="left"/>
    </xf>
    <xf numFmtId="0" fontId="6" fillId="6" borderId="0" xfId="0" applyFont="1" applyFill="1" applyBorder="1" applyAlignment="1">
      <alignment wrapText="1"/>
    </xf>
    <xf numFmtId="1" fontId="0" fillId="3" borderId="3" xfId="0" applyNumberFormat="1" applyFill="1" applyBorder="1"/>
    <xf numFmtId="0" fontId="0" fillId="0" borderId="3" xfId="0" applyBorder="1"/>
    <xf numFmtId="0" fontId="0" fillId="0" borderId="0" xfId="0" applyAlignment="1">
      <alignment horizontal="right"/>
    </xf>
    <xf numFmtId="169" fontId="30" fillId="0" borderId="3" xfId="1" applyNumberFormat="1" applyFont="1" applyBorder="1" applyAlignment="1">
      <alignment horizontal="right" wrapText="1"/>
    </xf>
    <xf numFmtId="0" fontId="46" fillId="0" borderId="0" xfId="0" applyFont="1" applyAlignment="1">
      <alignment horizontal="left" vertical="top" wrapText="1"/>
    </xf>
    <xf numFmtId="0" fontId="16" fillId="0" borderId="0" xfId="2" applyAlignment="1" applyProtection="1">
      <alignment horizontal="left" vertical="top" wrapText="1"/>
    </xf>
    <xf numFmtId="15" fontId="46" fillId="0" borderId="0" xfId="0" applyNumberFormat="1" applyFont="1" applyAlignment="1">
      <alignment horizontal="left" vertical="top" wrapText="1"/>
    </xf>
    <xf numFmtId="0" fontId="46" fillId="0" borderId="3" xfId="0" applyFont="1" applyBorder="1" applyAlignment="1">
      <alignment horizontal="left" vertical="top" wrapText="1"/>
    </xf>
    <xf numFmtId="0" fontId="3" fillId="0" borderId="3" xfId="0" applyFont="1" applyBorder="1" applyAlignment="1">
      <alignment horizontal="left"/>
    </xf>
    <xf numFmtId="0" fontId="0" fillId="0" borderId="0" xfId="0" applyBorder="1" applyAlignment="1">
      <alignment horizontal="left"/>
    </xf>
    <xf numFmtId="0" fontId="3" fillId="0" borderId="3" xfId="0" applyFont="1" applyBorder="1" applyAlignment="1">
      <alignment horizontal="left" wrapText="1"/>
    </xf>
    <xf numFmtId="3" fontId="6" fillId="7" borderId="26" xfId="0" applyNumberFormat="1" applyFont="1" applyFill="1" applyBorder="1" applyAlignment="1" applyProtection="1">
      <alignment horizontal="left" wrapText="1"/>
      <protection locked="0"/>
    </xf>
    <xf numFmtId="3" fontId="43" fillId="3" borderId="3" xfId="0" applyNumberFormat="1" applyFont="1" applyFill="1" applyBorder="1"/>
    <xf numFmtId="0" fontId="41" fillId="6" borderId="3" xfId="0" applyFont="1" applyFill="1" applyBorder="1"/>
    <xf numFmtId="0" fontId="41" fillId="6" borderId="0" xfId="0" applyFont="1" applyFill="1" applyBorder="1" applyAlignment="1">
      <alignment wrapText="1"/>
    </xf>
    <xf numFmtId="0" fontId="16" fillId="0" borderId="0" xfId="2" applyAlignment="1" applyProtection="1"/>
    <xf numFmtId="169" fontId="30" fillId="0" borderId="3" xfId="1" applyNumberFormat="1" applyFont="1" applyBorder="1"/>
    <xf numFmtId="0" fontId="3" fillId="0" borderId="0" xfId="0" applyFont="1" applyFill="1" applyAlignment="1">
      <alignment horizontal="right"/>
    </xf>
    <xf numFmtId="0" fontId="3" fillId="0" borderId="0" xfId="0" applyFont="1" applyFill="1" applyAlignment="1">
      <alignment horizontal="left"/>
    </xf>
    <xf numFmtId="1" fontId="0" fillId="0" borderId="0" xfId="0" applyNumberFormat="1"/>
    <xf numFmtId="1" fontId="0" fillId="0" borderId="3" xfId="0" applyNumberFormat="1" applyBorder="1"/>
    <xf numFmtId="0" fontId="3" fillId="6" borderId="3" xfId="0" applyFont="1" applyFill="1" applyBorder="1" applyAlignment="1" applyProtection="1"/>
    <xf numFmtId="3" fontId="6" fillId="6" borderId="3" xfId="0" applyNumberFormat="1" applyFont="1" applyFill="1" applyBorder="1" applyAlignment="1" applyProtection="1">
      <alignment horizontal="right"/>
    </xf>
    <xf numFmtId="166" fontId="6" fillId="6" borderId="3" xfId="0" applyNumberFormat="1" applyFont="1" applyFill="1" applyBorder="1" applyAlignment="1" applyProtection="1">
      <alignment horizontal="right" wrapText="1"/>
    </xf>
    <xf numFmtId="3" fontId="6" fillId="6" borderId="3" xfId="0" applyNumberFormat="1" applyFont="1" applyFill="1" applyBorder="1" applyAlignment="1" applyProtection="1">
      <alignment horizontal="right" wrapText="1"/>
    </xf>
    <xf numFmtId="0" fontId="6" fillId="6" borderId="3" xfId="0" applyFont="1" applyFill="1" applyBorder="1" applyAlignment="1" applyProtection="1">
      <alignment wrapText="1"/>
      <protection locked="0"/>
    </xf>
    <xf numFmtId="0" fontId="40" fillId="7" borderId="0" xfId="0" applyFont="1" applyFill="1"/>
    <xf numFmtId="0" fontId="0" fillId="6" borderId="22" xfId="0" applyFill="1" applyBorder="1" applyAlignment="1">
      <alignment wrapText="1"/>
    </xf>
    <xf numFmtId="0" fontId="0" fillId="6" borderId="20" xfId="0" applyFill="1" applyBorder="1" applyAlignment="1">
      <alignment wrapText="1"/>
    </xf>
    <xf numFmtId="0" fontId="0" fillId="6" borderId="14" xfId="0" applyFill="1" applyBorder="1" applyAlignment="1">
      <alignment wrapText="1"/>
    </xf>
    <xf numFmtId="0" fontId="0" fillId="6" borderId="19" xfId="0" applyFill="1" applyBorder="1" applyAlignment="1">
      <alignment wrapText="1"/>
    </xf>
    <xf numFmtId="0" fontId="0" fillId="6" borderId="33" xfId="0" applyFill="1" applyBorder="1" applyAlignment="1">
      <alignment wrapText="1"/>
    </xf>
    <xf numFmtId="0" fontId="0" fillId="6" borderId="21" xfId="0" applyFill="1" applyBorder="1" applyAlignment="1">
      <alignment wrapText="1"/>
    </xf>
    <xf numFmtId="0" fontId="6" fillId="6" borderId="14" xfId="0" applyFont="1" applyFill="1" applyBorder="1" applyAlignment="1">
      <alignment horizontal="center" wrapText="1"/>
    </xf>
    <xf numFmtId="0" fontId="6" fillId="6" borderId="14" xfId="0" applyFont="1" applyFill="1" applyBorder="1" applyAlignment="1">
      <alignment horizontal="center"/>
    </xf>
    <xf numFmtId="0" fontId="0" fillId="6" borderId="14" xfId="0" applyFill="1" applyBorder="1"/>
    <xf numFmtId="0" fontId="6" fillId="6" borderId="22" xfId="0" applyFont="1" applyFill="1" applyBorder="1" applyAlignment="1">
      <alignment wrapText="1"/>
    </xf>
    <xf numFmtId="0" fontId="6" fillId="6" borderId="14" xfId="0" applyFont="1" applyFill="1" applyBorder="1" applyAlignment="1">
      <alignment wrapText="1"/>
    </xf>
    <xf numFmtId="3" fontId="3" fillId="6" borderId="3" xfId="0" applyNumberFormat="1" applyFont="1" applyFill="1" applyBorder="1" applyAlignment="1">
      <alignment wrapText="1"/>
    </xf>
    <xf numFmtId="168" fontId="3" fillId="6" borderId="3" xfId="0" applyNumberFormat="1" applyFont="1" applyFill="1" applyBorder="1" applyAlignment="1">
      <alignment horizontal="right" wrapText="1"/>
    </xf>
    <xf numFmtId="3" fontId="6" fillId="0" borderId="3" xfId="0" applyNumberFormat="1" applyFont="1" applyFill="1" applyBorder="1" applyAlignment="1" applyProtection="1">
      <alignment horizontal="right" wrapText="1"/>
      <protection locked="0"/>
    </xf>
    <xf numFmtId="0" fontId="6" fillId="6" borderId="7" xfId="0" applyFont="1" applyFill="1" applyBorder="1" applyAlignment="1">
      <alignment wrapText="1"/>
    </xf>
    <xf numFmtId="0" fontId="0" fillId="6" borderId="7" xfId="0" applyFill="1" applyBorder="1" applyAlignment="1">
      <alignment wrapText="1"/>
    </xf>
    <xf numFmtId="0" fontId="41" fillId="7" borderId="0" xfId="0" applyFont="1" applyFill="1"/>
    <xf numFmtId="169" fontId="31" fillId="7" borderId="0" xfId="1" applyNumberFormat="1" applyFont="1" applyFill="1"/>
    <xf numFmtId="168" fontId="0" fillId="0" borderId="3" xfId="0" applyNumberFormat="1" applyFill="1" applyBorder="1" applyAlignment="1">
      <alignment horizontal="right"/>
    </xf>
    <xf numFmtId="168" fontId="41" fillId="7" borderId="0" xfId="0" applyNumberFormat="1" applyFont="1" applyFill="1"/>
    <xf numFmtId="0" fontId="6" fillId="0" borderId="0" xfId="0" quotePrefix="1" applyFont="1"/>
    <xf numFmtId="0" fontId="41" fillId="0" borderId="0" xfId="0" applyFont="1" applyAlignment="1">
      <alignment wrapText="1"/>
    </xf>
    <xf numFmtId="0" fontId="6" fillId="0" borderId="0" xfId="0" quotePrefix="1" applyFont="1" applyFill="1"/>
    <xf numFmtId="17" fontId="6" fillId="0" borderId="0" xfId="0" quotePrefix="1" applyNumberFormat="1" applyFont="1"/>
    <xf numFmtId="0" fontId="6" fillId="0" borderId="6" xfId="0" quotePrefix="1" applyFont="1" applyBorder="1"/>
    <xf numFmtId="0" fontId="6" fillId="0" borderId="0" xfId="0" applyFont="1" applyFill="1" applyBorder="1" applyAlignment="1">
      <alignment wrapText="1"/>
    </xf>
    <xf numFmtId="164" fontId="0" fillId="0" borderId="0" xfId="0" applyNumberFormat="1" applyFill="1" applyBorder="1"/>
    <xf numFmtId="164" fontId="6" fillId="0" borderId="0" xfId="0" applyNumberFormat="1" applyFont="1" applyFill="1" applyBorder="1"/>
    <xf numFmtId="0" fontId="48" fillId="0" borderId="0" xfId="0" applyFont="1" applyFill="1" applyBorder="1" applyAlignment="1">
      <alignment horizontal="right" wrapText="1"/>
    </xf>
    <xf numFmtId="0" fontId="49" fillId="0" borderId="0" xfId="0" applyFont="1" applyFill="1" applyBorder="1" applyAlignment="1">
      <alignment horizontal="right" wrapText="1"/>
    </xf>
    <xf numFmtId="0" fontId="50" fillId="0" borderId="0" xfId="0" applyFont="1" applyFill="1" applyBorder="1" applyAlignment="1">
      <alignment horizontal="center" wrapText="1"/>
    </xf>
    <xf numFmtId="0" fontId="48" fillId="0" borderId="0" xfId="0" applyFont="1" applyFill="1" applyBorder="1" applyAlignment="1">
      <alignment horizontal="left" wrapText="1"/>
    </xf>
    <xf numFmtId="0" fontId="40" fillId="12" borderId="7" xfId="0" applyFont="1" applyFill="1" applyBorder="1" applyAlignment="1">
      <alignment horizontal="center" wrapText="1"/>
    </xf>
    <xf numFmtId="169" fontId="6" fillId="12" borderId="7" xfId="1" applyNumberFormat="1" applyFont="1" applyFill="1" applyBorder="1"/>
    <xf numFmtId="169" fontId="32" fillId="12" borderId="7" xfId="1" applyNumberFormat="1" applyFont="1" applyFill="1" applyBorder="1"/>
    <xf numFmtId="169" fontId="6" fillId="0" borderId="26" xfId="1" applyNumberFormat="1" applyFont="1" applyFill="1" applyBorder="1" applyAlignment="1" applyProtection="1">
      <alignment horizontal="center" wrapText="1"/>
      <protection locked="0"/>
    </xf>
    <xf numFmtId="169" fontId="6" fillId="0" borderId="36" xfId="1" applyNumberFormat="1" applyFont="1" applyFill="1" applyBorder="1" applyAlignment="1" applyProtection="1">
      <alignment horizontal="center" wrapText="1"/>
      <protection locked="0"/>
    </xf>
    <xf numFmtId="169" fontId="6" fillId="0" borderId="24" xfId="1" applyNumberFormat="1" applyFont="1" applyFill="1" applyBorder="1" applyAlignment="1" applyProtection="1">
      <alignment horizontal="center" wrapText="1"/>
      <protection locked="0"/>
    </xf>
    <xf numFmtId="0" fontId="6" fillId="7" borderId="0" xfId="0" applyFont="1" applyFill="1" applyBorder="1" applyAlignment="1">
      <alignment wrapText="1"/>
    </xf>
    <xf numFmtId="0" fontId="6" fillId="7" borderId="0" xfId="0" applyFont="1" applyFill="1" applyBorder="1" applyAlignment="1" applyProtection="1">
      <alignment horizontal="center" wrapText="1"/>
      <protection locked="0"/>
    </xf>
    <xf numFmtId="0" fontId="0" fillId="7" borderId="0" xfId="0" applyFill="1" applyBorder="1" applyAlignment="1">
      <alignment wrapText="1"/>
    </xf>
    <xf numFmtId="0" fontId="48" fillId="7" borderId="0" xfId="0" applyFont="1" applyFill="1" applyBorder="1" applyAlignment="1">
      <alignment horizontal="right" wrapText="1"/>
    </xf>
    <xf numFmtId="0" fontId="49" fillId="7" borderId="0" xfId="0" applyFont="1" applyFill="1" applyBorder="1" applyAlignment="1">
      <alignment horizontal="right" wrapText="1"/>
    </xf>
    <xf numFmtId="0" fontId="50" fillId="7" borderId="0" xfId="0" applyFont="1" applyFill="1" applyBorder="1" applyAlignment="1">
      <alignment horizontal="center" wrapText="1"/>
    </xf>
    <xf numFmtId="169" fontId="48" fillId="7" borderId="0" xfId="1" applyNumberFormat="1" applyFont="1" applyFill="1" applyBorder="1" applyAlignment="1">
      <alignment horizontal="right" wrapText="1"/>
    </xf>
    <xf numFmtId="164" fontId="0" fillId="7" borderId="0" xfId="0" applyNumberFormat="1" applyFill="1" applyBorder="1"/>
    <xf numFmtId="170" fontId="0" fillId="7" borderId="0" xfId="0" applyNumberFormat="1" applyFill="1" applyBorder="1"/>
    <xf numFmtId="164" fontId="6" fillId="7" borderId="0" xfId="0" applyNumberFormat="1" applyFont="1" applyFill="1" applyBorder="1"/>
    <xf numFmtId="170" fontId="6" fillId="7" borderId="0" xfId="0" applyNumberFormat="1" applyFont="1" applyFill="1" applyBorder="1"/>
    <xf numFmtId="169" fontId="32" fillId="7" borderId="0" xfId="1" applyNumberFormat="1" applyFont="1" applyFill="1" applyBorder="1"/>
    <xf numFmtId="169" fontId="49" fillId="7" borderId="0" xfId="1" applyNumberFormat="1" applyFont="1" applyFill="1" applyBorder="1" applyAlignment="1">
      <alignment horizontal="right" wrapText="1"/>
    </xf>
    <xf numFmtId="0" fontId="48" fillId="7" borderId="0" xfId="0" applyFont="1" applyFill="1" applyBorder="1" applyAlignment="1">
      <alignment wrapText="1"/>
    </xf>
    <xf numFmtId="0" fontId="48" fillId="7" borderId="0" xfId="0" applyFont="1" applyFill="1" applyBorder="1" applyAlignment="1">
      <alignment horizontal="left" wrapText="1"/>
    </xf>
    <xf numFmtId="2" fontId="0" fillId="7" borderId="0" xfId="0" applyNumberFormat="1" applyFill="1" applyBorder="1"/>
    <xf numFmtId="0" fontId="48" fillId="7" borderId="0" xfId="0" applyFont="1" applyFill="1" applyBorder="1"/>
    <xf numFmtId="172" fontId="6" fillId="7" borderId="0" xfId="0" applyNumberFormat="1" applyFont="1" applyFill="1" applyBorder="1"/>
    <xf numFmtId="165" fontId="0" fillId="7" borderId="0" xfId="0" applyNumberFormat="1" applyFill="1" applyBorder="1"/>
    <xf numFmtId="2" fontId="0" fillId="2" borderId="3" xfId="0" applyNumberFormat="1" applyFill="1" applyBorder="1"/>
    <xf numFmtId="0" fontId="39" fillId="3" borderId="3" xfId="0" applyFont="1" applyFill="1" applyBorder="1" applyAlignment="1">
      <alignment wrapText="1"/>
    </xf>
    <xf numFmtId="0" fontId="0" fillId="11" borderId="3" xfId="0" applyFill="1" applyBorder="1" applyAlignment="1">
      <alignment wrapText="1"/>
    </xf>
    <xf numFmtId="0" fontId="40" fillId="0" borderId="0" xfId="0" applyFont="1" applyAlignment="1">
      <alignment wrapText="1"/>
    </xf>
    <xf numFmtId="171" fontId="0" fillId="0" borderId="0" xfId="0" applyNumberFormat="1" applyFont="1"/>
    <xf numFmtId="0" fontId="38" fillId="0" borderId="0" xfId="0" applyFont="1" applyAlignment="1">
      <alignment wrapText="1"/>
    </xf>
    <xf numFmtId="0" fontId="0" fillId="0" borderId="0" xfId="0" applyFont="1" applyAlignment="1">
      <alignment wrapText="1"/>
    </xf>
    <xf numFmtId="0" fontId="37" fillId="0" borderId="0" xfId="0" applyFont="1" applyAlignment="1">
      <alignment wrapText="1"/>
    </xf>
    <xf numFmtId="169" fontId="0" fillId="0" borderId="0" xfId="1" applyNumberFormat="1" applyFont="1"/>
    <xf numFmtId="0" fontId="47" fillId="0" borderId="0" xfId="0" applyFont="1"/>
    <xf numFmtId="0" fontId="47" fillId="0" borderId="0" xfId="0" applyFont="1" applyAlignment="1">
      <alignment wrapText="1"/>
    </xf>
    <xf numFmtId="0" fontId="51" fillId="3" borderId="3" xfId="0" applyFont="1" applyFill="1" applyBorder="1" applyAlignment="1">
      <alignment wrapText="1"/>
    </xf>
    <xf numFmtId="3" fontId="0" fillId="0" borderId="0" xfId="0" applyNumberFormat="1"/>
    <xf numFmtId="3" fontId="6" fillId="0" borderId="28" xfId="0" applyNumberFormat="1" applyFont="1" applyFill="1" applyBorder="1" applyProtection="1">
      <protection locked="0"/>
    </xf>
    <xf numFmtId="3" fontId="0" fillId="7" borderId="3" xfId="0" applyNumberFormat="1" applyFill="1" applyBorder="1" applyAlignment="1">
      <alignment horizontal="right"/>
    </xf>
    <xf numFmtId="0" fontId="41" fillId="7" borderId="0" xfId="0" applyFont="1" applyFill="1" applyAlignment="1">
      <alignment horizontal="center"/>
    </xf>
    <xf numFmtId="0" fontId="52" fillId="7" borderId="0" xfId="0" applyFont="1" applyFill="1"/>
    <xf numFmtId="0" fontId="47" fillId="7" borderId="0" xfId="0" applyFont="1" applyFill="1"/>
    <xf numFmtId="0" fontId="1" fillId="7" borderId="0" xfId="0" applyFont="1" applyFill="1"/>
    <xf numFmtId="0" fontId="1" fillId="6" borderId="6" xfId="0" applyFont="1" applyFill="1" applyBorder="1" applyAlignment="1">
      <alignment wrapText="1"/>
    </xf>
    <xf numFmtId="0" fontId="0" fillId="7" borderId="34" xfId="0" applyFill="1" applyBorder="1" applyProtection="1">
      <protection locked="0"/>
    </xf>
    <xf numFmtId="0" fontId="0" fillId="7" borderId="6" xfId="0" applyFill="1" applyBorder="1" applyProtection="1">
      <protection locked="0"/>
    </xf>
    <xf numFmtId="0" fontId="0" fillId="7" borderId="39" xfId="0" applyFill="1" applyBorder="1" applyProtection="1">
      <protection locked="0"/>
    </xf>
    <xf numFmtId="0" fontId="6" fillId="6" borderId="39" xfId="0" applyFont="1" applyFill="1" applyBorder="1" applyAlignment="1">
      <alignment wrapText="1"/>
    </xf>
    <xf numFmtId="0" fontId="0" fillId="6" borderId="40" xfId="0" applyFill="1" applyBorder="1" applyAlignment="1">
      <alignment wrapText="1"/>
    </xf>
    <xf numFmtId="0" fontId="0" fillId="6" borderId="41" xfId="0" applyFill="1" applyBorder="1" applyAlignment="1">
      <alignment wrapText="1"/>
    </xf>
    <xf numFmtId="0" fontId="0" fillId="6" borderId="42" xfId="0" applyFill="1" applyBorder="1" applyAlignment="1">
      <alignment wrapText="1"/>
    </xf>
    <xf numFmtId="3" fontId="0" fillId="6" borderId="40" xfId="0" applyNumberFormat="1" applyFill="1" applyBorder="1" applyAlignment="1">
      <alignment wrapText="1"/>
    </xf>
    <xf numFmtId="0" fontId="0" fillId="7" borderId="21" xfId="0" applyFill="1" applyBorder="1" applyProtection="1">
      <protection locked="0"/>
    </xf>
    <xf numFmtId="0" fontId="0" fillId="7" borderId="23" xfId="0" applyFill="1" applyBorder="1" applyProtection="1">
      <protection locked="0"/>
    </xf>
    <xf numFmtId="3" fontId="6" fillId="0" borderId="14" xfId="0" applyNumberFormat="1" applyFont="1" applyFill="1" applyBorder="1" applyAlignment="1" applyProtection="1">
      <alignment horizontal="right" wrapText="1"/>
      <protection locked="0"/>
    </xf>
    <xf numFmtId="0" fontId="0" fillId="7" borderId="27" xfId="0" applyFill="1" applyBorder="1" applyProtection="1">
      <protection locked="0"/>
    </xf>
    <xf numFmtId="0" fontId="1" fillId="6" borderId="40" xfId="0" applyFont="1" applyFill="1" applyBorder="1" applyAlignment="1">
      <alignment wrapText="1"/>
    </xf>
    <xf numFmtId="0" fontId="0" fillId="6" borderId="18" xfId="0" applyFill="1" applyBorder="1"/>
    <xf numFmtId="3" fontId="6" fillId="0" borderId="18" xfId="0" applyNumberFormat="1" applyFont="1" applyFill="1" applyBorder="1" applyAlignment="1" applyProtection="1">
      <alignment horizontal="right" wrapText="1"/>
      <protection locked="0"/>
    </xf>
    <xf numFmtId="0" fontId="0" fillId="7" borderId="9" xfId="0" applyFill="1" applyBorder="1" applyProtection="1">
      <protection locked="0"/>
    </xf>
    <xf numFmtId="0" fontId="3" fillId="6" borderId="33" xfId="0" applyFont="1" applyFill="1" applyBorder="1"/>
    <xf numFmtId="0" fontId="0" fillId="6" borderId="33" xfId="0" applyFill="1" applyBorder="1"/>
    <xf numFmtId="0" fontId="1" fillId="7" borderId="19" xfId="0" applyFont="1" applyFill="1" applyBorder="1" applyAlignment="1" applyProtection="1">
      <alignment horizontal="center" wrapText="1"/>
      <protection locked="0"/>
    </xf>
    <xf numFmtId="0" fontId="1" fillId="7" borderId="20" xfId="0" applyFont="1" applyFill="1" applyBorder="1" applyAlignment="1" applyProtection="1">
      <alignment horizontal="center" wrapText="1"/>
      <protection locked="0"/>
    </xf>
    <xf numFmtId="0" fontId="1" fillId="7" borderId="22" xfId="0" applyFont="1" applyFill="1" applyBorder="1" applyAlignment="1" applyProtection="1">
      <alignment horizontal="center" wrapText="1"/>
      <protection locked="0"/>
    </xf>
    <xf numFmtId="0" fontId="1" fillId="7" borderId="29" xfId="0" applyFont="1" applyFill="1" applyBorder="1" applyAlignment="1" applyProtection="1">
      <alignment horizontal="center" wrapText="1"/>
      <protection locked="0"/>
    </xf>
    <xf numFmtId="0" fontId="1" fillId="0" borderId="19" xfId="0" applyFont="1" applyFill="1" applyBorder="1" applyAlignment="1" applyProtection="1">
      <alignment horizontal="center" wrapText="1"/>
      <protection locked="0"/>
    </xf>
    <xf numFmtId="0" fontId="1" fillId="0" borderId="22" xfId="0" applyFont="1" applyFill="1" applyBorder="1" applyAlignment="1" applyProtection="1">
      <alignment horizontal="center" wrapText="1"/>
      <protection locked="0"/>
    </xf>
    <xf numFmtId="0" fontId="1" fillId="0" borderId="20" xfId="0" applyFont="1" applyFill="1" applyBorder="1" applyAlignment="1" applyProtection="1">
      <alignment horizontal="center" wrapText="1"/>
      <protection locked="0"/>
    </xf>
    <xf numFmtId="0" fontId="1" fillId="0" borderId="31" xfId="0" applyFont="1" applyFill="1" applyBorder="1" applyAlignment="1" applyProtection="1">
      <alignment horizontal="center" wrapText="1"/>
      <protection locked="0"/>
    </xf>
    <xf numFmtId="0" fontId="6" fillId="0" borderId="0" xfId="0" applyFont="1" applyAlignment="1">
      <alignment wrapText="1"/>
    </xf>
    <xf numFmtId="0" fontId="1" fillId="0" borderId="1" xfId="0" applyFont="1" applyBorder="1" applyAlignment="1">
      <alignment wrapText="1"/>
    </xf>
    <xf numFmtId="0" fontId="1" fillId="0" borderId="8" xfId="0" applyFont="1" applyFill="1" applyBorder="1"/>
    <xf numFmtId="0" fontId="3" fillId="0" borderId="32" xfId="0" applyFont="1" applyBorder="1" applyAlignment="1">
      <alignment wrapText="1"/>
    </xf>
    <xf numFmtId="3" fontId="1" fillId="2" borderId="3" xfId="0" quotePrefix="1" applyNumberFormat="1" applyFont="1" applyFill="1" applyBorder="1" applyAlignment="1">
      <alignment horizontal="center"/>
    </xf>
    <xf numFmtId="4" fontId="1" fillId="3" borderId="3" xfId="0" applyNumberFormat="1" applyFont="1" applyFill="1" applyBorder="1"/>
    <xf numFmtId="0" fontId="53" fillId="0" borderId="0" xfId="0" quotePrefix="1" applyFont="1" applyFill="1" applyAlignment="1">
      <alignment wrapText="1"/>
    </xf>
    <xf numFmtId="0" fontId="1" fillId="0" borderId="0" xfId="0" quotePrefix="1" applyFont="1" applyFill="1"/>
    <xf numFmtId="0" fontId="47" fillId="0" borderId="0" xfId="0" applyFont="1" applyFill="1"/>
    <xf numFmtId="0" fontId="1" fillId="8" borderId="3" xfId="0" applyFont="1" applyFill="1" applyBorder="1"/>
    <xf numFmtId="169" fontId="1" fillId="2" borderId="3" xfId="1" applyNumberFormat="1" applyFont="1" applyFill="1" applyBorder="1"/>
    <xf numFmtId="3" fontId="53" fillId="3" borderId="3" xfId="0" applyNumberFormat="1" applyFont="1" applyFill="1" applyBorder="1"/>
    <xf numFmtId="0" fontId="47" fillId="0" borderId="0" xfId="0" quotePrefix="1" applyFont="1" applyFill="1"/>
    <xf numFmtId="0" fontId="47" fillId="0" borderId="0" xfId="0" applyFont="1" applyFill="1" applyAlignment="1">
      <alignment wrapText="1"/>
    </xf>
    <xf numFmtId="0" fontId="47" fillId="8" borderId="3" xfId="0" applyFont="1" applyFill="1" applyBorder="1"/>
    <xf numFmtId="3" fontId="47" fillId="3" borderId="3" xfId="0" applyNumberFormat="1" applyFont="1" applyFill="1" applyBorder="1"/>
    <xf numFmtId="164" fontId="47" fillId="8" borderId="3" xfId="0" applyNumberFormat="1" applyFont="1" applyFill="1" applyBorder="1"/>
    <xf numFmtId="169" fontId="47" fillId="2" borderId="3" xfId="1" applyNumberFormat="1" applyFont="1" applyFill="1" applyBorder="1"/>
    <xf numFmtId="0" fontId="1" fillId="0" borderId="0" xfId="0" applyFont="1" applyFill="1" applyAlignment="1">
      <alignment wrapText="1"/>
    </xf>
    <xf numFmtId="3" fontId="3" fillId="3" borderId="3" xfId="0" applyNumberFormat="1" applyFont="1" applyFill="1" applyBorder="1"/>
    <xf numFmtId="4" fontId="40" fillId="3" borderId="3" xfId="0" applyNumberFormat="1" applyFont="1" applyFill="1" applyBorder="1"/>
    <xf numFmtId="0" fontId="0" fillId="0" borderId="5" xfId="0" applyFill="1" applyBorder="1" applyAlignment="1">
      <alignment wrapText="1"/>
    </xf>
    <xf numFmtId="0" fontId="0" fillId="0" borderId="5" xfId="0" applyBorder="1" applyAlignment="1">
      <alignment wrapText="1"/>
    </xf>
    <xf numFmtId="2" fontId="40" fillId="3" borderId="3" xfId="0" applyNumberFormat="1" applyFont="1" applyFill="1" applyBorder="1"/>
    <xf numFmtId="168" fontId="47" fillId="3" borderId="3" xfId="0" applyNumberFormat="1" applyFont="1" applyFill="1" applyBorder="1"/>
    <xf numFmtId="0" fontId="6" fillId="6" borderId="32" xfId="0" applyFont="1" applyFill="1" applyBorder="1"/>
    <xf numFmtId="3" fontId="0" fillId="6" borderId="18" xfId="0" applyNumberFormat="1" applyFill="1" applyBorder="1" applyAlignment="1"/>
    <xf numFmtId="168" fontId="0" fillId="6" borderId="18" xfId="0" applyNumberFormat="1" applyFill="1" applyBorder="1" applyAlignment="1"/>
    <xf numFmtId="0" fontId="6" fillId="6" borderId="3" xfId="0" applyFont="1" applyFill="1" applyBorder="1" applyAlignment="1" applyProtection="1">
      <alignment horizontal="center" wrapText="1"/>
      <protection locked="0"/>
    </xf>
    <xf numFmtId="0" fontId="6" fillId="6" borderId="4" xfId="0" applyFont="1" applyFill="1" applyBorder="1" applyAlignment="1" applyProtection="1">
      <alignment horizontal="center" wrapText="1"/>
      <protection locked="0"/>
    </xf>
    <xf numFmtId="0" fontId="6" fillId="6" borderId="18" xfId="0" applyFont="1" applyFill="1" applyBorder="1" applyAlignment="1" applyProtection="1">
      <alignment horizontal="center" wrapText="1"/>
      <protection locked="0"/>
    </xf>
    <xf numFmtId="0" fontId="1" fillId="6" borderId="4" xfId="0" applyFont="1" applyFill="1" applyBorder="1" applyAlignment="1" applyProtection="1">
      <alignment horizontal="center" wrapText="1"/>
      <protection locked="0"/>
    </xf>
    <xf numFmtId="0" fontId="1" fillId="6" borderId="18" xfId="0" applyFont="1" applyFill="1" applyBorder="1" applyAlignment="1" applyProtection="1">
      <alignment horizontal="center" wrapText="1"/>
      <protection locked="0"/>
    </xf>
    <xf numFmtId="0" fontId="41" fillId="6" borderId="6" xfId="0" quotePrefix="1" applyFont="1" applyFill="1" applyBorder="1" applyAlignment="1">
      <alignment wrapText="1"/>
    </xf>
    <xf numFmtId="0" fontId="54" fillId="6" borderId="3" xfId="0" quotePrefix="1" applyFont="1" applyFill="1" applyBorder="1" applyAlignment="1">
      <alignment horizontal="left" vertical="top" wrapText="1"/>
    </xf>
    <xf numFmtId="0" fontId="54" fillId="6" borderId="6" xfId="0" quotePrefix="1" applyFont="1" applyFill="1" applyBorder="1" applyAlignment="1">
      <alignment wrapText="1"/>
    </xf>
    <xf numFmtId="0" fontId="54" fillId="6" borderId="3" xfId="0" quotePrefix="1" applyFont="1" applyFill="1" applyBorder="1" applyAlignment="1">
      <alignment horizontal="right" wrapText="1"/>
    </xf>
    <xf numFmtId="0" fontId="1" fillId="0" borderId="0" xfId="0" quotePrefix="1" applyFont="1" applyFill="1" applyAlignment="1">
      <alignment wrapText="1"/>
    </xf>
    <xf numFmtId="0" fontId="6" fillId="6" borderId="32" xfId="0" applyFont="1" applyFill="1" applyBorder="1" applyAlignment="1"/>
    <xf numFmtId="0" fontId="6" fillId="6" borderId="18" xfId="0" applyFont="1" applyFill="1" applyBorder="1"/>
    <xf numFmtId="0" fontId="1" fillId="0" borderId="40" xfId="0" applyFont="1" applyFill="1" applyBorder="1" applyAlignment="1" applyProtection="1">
      <alignment horizontal="center"/>
      <protection locked="0"/>
    </xf>
    <xf numFmtId="0" fontId="54" fillId="6" borderId="3" xfId="0" applyFont="1" applyFill="1" applyBorder="1" applyAlignment="1" applyProtection="1">
      <alignment wrapText="1"/>
      <protection locked="0"/>
    </xf>
    <xf numFmtId="168" fontId="54" fillId="6" borderId="3" xfId="0" quotePrefix="1" applyNumberFormat="1" applyFont="1" applyFill="1" applyBorder="1" applyAlignment="1">
      <alignment horizontal="right" wrapText="1"/>
    </xf>
    <xf numFmtId="168" fontId="1" fillId="6" borderId="3" xfId="0" applyNumberFormat="1" applyFont="1" applyFill="1" applyBorder="1"/>
    <xf numFmtId="0" fontId="1" fillId="6" borderId="3" xfId="0" applyFont="1" applyFill="1" applyBorder="1" applyAlignment="1">
      <alignment wrapText="1"/>
    </xf>
    <xf numFmtId="0" fontId="1" fillId="7" borderId="30" xfId="0" applyFont="1" applyFill="1" applyBorder="1" applyAlignment="1" applyProtection="1">
      <alignment horizontal="center" wrapText="1"/>
      <protection locked="0"/>
    </xf>
    <xf numFmtId="0" fontId="54" fillId="6" borderId="0" xfId="0" applyFont="1" applyFill="1" applyBorder="1" applyAlignment="1">
      <alignment horizontal="left"/>
    </xf>
    <xf numFmtId="0" fontId="1" fillId="0" borderId="30" xfId="0" applyFont="1" applyFill="1" applyBorder="1" applyAlignment="1" applyProtection="1">
      <alignment horizontal="center"/>
      <protection locked="0"/>
    </xf>
    <xf numFmtId="0" fontId="1" fillId="7" borderId="19" xfId="0" applyFont="1" applyFill="1" applyBorder="1" applyAlignment="1" applyProtection="1">
      <alignment horizontal="center"/>
      <protection locked="0"/>
    </xf>
    <xf numFmtId="0" fontId="1" fillId="7" borderId="30" xfId="0" applyFont="1" applyFill="1" applyBorder="1" applyAlignment="1" applyProtection="1">
      <alignment horizontal="center"/>
      <protection locked="0"/>
    </xf>
    <xf numFmtId="0" fontId="1" fillId="6" borderId="7" xfId="0" applyFont="1" applyFill="1" applyBorder="1" applyAlignment="1"/>
    <xf numFmtId="0" fontId="1" fillId="6" borderId="7" xfId="0" applyFont="1" applyFill="1" applyBorder="1" applyAlignment="1">
      <alignment wrapText="1"/>
    </xf>
    <xf numFmtId="168" fontId="0" fillId="6" borderId="18" xfId="0" applyNumberFormat="1" applyFill="1" applyBorder="1"/>
    <xf numFmtId="169" fontId="21" fillId="2" borderId="3" xfId="1" applyNumberFormat="1" applyFont="1" applyFill="1" applyBorder="1"/>
    <xf numFmtId="0" fontId="6" fillId="6" borderId="4" xfId="0" applyFont="1" applyFill="1" applyBorder="1" applyAlignment="1">
      <alignment wrapText="1"/>
    </xf>
    <xf numFmtId="0" fontId="54" fillId="6" borderId="4" xfId="0" quotePrefix="1" applyFont="1" applyFill="1" applyBorder="1" applyAlignment="1">
      <alignment horizontal="left" vertical="top" wrapText="1"/>
    </xf>
    <xf numFmtId="0" fontId="1" fillId="6" borderId="0" xfId="0" applyFont="1" applyFill="1" applyBorder="1" applyAlignment="1">
      <alignment horizontal="center"/>
    </xf>
    <xf numFmtId="169" fontId="1" fillId="6" borderId="0" xfId="1" applyNumberFormat="1" applyFont="1" applyFill="1" applyBorder="1" applyAlignment="1">
      <alignment horizontal="center"/>
    </xf>
    <xf numFmtId="0" fontId="1" fillId="6" borderId="8" xfId="0" applyFont="1" applyFill="1" applyBorder="1" applyAlignment="1">
      <alignment horizontal="center"/>
    </xf>
    <xf numFmtId="0" fontId="1" fillId="6" borderId="8" xfId="0" applyFont="1" applyFill="1" applyBorder="1"/>
    <xf numFmtId="0" fontId="0" fillId="6" borderId="8" xfId="0" applyFill="1" applyBorder="1"/>
    <xf numFmtId="0" fontId="0" fillId="6" borderId="32" xfId="0" applyFill="1" applyBorder="1"/>
    <xf numFmtId="0" fontId="55" fillId="6" borderId="1" xfId="0" applyFont="1" applyFill="1" applyBorder="1" applyAlignment="1">
      <alignment wrapText="1"/>
    </xf>
    <xf numFmtId="0" fontId="55" fillId="6" borderId="11" xfId="0" applyFont="1" applyFill="1" applyBorder="1" applyAlignment="1">
      <alignment wrapText="1"/>
    </xf>
    <xf numFmtId="0" fontId="0" fillId="6" borderId="2" xfId="0" applyFill="1" applyBorder="1" applyAlignment="1">
      <alignment horizontal="center"/>
    </xf>
    <xf numFmtId="0" fontId="0" fillId="6" borderId="2" xfId="0" applyFill="1" applyBorder="1"/>
    <xf numFmtId="0" fontId="56" fillId="6" borderId="9" xfId="0" applyFont="1" applyFill="1" applyBorder="1"/>
    <xf numFmtId="173" fontId="7" fillId="9" borderId="3" xfId="1" applyNumberFormat="1" applyFont="1" applyFill="1" applyBorder="1" applyAlignment="1">
      <alignment horizontal="center" wrapText="1"/>
    </xf>
    <xf numFmtId="0" fontId="1" fillId="10" borderId="3" xfId="0" applyFont="1" applyFill="1" applyBorder="1" applyAlignment="1">
      <alignment wrapText="1"/>
    </xf>
    <xf numFmtId="0" fontId="1" fillId="7" borderId="3" xfId="0" applyFont="1" applyFill="1" applyBorder="1" applyAlignment="1">
      <alignment wrapText="1"/>
    </xf>
    <xf numFmtId="0" fontId="3" fillId="13" borderId="3" xfId="0" applyFont="1" applyFill="1" applyBorder="1" applyProtection="1"/>
    <xf numFmtId="0" fontId="0" fillId="13" borderId="3" xfId="0" applyFill="1" applyBorder="1" applyProtection="1"/>
    <xf numFmtId="0" fontId="1" fillId="13" borderId="3" xfId="0" applyFont="1" applyFill="1" applyBorder="1" applyAlignment="1" applyProtection="1">
      <alignment wrapText="1"/>
    </xf>
    <xf numFmtId="2" fontId="0" fillId="13" borderId="3" xfId="0" applyNumberFormat="1" applyFill="1" applyBorder="1" applyProtection="1"/>
    <xf numFmtId="0" fontId="0" fillId="13" borderId="3" xfId="0" applyFill="1" applyBorder="1" applyAlignment="1" applyProtection="1">
      <alignment wrapText="1"/>
    </xf>
    <xf numFmtId="169" fontId="0" fillId="13" borderId="3" xfId="0" applyNumberFormat="1" applyFill="1" applyBorder="1" applyProtection="1"/>
    <xf numFmtId="0" fontId="1" fillId="13" borderId="3" xfId="0" applyFont="1" applyFill="1" applyBorder="1" applyProtection="1"/>
    <xf numFmtId="0" fontId="54" fillId="6" borderId="3" xfId="0" applyFont="1" applyFill="1" applyBorder="1"/>
    <xf numFmtId="0" fontId="54" fillId="6" borderId="3" xfId="0" applyFont="1" applyFill="1" applyBorder="1" applyAlignment="1"/>
    <xf numFmtId="0" fontId="41" fillId="7" borderId="0" xfId="0" applyFont="1" applyFill="1" applyAlignment="1">
      <alignment wrapText="1"/>
    </xf>
    <xf numFmtId="0" fontId="57" fillId="7" borderId="0" xfId="0" applyFont="1" applyFill="1"/>
    <xf numFmtId="0" fontId="57" fillId="7" borderId="0" xfId="0" applyFont="1" applyFill="1" applyAlignment="1"/>
    <xf numFmtId="0" fontId="6" fillId="6" borderId="3" xfId="0" applyFont="1" applyFill="1" applyBorder="1" applyAlignment="1">
      <alignment horizontal="center" wrapText="1"/>
    </xf>
    <xf numFmtId="0" fontId="0" fillId="6" borderId="11" xfId="0" applyFill="1" applyBorder="1" applyAlignment="1">
      <alignment wrapText="1"/>
    </xf>
    <xf numFmtId="0" fontId="0" fillId="6" borderId="9" xfId="0" applyFill="1" applyBorder="1" applyAlignment="1">
      <alignment wrapText="1"/>
    </xf>
    <xf numFmtId="0" fontId="1" fillId="0" borderId="29" xfId="0" applyFont="1" applyFill="1" applyBorder="1" applyAlignment="1" applyProtection="1">
      <alignment horizontal="center" wrapText="1"/>
      <protection locked="0"/>
    </xf>
    <xf numFmtId="0" fontId="1" fillId="6" borderId="9" xfId="0" applyFont="1" applyFill="1" applyBorder="1" applyAlignment="1">
      <alignment wrapText="1"/>
    </xf>
    <xf numFmtId="0" fontId="0" fillId="6" borderId="4" xfId="0" applyFill="1" applyBorder="1" applyAlignment="1">
      <alignment wrapText="1"/>
    </xf>
    <xf numFmtId="168" fontId="25" fillId="6" borderId="3" xfId="0" applyNumberFormat="1" applyFont="1" applyFill="1" applyBorder="1" applyAlignment="1">
      <alignment horizontal="left"/>
    </xf>
    <xf numFmtId="0" fontId="3" fillId="14" borderId="3" xfId="0" applyFont="1" applyFill="1" applyBorder="1"/>
    <xf numFmtId="0" fontId="3" fillId="14" borderId="32" xfId="0" applyFont="1" applyFill="1" applyBorder="1" applyAlignment="1">
      <alignment horizontal="center"/>
    </xf>
    <xf numFmtId="0" fontId="3" fillId="14" borderId="3" xfId="0" applyFont="1" applyFill="1" applyBorder="1" applyAlignment="1">
      <alignment wrapText="1"/>
    </xf>
    <xf numFmtId="0" fontId="3" fillId="14" borderId="7" xfId="0" applyFont="1" applyFill="1" applyBorder="1" applyAlignment="1">
      <alignment horizontal="center" wrapText="1"/>
    </xf>
    <xf numFmtId="0" fontId="3" fillId="14" borderId="3" xfId="0" applyFont="1" applyFill="1" applyBorder="1" applyAlignment="1">
      <alignment horizontal="center" wrapText="1"/>
    </xf>
    <xf numFmtId="0" fontId="3" fillId="14" borderId="6" xfId="0" applyFont="1" applyFill="1" applyBorder="1" applyAlignment="1">
      <alignment wrapText="1"/>
    </xf>
    <xf numFmtId="0" fontId="3" fillId="14" borderId="18" xfId="0" applyFont="1" applyFill="1" applyBorder="1" applyAlignment="1">
      <alignment horizontal="center" wrapText="1"/>
    </xf>
    <xf numFmtId="0" fontId="3" fillId="14" borderId="3" xfId="0" applyFont="1" applyFill="1" applyBorder="1" applyAlignment="1">
      <alignment horizontal="left" wrapText="1"/>
    </xf>
    <xf numFmtId="0" fontId="3" fillId="14" borderId="3" xfId="0" applyFont="1" applyFill="1" applyBorder="1" applyAlignment="1">
      <alignment horizontal="center"/>
    </xf>
    <xf numFmtId="0" fontId="3" fillId="14" borderId="18" xfId="0" applyFont="1" applyFill="1" applyBorder="1" applyAlignment="1">
      <alignment horizontal="center"/>
    </xf>
    <xf numFmtId="0" fontId="6" fillId="14" borderId="3" xfId="0" applyFont="1" applyFill="1" applyBorder="1"/>
    <xf numFmtId="0" fontId="0" fillId="14" borderId="3" xfId="0" applyFill="1" applyBorder="1"/>
    <xf numFmtId="169" fontId="3" fillId="14" borderId="6" xfId="1" applyNumberFormat="1" applyFont="1" applyFill="1" applyBorder="1" applyAlignment="1">
      <alignment horizontal="center" wrapText="1"/>
    </xf>
    <xf numFmtId="169" fontId="3" fillId="14" borderId="3" xfId="1" applyNumberFormat="1" applyFont="1" applyFill="1" applyBorder="1" applyAlignment="1">
      <alignment horizontal="center" wrapText="1"/>
    </xf>
    <xf numFmtId="0" fontId="1" fillId="4" borderId="0" xfId="0" applyFont="1" applyFill="1" applyAlignment="1">
      <alignment wrapText="1"/>
    </xf>
    <xf numFmtId="0" fontId="1" fillId="7" borderId="3" xfId="0" applyFont="1" applyFill="1" applyBorder="1" applyAlignment="1" applyProtection="1">
      <alignment wrapText="1"/>
    </xf>
    <xf numFmtId="0" fontId="3" fillId="14" borderId="6" xfId="0" applyFont="1" applyFill="1" applyBorder="1" applyAlignment="1">
      <alignment horizontal="center" wrapText="1"/>
    </xf>
    <xf numFmtId="0" fontId="3" fillId="14" borderId="3" xfId="0" applyFont="1" applyFill="1" applyBorder="1" applyAlignment="1">
      <alignment horizontal="center" wrapText="1"/>
    </xf>
    <xf numFmtId="0" fontId="6" fillId="6" borderId="34" xfId="0" applyFont="1" applyFill="1" applyBorder="1" applyAlignment="1">
      <alignment horizontal="center" wrapText="1"/>
    </xf>
    <xf numFmtId="0" fontId="0" fillId="6" borderId="3" xfId="0" applyFill="1" applyBorder="1" applyAlignment="1">
      <alignment horizontal="center" wrapText="1"/>
    </xf>
    <xf numFmtId="0" fontId="6" fillId="6" borderId="6" xfId="0" applyFont="1" applyFill="1" applyBorder="1" applyAlignment="1">
      <alignment horizontal="center" wrapText="1"/>
    </xf>
    <xf numFmtId="0" fontId="6" fillId="0" borderId="0" xfId="0" applyFont="1" applyAlignment="1">
      <alignment wrapText="1"/>
    </xf>
    <xf numFmtId="0" fontId="0" fillId="6" borderId="3" xfId="0" applyFill="1" applyBorder="1" applyAlignment="1">
      <alignment horizontal="center" wrapText="1"/>
    </xf>
    <xf numFmtId="0" fontId="1" fillId="6" borderId="6" xfId="0" applyFont="1" applyFill="1" applyBorder="1" applyAlignment="1">
      <alignment horizontal="left" wrapText="1"/>
    </xf>
    <xf numFmtId="0" fontId="1" fillId="6" borderId="3" xfId="0" applyFont="1" applyFill="1" applyBorder="1" applyAlignment="1" applyProtection="1">
      <alignment wrapText="1"/>
    </xf>
    <xf numFmtId="0" fontId="1" fillId="6" borderId="7" xfId="0" applyFont="1" applyFill="1" applyBorder="1" applyAlignment="1">
      <alignment horizontal="center" wrapText="1"/>
    </xf>
    <xf numFmtId="0" fontId="1" fillId="6" borderId="3" xfId="0" applyFont="1" applyFill="1" applyBorder="1" applyAlignment="1">
      <alignment horizontal="center" wrapText="1"/>
    </xf>
    <xf numFmtId="0" fontId="1" fillId="6" borderId="3" xfId="0" applyFont="1" applyFill="1" applyBorder="1" applyAlignment="1">
      <alignment horizontal="center"/>
    </xf>
    <xf numFmtId="3" fontId="1" fillId="7" borderId="21" xfId="0" applyNumberFormat="1" applyFont="1" applyFill="1" applyBorder="1" applyProtection="1">
      <protection locked="0"/>
    </xf>
    <xf numFmtId="0" fontId="1" fillId="6" borderId="7" xfId="0" applyFont="1" applyFill="1" applyBorder="1"/>
    <xf numFmtId="3" fontId="1" fillId="7" borderId="23" xfId="0" applyNumberFormat="1" applyFont="1" applyFill="1" applyBorder="1" applyProtection="1">
      <protection locked="0"/>
    </xf>
    <xf numFmtId="3" fontId="1" fillId="7" borderId="27" xfId="0" applyNumberFormat="1" applyFont="1" applyFill="1" applyBorder="1" applyProtection="1">
      <protection locked="0"/>
    </xf>
    <xf numFmtId="0" fontId="1" fillId="6" borderId="6" xfId="0" applyFont="1" applyFill="1" applyBorder="1"/>
    <xf numFmtId="0" fontId="1" fillId="6" borderId="3" xfId="0" applyFont="1" applyFill="1" applyBorder="1"/>
    <xf numFmtId="0" fontId="1" fillId="6" borderId="0" xfId="0" applyFont="1" applyFill="1"/>
    <xf numFmtId="2" fontId="1" fillId="6" borderId="7" xfId="0" applyNumberFormat="1" applyFont="1" applyFill="1" applyBorder="1"/>
    <xf numFmtId="169" fontId="1" fillId="0" borderId="24" xfId="1" applyNumberFormat="1" applyFont="1" applyFill="1" applyBorder="1" applyAlignment="1" applyProtection="1">
      <alignment horizontal="center" wrapText="1"/>
      <protection locked="0"/>
    </xf>
    <xf numFmtId="169" fontId="1" fillId="12" borderId="7" xfId="1" applyNumberFormat="1" applyFont="1" applyFill="1" applyBorder="1"/>
    <xf numFmtId="169" fontId="1" fillId="0" borderId="25" xfId="1" applyNumberFormat="1" applyFont="1" applyFill="1" applyBorder="1" applyAlignment="1" applyProtection="1">
      <alignment horizontal="center" wrapText="1"/>
      <protection locked="0"/>
    </xf>
    <xf numFmtId="0" fontId="0" fillId="6" borderId="6" xfId="0" applyFill="1" applyBorder="1" applyAlignment="1">
      <alignment horizontal="left" wrapText="1"/>
    </xf>
    <xf numFmtId="0" fontId="3" fillId="14" borderId="0" xfId="0" applyFont="1" applyFill="1" applyAlignment="1">
      <alignment wrapText="1"/>
    </xf>
    <xf numFmtId="0" fontId="40" fillId="6" borderId="13" xfId="0" applyFont="1" applyFill="1" applyBorder="1" applyAlignment="1">
      <alignment wrapText="1"/>
    </xf>
    <xf numFmtId="0" fontId="1" fillId="7" borderId="3" xfId="0" applyFont="1" applyFill="1" applyBorder="1" applyAlignment="1">
      <alignment horizontal="center"/>
    </xf>
    <xf numFmtId="0" fontId="1" fillId="7" borderId="3" xfId="0" applyFont="1" applyFill="1" applyBorder="1" applyAlignment="1">
      <alignment horizontal="center" wrapText="1"/>
    </xf>
    <xf numFmtId="0" fontId="1" fillId="0" borderId="0" xfId="4"/>
    <xf numFmtId="0" fontId="1" fillId="5" borderId="0" xfId="0" applyFont="1" applyFill="1" applyAlignment="1">
      <alignment wrapText="1"/>
    </xf>
    <xf numFmtId="0" fontId="0" fillId="15" borderId="0" xfId="0" applyFill="1" applyAlignment="1">
      <alignment wrapText="1"/>
    </xf>
    <xf numFmtId="0" fontId="1" fillId="0" borderId="3" xfId="0" applyFont="1" applyBorder="1" applyAlignment="1">
      <alignment vertical="center"/>
    </xf>
    <xf numFmtId="0" fontId="1" fillId="0" borderId="3" xfId="0" applyFont="1" applyBorder="1"/>
    <xf numFmtId="1" fontId="1" fillId="0" borderId="3" xfId="0" applyNumberFormat="1" applyFont="1" applyBorder="1" applyAlignment="1">
      <alignment vertical="center"/>
    </xf>
    <xf numFmtId="170" fontId="1" fillId="0" borderId="3" xfId="0" applyNumberFormat="1" applyFont="1" applyBorder="1"/>
    <xf numFmtId="1" fontId="1" fillId="0" borderId="3" xfId="0" applyNumberFormat="1" applyFont="1" applyBorder="1"/>
    <xf numFmtId="3" fontId="1" fillId="0" borderId="3" xfId="0" applyNumberFormat="1" applyFont="1" applyBorder="1"/>
    <xf numFmtId="0" fontId="47" fillId="0" borderId="3" xfId="0" applyFont="1" applyBorder="1" applyAlignment="1">
      <alignment vertical="center"/>
    </xf>
    <xf numFmtId="1" fontId="3" fillId="0" borderId="3" xfId="0" applyNumberFormat="1" applyFont="1" applyBorder="1" applyAlignment="1">
      <alignment horizontal="right"/>
    </xf>
    <xf numFmtId="169" fontId="30" fillId="0" borderId="3" xfId="1" applyNumberFormat="1" applyFont="1" applyBorder="1" applyAlignment="1">
      <alignment horizontal="right" vertical="center" wrapText="1"/>
    </xf>
    <xf numFmtId="2" fontId="1" fillId="0" borderId="3" xfId="0" applyNumberFormat="1" applyFont="1" applyBorder="1"/>
    <xf numFmtId="165" fontId="1" fillId="0" borderId="0" xfId="0" applyNumberFormat="1" applyFont="1"/>
    <xf numFmtId="170" fontId="1" fillId="0" borderId="0" xfId="0" applyNumberFormat="1" applyFont="1"/>
    <xf numFmtId="1" fontId="1" fillId="0" borderId="0" xfId="0" applyNumberFormat="1" applyFont="1"/>
    <xf numFmtId="0" fontId="1" fillId="0" borderId="3" xfId="0" applyFont="1" applyBorder="1" applyAlignment="1">
      <alignment horizontal="left" wrapText="1"/>
    </xf>
    <xf numFmtId="0" fontId="1" fillId="0" borderId="0" xfId="0" applyFont="1" applyAlignment="1">
      <alignment vertical="center"/>
    </xf>
    <xf numFmtId="0" fontId="1" fillId="0" borderId="0" xfId="4" applyAlignment="1">
      <alignment wrapText="1"/>
    </xf>
    <xf numFmtId="0" fontId="1" fillId="6" borderId="0" xfId="4" applyFill="1"/>
    <xf numFmtId="0" fontId="1" fillId="6" borderId="0" xfId="4" applyFill="1" applyAlignment="1">
      <alignment wrapText="1"/>
    </xf>
    <xf numFmtId="0" fontId="1" fillId="6" borderId="3" xfId="4" applyFill="1" applyBorder="1" applyAlignment="1">
      <alignment wrapText="1"/>
    </xf>
    <xf numFmtId="0" fontId="3" fillId="12" borderId="3" xfId="4" applyFont="1" applyFill="1" applyBorder="1" applyAlignment="1">
      <alignment wrapText="1"/>
    </xf>
    <xf numFmtId="0" fontId="1" fillId="6" borderId="3" xfId="4" quotePrefix="1" applyFill="1" applyBorder="1" applyAlignment="1">
      <alignment horizontal="left" vertical="top"/>
    </xf>
    <xf numFmtId="0" fontId="1" fillId="6" borderId="3" xfId="4" applyFill="1" applyBorder="1"/>
    <xf numFmtId="0" fontId="1" fillId="12" borderId="3" xfId="4" applyFill="1" applyBorder="1" applyAlignment="1">
      <alignment wrapText="1"/>
    </xf>
    <xf numFmtId="0" fontId="1" fillId="6" borderId="4" xfId="4" quotePrefix="1" applyFill="1" applyBorder="1" applyAlignment="1">
      <alignment horizontal="left" vertical="top"/>
    </xf>
    <xf numFmtId="0" fontId="1" fillId="0" borderId="3" xfId="4" applyBorder="1" applyAlignment="1">
      <alignment wrapText="1"/>
    </xf>
    <xf numFmtId="0" fontId="1" fillId="0" borderId="3" xfId="4" applyBorder="1"/>
    <xf numFmtId="0" fontId="60" fillId="0" borderId="0" xfId="4" applyFont="1" applyAlignment="1">
      <alignment vertical="center"/>
    </xf>
    <xf numFmtId="0" fontId="30" fillId="0" borderId="0" xfId="4" applyFont="1" applyAlignment="1">
      <alignment vertical="center"/>
    </xf>
    <xf numFmtId="0" fontId="1" fillId="0" borderId="44" xfId="0" applyFont="1" applyFill="1" applyBorder="1" applyProtection="1">
      <protection locked="0"/>
    </xf>
    <xf numFmtId="164" fontId="1" fillId="6" borderId="3" xfId="0" applyNumberFormat="1" applyFont="1" applyFill="1" applyBorder="1"/>
    <xf numFmtId="0" fontId="61" fillId="7" borderId="0" xfId="0" applyFont="1" applyFill="1"/>
    <xf numFmtId="0" fontId="1" fillId="0" borderId="0" xfId="0" quotePrefix="1" applyFont="1"/>
    <xf numFmtId="0" fontId="6" fillId="6" borderId="11" xfId="0" applyFont="1" applyFill="1" applyBorder="1" applyAlignment="1">
      <alignment wrapText="1"/>
    </xf>
    <xf numFmtId="0" fontId="3" fillId="0" borderId="19" xfId="0" applyFont="1" applyFill="1" applyBorder="1" applyAlignment="1" applyProtection="1">
      <alignment horizontal="center"/>
      <protection locked="0"/>
    </xf>
    <xf numFmtId="3" fontId="1" fillId="7" borderId="28" xfId="0" applyNumberFormat="1" applyFont="1" applyFill="1" applyBorder="1" applyProtection="1">
      <protection locked="0"/>
    </xf>
    <xf numFmtId="0" fontId="0" fillId="6" borderId="35" xfId="0" applyFill="1" applyBorder="1" applyAlignment="1">
      <alignment wrapText="1"/>
    </xf>
    <xf numFmtId="0" fontId="3" fillId="6" borderId="19" xfId="0" applyFont="1" applyFill="1" applyBorder="1" applyAlignment="1">
      <alignment wrapText="1"/>
    </xf>
    <xf numFmtId="4" fontId="1" fillId="6" borderId="7" xfId="1" applyNumberFormat="1" applyFont="1" applyFill="1" applyBorder="1"/>
    <xf numFmtId="0" fontId="3" fillId="14" borderId="6" xfId="0" applyFont="1" applyFill="1" applyBorder="1" applyAlignment="1">
      <alignment horizontal="center" wrapText="1"/>
    </xf>
    <xf numFmtId="0" fontId="3" fillId="14" borderId="5" xfId="0" applyFont="1" applyFill="1" applyBorder="1" applyAlignment="1">
      <alignment horizontal="center" wrapText="1"/>
    </xf>
    <xf numFmtId="0" fontId="3" fillId="14" borderId="7" xfId="0" applyFont="1" applyFill="1" applyBorder="1" applyAlignment="1">
      <alignment horizontal="center" wrapText="1"/>
    </xf>
    <xf numFmtId="0" fontId="3" fillId="7" borderId="6" xfId="0" applyFont="1" applyFill="1" applyBorder="1" applyAlignment="1">
      <alignment horizontal="left" wrapText="1"/>
    </xf>
    <xf numFmtId="0" fontId="3" fillId="7" borderId="5" xfId="0" applyFont="1" applyFill="1" applyBorder="1" applyAlignment="1">
      <alignment horizontal="left" wrapText="1"/>
    </xf>
    <xf numFmtId="0" fontId="3" fillId="7" borderId="7" xfId="0" applyFont="1" applyFill="1" applyBorder="1" applyAlignment="1">
      <alignment horizontal="left" wrapText="1"/>
    </xf>
    <xf numFmtId="0" fontId="3" fillId="7" borderId="0" xfId="0" applyFont="1" applyFill="1" applyAlignment="1">
      <alignment horizontal="left" wrapText="1"/>
    </xf>
    <xf numFmtId="0" fontId="40" fillId="6" borderId="43" xfId="0" applyFont="1" applyFill="1" applyBorder="1" applyAlignment="1">
      <alignment wrapText="1"/>
    </xf>
    <xf numFmtId="0" fontId="41" fillId="0" borderId="7" xfId="0" applyFont="1" applyBorder="1" applyAlignment="1">
      <alignment wrapText="1"/>
    </xf>
    <xf numFmtId="0" fontId="1" fillId="5" borderId="3" xfId="0" applyFont="1" applyFill="1" applyBorder="1" applyAlignment="1">
      <alignment horizontal="center" wrapText="1"/>
    </xf>
    <xf numFmtId="0" fontId="6" fillId="5" borderId="3" xfId="0" applyFont="1" applyFill="1" applyBorder="1" applyAlignment="1">
      <alignment horizontal="center" wrapText="1"/>
    </xf>
    <xf numFmtId="3" fontId="0" fillId="5" borderId="6" xfId="0" applyNumberFormat="1" applyFill="1" applyBorder="1" applyAlignment="1">
      <alignment horizontal="left" wrapText="1"/>
    </xf>
    <xf numFmtId="3" fontId="0" fillId="5" borderId="5" xfId="0" applyNumberFormat="1" applyFill="1" applyBorder="1" applyAlignment="1">
      <alignment horizontal="left" wrapText="1"/>
    </xf>
    <xf numFmtId="3" fontId="0" fillId="5" borderId="7" xfId="0" applyNumberFormat="1" applyFill="1" applyBorder="1" applyAlignment="1">
      <alignment horizontal="left" wrapText="1"/>
    </xf>
    <xf numFmtId="0" fontId="0" fillId="6" borderId="3" xfId="0" applyFill="1" applyBorder="1" applyAlignment="1">
      <alignment horizontal="left"/>
    </xf>
    <xf numFmtId="0" fontId="1" fillId="6" borderId="34" xfId="0" applyFont="1" applyFill="1" applyBorder="1" applyAlignment="1">
      <alignment horizontal="center" wrapText="1"/>
    </xf>
    <xf numFmtId="0" fontId="6" fillId="6" borderId="37" xfId="0" applyFont="1" applyFill="1" applyBorder="1" applyAlignment="1">
      <alignment horizontal="center" wrapText="1"/>
    </xf>
    <xf numFmtId="0" fontId="6" fillId="6" borderId="38" xfId="0" applyFont="1" applyFill="1" applyBorder="1" applyAlignment="1">
      <alignment horizontal="center" wrapText="1"/>
    </xf>
    <xf numFmtId="0" fontId="47" fillId="7" borderId="0" xfId="0" applyFont="1" applyFill="1" applyAlignment="1">
      <alignment wrapText="1"/>
    </xf>
    <xf numFmtId="0" fontId="6" fillId="6" borderId="18" xfId="0" applyFont="1" applyFill="1" applyBorder="1" applyAlignment="1">
      <alignment horizontal="center" vertical="top" wrapText="1"/>
    </xf>
    <xf numFmtId="0" fontId="6" fillId="6" borderId="4" xfId="0" applyFont="1" applyFill="1" applyBorder="1" applyAlignment="1">
      <alignment horizontal="center" vertical="top" wrapText="1"/>
    </xf>
    <xf numFmtId="0" fontId="6" fillId="6" borderId="6" xfId="0" applyFont="1" applyFill="1" applyBorder="1" applyAlignment="1">
      <alignment horizontal="center" vertical="top" wrapText="1"/>
    </xf>
    <xf numFmtId="0" fontId="6" fillId="6" borderId="5" xfId="0" applyFont="1" applyFill="1" applyBorder="1" applyAlignment="1">
      <alignment horizontal="center" vertical="top" wrapText="1"/>
    </xf>
    <xf numFmtId="0" fontId="6" fillId="6" borderId="7" xfId="0" applyFont="1" applyFill="1" applyBorder="1" applyAlignment="1">
      <alignment horizontal="center" vertical="top" wrapText="1"/>
    </xf>
    <xf numFmtId="0" fontId="1" fillId="6" borderId="18" xfId="0" applyFont="1" applyFill="1" applyBorder="1" applyAlignment="1">
      <alignment horizontal="center" vertical="top" wrapText="1"/>
    </xf>
    <xf numFmtId="0" fontId="1" fillId="6" borderId="4" xfId="0" applyFont="1" applyFill="1" applyBorder="1" applyAlignment="1">
      <alignment horizontal="center" vertical="top" wrapText="1"/>
    </xf>
    <xf numFmtId="0" fontId="1" fillId="6" borderId="6" xfId="0" applyFont="1" applyFill="1" applyBorder="1" applyAlignment="1">
      <alignment horizontal="center" wrapText="1"/>
    </xf>
    <xf numFmtId="0" fontId="1" fillId="6" borderId="5" xfId="0" applyFont="1" applyFill="1" applyBorder="1" applyAlignment="1">
      <alignment horizontal="center" wrapText="1"/>
    </xf>
    <xf numFmtId="0" fontId="1" fillId="6" borderId="7" xfId="0" applyFont="1" applyFill="1" applyBorder="1" applyAlignment="1">
      <alignment horizontal="center" wrapText="1"/>
    </xf>
    <xf numFmtId="0" fontId="6" fillId="6" borderId="6" xfId="0" applyFont="1" applyFill="1" applyBorder="1" applyAlignment="1">
      <alignment horizontal="center" wrapText="1"/>
    </xf>
    <xf numFmtId="0" fontId="6" fillId="6" borderId="5" xfId="0" applyFont="1" applyFill="1" applyBorder="1" applyAlignment="1">
      <alignment horizontal="center" wrapText="1"/>
    </xf>
    <xf numFmtId="0" fontId="6" fillId="6" borderId="7" xfId="0" applyFont="1" applyFill="1" applyBorder="1" applyAlignment="1">
      <alignment horizontal="center" wrapText="1"/>
    </xf>
    <xf numFmtId="0" fontId="6" fillId="0" borderId="0" xfId="0" applyFont="1" applyAlignment="1">
      <alignment wrapText="1"/>
    </xf>
    <xf numFmtId="0" fontId="1" fillId="0" borderId="1" xfId="0" applyFont="1" applyBorder="1" applyAlignment="1">
      <alignment horizontal="center" wrapText="1"/>
    </xf>
    <xf numFmtId="0" fontId="1" fillId="0" borderId="0" xfId="0" applyFont="1" applyBorder="1" applyAlignment="1">
      <alignment horizontal="center" wrapText="1"/>
    </xf>
  </cellXfs>
  <cellStyles count="5">
    <cellStyle name="Comma" xfId="1" builtinId="3"/>
    <cellStyle name="Hyperlink" xfId="2" builtinId="8"/>
    <cellStyle name="Normal" xfId="0" builtinId="0"/>
    <cellStyle name="Normal 2" xfId="4" xr:uid="{00000000-0005-0000-0000-000003000000}"/>
    <cellStyle name="Percent" xfId="3" builtinId="5"/>
  </cellStyles>
  <dxfs count="129">
    <dxf>
      <numFmt numFmtId="174" formatCode="&quot;N&quot;"/>
    </dxf>
    <dxf>
      <numFmt numFmtId="175" formatCode="&quot;Y&quot;"/>
    </dxf>
    <dxf>
      <font>
        <color theme="1"/>
      </font>
      <fill>
        <patternFill>
          <bgColor theme="6" tint="0.39994506668294322"/>
        </patternFill>
      </fill>
    </dxf>
    <dxf>
      <font>
        <color rgb="FF00B050"/>
      </font>
    </dxf>
    <dxf>
      <font>
        <color rgb="FF00B050"/>
      </font>
    </dxf>
    <dxf>
      <font>
        <color rgb="FFFF0000"/>
      </font>
    </dxf>
    <dxf>
      <fill>
        <patternFill>
          <bgColor rgb="FFFF0000"/>
        </patternFill>
      </fill>
    </dxf>
    <dxf>
      <fill>
        <patternFill>
          <bgColor rgb="FFFF0000"/>
        </patternFill>
      </fill>
    </dxf>
    <dxf>
      <font>
        <color theme="1"/>
      </font>
      <fill>
        <patternFill>
          <bgColor theme="8" tint="0.39994506668294322"/>
        </patternFill>
      </fill>
    </dxf>
    <dxf>
      <font>
        <color rgb="FFFF0000"/>
      </font>
    </dxf>
    <dxf>
      <font>
        <b/>
        <i val="0"/>
        <color theme="1"/>
      </font>
      <fill>
        <patternFill>
          <bgColor rgb="FFFFC000"/>
        </patternFill>
      </fill>
    </dxf>
    <dxf>
      <fill>
        <patternFill>
          <bgColor rgb="FFFFC000"/>
        </patternFill>
      </fill>
    </dxf>
    <dxf>
      <font>
        <color theme="1"/>
      </font>
      <fill>
        <patternFill patternType="none">
          <bgColor auto="1"/>
        </patternFill>
      </fill>
    </dxf>
    <dxf>
      <font>
        <color theme="1"/>
      </font>
      <fill>
        <patternFill>
          <bgColor theme="6" tint="0.39994506668294322"/>
        </patternFill>
      </fill>
    </dxf>
    <dxf>
      <fill>
        <patternFill>
          <bgColor rgb="FFFF0000"/>
        </patternFill>
      </fill>
    </dxf>
    <dxf>
      <fill>
        <patternFill>
          <bgColor rgb="FFFF0000"/>
        </patternFill>
      </fill>
    </dxf>
    <dxf>
      <font>
        <color theme="1"/>
      </font>
      <fill>
        <patternFill>
          <bgColor theme="8" tint="0.39994506668294322"/>
        </patternFill>
      </fill>
    </dxf>
    <dxf>
      <font>
        <color theme="1"/>
      </font>
      <fill>
        <patternFill>
          <bgColor theme="8" tint="0.39994506668294322"/>
        </patternFill>
      </fill>
    </dxf>
    <dxf>
      <font>
        <color theme="1"/>
      </font>
      <fill>
        <patternFill>
          <bgColor theme="8" tint="0.39994506668294322"/>
        </patternFill>
      </fill>
    </dxf>
    <dxf>
      <font>
        <color theme="1"/>
      </font>
      <fill>
        <patternFill>
          <bgColor theme="8" tint="0.39994506668294322"/>
        </patternFill>
      </fill>
    </dxf>
    <dxf>
      <font>
        <color rgb="FFFF0000"/>
      </font>
    </dxf>
    <dxf>
      <font>
        <b/>
        <i val="0"/>
        <color theme="1"/>
      </font>
      <fill>
        <patternFill>
          <bgColor rgb="FFFFC000"/>
        </patternFill>
      </fill>
    </dxf>
    <dxf>
      <font>
        <b/>
        <i val="0"/>
        <color theme="1"/>
      </font>
      <fill>
        <patternFill>
          <bgColor rgb="FFFFC000"/>
        </patternFill>
      </fill>
    </dxf>
    <dxf>
      <font>
        <color theme="1"/>
      </font>
      <fill>
        <patternFill>
          <bgColor theme="6" tint="0.39994506668294322"/>
        </patternFill>
      </fill>
    </dxf>
    <dxf>
      <font>
        <b/>
        <i val="0"/>
        <color theme="1"/>
      </font>
      <fill>
        <patternFill>
          <bgColor rgb="FFFFC000"/>
        </patternFill>
      </fill>
    </dxf>
    <dxf>
      <fill>
        <patternFill>
          <bgColor rgb="FFFFC000"/>
        </patternFill>
      </fill>
    </dxf>
    <dxf>
      <font>
        <color theme="1"/>
      </font>
      <fill>
        <patternFill patternType="none">
          <bgColor auto="1"/>
        </patternFill>
      </fill>
    </dxf>
    <dxf>
      <font>
        <color theme="1"/>
      </font>
      <fill>
        <patternFill>
          <bgColor theme="6" tint="0.39994506668294322"/>
        </patternFill>
      </fill>
    </dxf>
    <dxf>
      <font>
        <b/>
        <i val="0"/>
        <color theme="1"/>
      </font>
      <fill>
        <patternFill>
          <bgColor rgb="FFFFC000"/>
        </patternFill>
      </fill>
    </dxf>
    <dxf>
      <fill>
        <patternFill>
          <bgColor rgb="FFFFC000"/>
        </patternFill>
      </fill>
    </dxf>
    <dxf>
      <font>
        <color theme="1"/>
      </font>
      <fill>
        <patternFill patternType="none">
          <bgColor auto="1"/>
        </patternFill>
      </fill>
    </dxf>
    <dxf>
      <font>
        <color theme="1"/>
      </font>
      <fill>
        <patternFill>
          <bgColor theme="6" tint="0.39994506668294322"/>
        </patternFill>
      </fill>
    </dxf>
    <dxf>
      <font>
        <b/>
        <i val="0"/>
        <color theme="1"/>
      </font>
      <fill>
        <patternFill>
          <bgColor rgb="FFFFC000"/>
        </patternFill>
      </fill>
    </dxf>
    <dxf>
      <fill>
        <patternFill>
          <bgColor rgb="FFFFC000"/>
        </patternFill>
      </fill>
    </dxf>
    <dxf>
      <font>
        <color theme="1"/>
      </font>
      <fill>
        <patternFill patternType="none">
          <bgColor auto="1"/>
        </patternFill>
      </fill>
    </dxf>
    <dxf>
      <font>
        <color theme="1"/>
      </font>
      <fill>
        <patternFill>
          <bgColor theme="6" tint="0.39994506668294322"/>
        </patternFill>
      </fill>
    </dxf>
    <dxf>
      <font>
        <b/>
        <i val="0"/>
        <color theme="1"/>
      </font>
      <fill>
        <patternFill>
          <bgColor rgb="FFFFC000"/>
        </patternFill>
      </fill>
    </dxf>
    <dxf>
      <fill>
        <patternFill>
          <bgColor rgb="FFFFC000"/>
        </patternFill>
      </fill>
    </dxf>
    <dxf>
      <font>
        <color theme="1"/>
      </font>
      <fill>
        <patternFill patternType="none">
          <bgColor auto="1"/>
        </patternFill>
      </fill>
    </dxf>
    <dxf>
      <font>
        <color theme="1"/>
      </font>
      <fill>
        <patternFill>
          <bgColor theme="6" tint="0.39994506668294322"/>
        </patternFill>
      </fill>
    </dxf>
    <dxf>
      <fill>
        <patternFill>
          <bgColor rgb="FFFF0000"/>
        </patternFill>
      </fill>
    </dxf>
    <dxf>
      <fill>
        <patternFill>
          <bgColor rgb="FFFF0000"/>
        </patternFill>
      </fill>
    </dxf>
    <dxf>
      <font>
        <color rgb="FFFF0000"/>
      </font>
    </dxf>
    <dxf>
      <fill>
        <patternFill>
          <bgColor rgb="FFFF0000"/>
        </patternFill>
      </fill>
    </dxf>
    <dxf>
      <fill>
        <patternFill>
          <bgColor rgb="FFFF0000"/>
        </patternFill>
      </fill>
    </dxf>
    <dxf>
      <font>
        <color theme="1"/>
      </font>
      <fill>
        <patternFill>
          <bgColor theme="8" tint="0.39994506668294322"/>
        </patternFill>
      </fill>
    </dxf>
    <dxf>
      <font>
        <color theme="1"/>
      </font>
      <fill>
        <patternFill>
          <bgColor theme="8" tint="0.39994506668294322"/>
        </patternFill>
      </fill>
    </dxf>
    <dxf>
      <font>
        <color theme="1"/>
      </font>
      <fill>
        <patternFill>
          <bgColor theme="8" tint="0.39994506668294322"/>
        </patternFill>
      </fill>
    </dxf>
    <dxf>
      <font>
        <color theme="1"/>
      </font>
      <fill>
        <patternFill>
          <bgColor theme="8" tint="0.39994506668294322"/>
        </patternFill>
      </fill>
    </dxf>
    <dxf>
      <font>
        <color theme="1"/>
      </font>
      <fill>
        <patternFill>
          <bgColor theme="8" tint="0.39994506668294322"/>
        </patternFill>
      </fill>
    </dxf>
    <dxf>
      <font>
        <color theme="1"/>
      </font>
      <fill>
        <patternFill>
          <bgColor theme="8" tint="0.39994506668294322"/>
        </patternFill>
      </fill>
    </dxf>
    <dxf>
      <font>
        <color theme="1"/>
      </font>
      <fill>
        <patternFill>
          <bgColor theme="8" tint="0.39994506668294322"/>
        </patternFill>
      </fill>
    </dxf>
    <dxf>
      <font>
        <color rgb="FFFF0000"/>
      </font>
    </dxf>
    <dxf>
      <font>
        <color theme="1"/>
      </font>
      <fill>
        <patternFill>
          <bgColor theme="6" tint="0.39994506668294322"/>
        </patternFill>
      </fill>
    </dxf>
    <dxf>
      <font>
        <b/>
        <i val="0"/>
        <color theme="1"/>
      </font>
      <fill>
        <patternFill>
          <bgColor rgb="FFFFC000"/>
        </patternFill>
      </fill>
    </dxf>
    <dxf>
      <fill>
        <patternFill>
          <bgColor rgb="FFFFC000"/>
        </patternFill>
      </fill>
    </dxf>
    <dxf>
      <font>
        <color theme="1"/>
      </font>
      <fill>
        <patternFill patternType="none">
          <bgColor auto="1"/>
        </patternFill>
      </fill>
    </dxf>
    <dxf>
      <font>
        <b/>
        <i val="0"/>
        <color theme="1"/>
      </font>
      <fill>
        <patternFill>
          <bgColor rgb="FFFFC000"/>
        </patternFill>
      </fill>
    </dxf>
    <dxf>
      <font>
        <color theme="1"/>
      </font>
      <fill>
        <patternFill>
          <bgColor theme="6" tint="0.39994506668294322"/>
        </patternFill>
      </fill>
    </dxf>
    <dxf>
      <fill>
        <patternFill>
          <bgColor rgb="FFFFC000"/>
        </patternFill>
      </fill>
    </dxf>
    <dxf>
      <font>
        <color theme="1"/>
      </font>
      <fill>
        <patternFill patternType="none">
          <bgColor auto="1"/>
        </patternFill>
      </fill>
    </dxf>
    <dxf>
      <font>
        <color theme="1"/>
      </font>
      <fill>
        <patternFill>
          <bgColor theme="6" tint="0.39994506668294322"/>
        </patternFill>
      </fill>
    </dxf>
    <dxf>
      <fill>
        <patternFill>
          <bgColor rgb="FFFFC000"/>
        </patternFill>
      </fill>
    </dxf>
    <dxf>
      <font>
        <color theme="1"/>
      </font>
      <fill>
        <patternFill>
          <bgColor theme="6" tint="0.39994506668294322"/>
        </patternFill>
      </fill>
    </dxf>
    <dxf>
      <font>
        <color theme="1"/>
      </font>
      <fill>
        <patternFill>
          <bgColor theme="6" tint="0.39994506668294322"/>
        </patternFill>
      </fill>
    </dxf>
    <dxf>
      <font>
        <b/>
        <i val="0"/>
        <color theme="1"/>
      </font>
      <fill>
        <patternFill>
          <bgColor rgb="FFFFC000"/>
        </patternFill>
      </fill>
    </dxf>
    <dxf>
      <font>
        <color theme="1"/>
      </font>
      <fill>
        <patternFill patternType="none">
          <bgColor auto="1"/>
        </patternFill>
      </fill>
    </dxf>
    <dxf>
      <font>
        <color theme="1"/>
      </font>
      <fill>
        <patternFill>
          <bgColor theme="6" tint="0.39994506668294322"/>
        </patternFill>
      </fill>
    </dxf>
    <dxf>
      <font>
        <color theme="1"/>
      </font>
      <fill>
        <patternFill patternType="none">
          <bgColor auto="1"/>
        </patternFill>
      </fill>
    </dxf>
    <dxf>
      <font>
        <color theme="1"/>
      </font>
      <fill>
        <patternFill patternType="none">
          <bgColor auto="1"/>
        </patternFill>
      </fill>
    </dxf>
    <dxf>
      <font>
        <color theme="1"/>
      </font>
      <fill>
        <patternFill>
          <bgColor theme="6" tint="0.39994506668294322"/>
        </patternFill>
      </fill>
    </dxf>
    <dxf>
      <font>
        <color theme="1"/>
      </font>
      <fill>
        <patternFill>
          <bgColor theme="6" tint="0.39994506668294322"/>
        </patternFill>
      </fill>
    </dxf>
    <dxf>
      <font>
        <b/>
        <i val="0"/>
        <color theme="1"/>
      </font>
      <fill>
        <patternFill>
          <bgColor rgb="FFFFC000"/>
        </patternFill>
      </fill>
    </dxf>
    <dxf>
      <fill>
        <patternFill>
          <bgColor rgb="FFFFC000"/>
        </patternFill>
      </fill>
    </dxf>
    <dxf>
      <font>
        <color theme="1"/>
      </font>
      <fill>
        <patternFill patternType="none">
          <bgColor auto="1"/>
        </patternFill>
      </fill>
    </dxf>
    <dxf>
      <font>
        <color theme="1"/>
      </font>
      <fill>
        <patternFill patternType="none">
          <bgColor auto="1"/>
        </patternFill>
      </fill>
    </dxf>
    <dxf>
      <font>
        <color theme="1"/>
      </font>
      <fill>
        <patternFill>
          <bgColor theme="6" tint="0.39994506668294322"/>
        </patternFill>
      </fill>
    </dxf>
    <dxf>
      <font>
        <b/>
        <i val="0"/>
        <color theme="1"/>
      </font>
      <fill>
        <patternFill>
          <bgColor rgb="FFFFC000"/>
        </patternFill>
      </fill>
    </dxf>
    <dxf>
      <fill>
        <patternFill>
          <bgColor rgb="FFFFC000"/>
        </patternFill>
      </fill>
    </dxf>
    <dxf>
      <font>
        <color theme="1"/>
      </font>
      <fill>
        <patternFill patternType="none">
          <bgColor auto="1"/>
        </patternFill>
      </fill>
    </dxf>
    <dxf>
      <font>
        <color theme="1"/>
      </font>
      <fill>
        <patternFill>
          <bgColor theme="6" tint="0.39994506668294322"/>
        </patternFill>
      </fill>
    </dxf>
    <dxf>
      <font>
        <b/>
        <i val="0"/>
        <color theme="1"/>
      </font>
      <fill>
        <patternFill>
          <bgColor rgb="FFFFC000"/>
        </patternFill>
      </fill>
    </dxf>
    <dxf>
      <fill>
        <patternFill>
          <bgColor rgb="FFFFC000"/>
        </patternFill>
      </fill>
    </dxf>
    <dxf>
      <font>
        <b/>
        <i val="0"/>
        <color theme="1"/>
      </font>
      <fill>
        <patternFill>
          <bgColor rgb="FFFFC000"/>
        </patternFill>
      </fill>
    </dxf>
    <dxf>
      <fill>
        <patternFill>
          <bgColor rgb="FFFFC000"/>
        </patternFill>
      </fill>
    </dxf>
    <dxf>
      <font>
        <color theme="1"/>
      </font>
      <fill>
        <patternFill patternType="none">
          <bgColor auto="1"/>
        </patternFill>
      </fill>
    </dxf>
    <dxf>
      <font>
        <color theme="1"/>
      </font>
      <fill>
        <patternFill>
          <bgColor theme="6" tint="0.39994506668294322"/>
        </patternFill>
      </fill>
    </dxf>
    <dxf>
      <fill>
        <patternFill>
          <bgColor rgb="FFFF0000"/>
        </patternFill>
      </fill>
    </dxf>
    <dxf>
      <fill>
        <patternFill>
          <bgColor rgb="FFFF0000"/>
        </patternFill>
      </fill>
    </dxf>
    <dxf>
      <font>
        <color theme="1"/>
      </font>
      <fill>
        <patternFill>
          <bgColor theme="8" tint="0.39994506668294322"/>
        </patternFill>
      </fill>
    </dxf>
    <dxf>
      <font>
        <color theme="1"/>
      </font>
      <fill>
        <patternFill>
          <bgColor theme="8" tint="0.39994506668294322"/>
        </patternFill>
      </fill>
    </dxf>
    <dxf>
      <font>
        <color theme="1"/>
      </font>
      <fill>
        <patternFill>
          <bgColor theme="8" tint="0.39994506668294322"/>
        </patternFill>
      </fill>
    </dxf>
    <dxf>
      <font>
        <color theme="1"/>
      </font>
      <fill>
        <patternFill>
          <bgColor theme="8" tint="0.39994506668294322"/>
        </patternFill>
      </fill>
    </dxf>
    <dxf>
      <font>
        <color theme="1"/>
      </font>
      <fill>
        <patternFill>
          <bgColor theme="8" tint="0.39994506668294322"/>
        </patternFill>
      </fill>
    </dxf>
    <dxf>
      <font>
        <color rgb="FFFF0000"/>
      </font>
    </dxf>
    <dxf>
      <fill>
        <patternFill>
          <bgColor rgb="FFFFC000"/>
        </patternFill>
      </fill>
    </dxf>
    <dxf>
      <font>
        <color theme="1"/>
      </font>
      <fill>
        <patternFill>
          <bgColor theme="6" tint="0.39994506668294322"/>
        </patternFill>
      </fill>
    </dxf>
    <dxf>
      <font>
        <color theme="1"/>
      </font>
      <fill>
        <patternFill>
          <bgColor theme="6" tint="0.39994506668294322"/>
        </patternFill>
      </fill>
    </dxf>
    <dxf>
      <font>
        <b/>
        <i val="0"/>
        <color theme="1"/>
      </font>
      <fill>
        <patternFill>
          <bgColor rgb="FFFFC000"/>
        </patternFill>
      </fill>
    </dxf>
    <dxf>
      <fill>
        <patternFill>
          <bgColor rgb="FFFFC000"/>
        </patternFill>
      </fill>
    </dxf>
    <dxf>
      <font>
        <color theme="1"/>
      </font>
      <fill>
        <patternFill patternType="none">
          <bgColor auto="1"/>
        </patternFill>
      </fill>
    </dxf>
    <dxf>
      <font>
        <color theme="1"/>
      </font>
      <fill>
        <patternFill>
          <bgColor theme="6" tint="0.39994506668294322"/>
        </patternFill>
      </fill>
    </dxf>
    <dxf>
      <font>
        <color theme="1"/>
      </font>
      <fill>
        <patternFill>
          <bgColor theme="6" tint="0.39994506668294322"/>
        </patternFill>
      </fill>
    </dxf>
    <dxf>
      <font>
        <b/>
        <i val="0"/>
        <color theme="1"/>
      </font>
      <fill>
        <patternFill>
          <bgColor rgb="FFFFC000"/>
        </patternFill>
      </fill>
    </dxf>
    <dxf>
      <fill>
        <patternFill>
          <bgColor rgb="FFFFC000"/>
        </patternFill>
      </fill>
    </dxf>
    <dxf>
      <font>
        <color theme="1"/>
      </font>
      <fill>
        <patternFill patternType="none">
          <bgColor auto="1"/>
        </patternFill>
      </fill>
    </dxf>
    <dxf>
      <font>
        <color theme="1"/>
      </font>
      <fill>
        <patternFill>
          <bgColor theme="6" tint="0.39994506668294322"/>
        </patternFill>
      </fill>
    </dxf>
    <dxf>
      <font>
        <color theme="1"/>
      </font>
      <fill>
        <patternFill>
          <bgColor theme="6" tint="0.39994506668294322"/>
        </patternFill>
      </fill>
    </dxf>
    <dxf>
      <font>
        <b/>
        <i val="0"/>
        <color theme="1"/>
      </font>
      <fill>
        <patternFill>
          <bgColor rgb="FFFFC000"/>
        </patternFill>
      </fill>
    </dxf>
    <dxf>
      <fill>
        <patternFill>
          <bgColor rgb="FFFFC000"/>
        </patternFill>
      </fill>
    </dxf>
    <dxf>
      <font>
        <color theme="1"/>
      </font>
      <fill>
        <patternFill patternType="none">
          <bgColor auto="1"/>
        </patternFill>
      </fill>
    </dxf>
    <dxf>
      <font>
        <color theme="1"/>
      </font>
      <fill>
        <patternFill>
          <bgColor theme="6" tint="0.39994506668294322"/>
        </patternFill>
      </fill>
    </dxf>
    <dxf>
      <font>
        <color theme="1"/>
      </font>
      <fill>
        <patternFill>
          <bgColor theme="6" tint="0.39994506668294322"/>
        </patternFill>
      </fill>
    </dxf>
    <dxf>
      <font>
        <b/>
        <i val="0"/>
        <color theme="1"/>
      </font>
      <fill>
        <patternFill>
          <bgColor rgb="FFFFC000"/>
        </patternFill>
      </fill>
    </dxf>
    <dxf>
      <font>
        <color theme="1"/>
      </font>
      <fill>
        <patternFill patternType="none">
          <bgColor auto="1"/>
        </patternFill>
      </fill>
    </dxf>
    <dxf>
      <font>
        <color theme="1"/>
      </font>
      <fill>
        <patternFill>
          <bgColor theme="6" tint="0.39994506668294322"/>
        </patternFill>
      </fill>
    </dxf>
    <dxf>
      <font>
        <color theme="1"/>
      </font>
      <fill>
        <patternFill>
          <bgColor theme="6" tint="0.39994506668294322"/>
        </patternFill>
      </fill>
    </dxf>
    <dxf>
      <font>
        <b/>
        <i val="0"/>
        <color theme="1"/>
      </font>
      <fill>
        <patternFill>
          <bgColor rgb="FFFFC000"/>
        </patternFill>
      </fill>
    </dxf>
    <dxf>
      <fill>
        <patternFill>
          <bgColor rgb="FFFFC000"/>
        </patternFill>
      </fill>
    </dxf>
    <dxf>
      <font>
        <color theme="1"/>
      </font>
      <fill>
        <patternFill patternType="none">
          <bgColor auto="1"/>
        </patternFill>
      </fill>
    </dxf>
    <dxf>
      <font>
        <color theme="1"/>
      </font>
      <fill>
        <patternFill>
          <bgColor theme="6" tint="0.39994506668294322"/>
        </patternFill>
      </fill>
    </dxf>
    <dxf>
      <font>
        <color theme="1"/>
      </font>
      <fill>
        <patternFill>
          <bgColor theme="6" tint="0.39994506668294322"/>
        </patternFill>
      </fill>
    </dxf>
    <dxf>
      <fill>
        <patternFill>
          <bgColor rgb="FFFF0000"/>
        </patternFill>
      </fill>
    </dxf>
    <dxf>
      <fill>
        <patternFill>
          <bgColor rgb="FFFF0000"/>
        </patternFill>
      </fill>
    </dxf>
    <dxf>
      <fill>
        <patternFill>
          <bgColor rgb="FFFF0000"/>
        </patternFill>
      </fill>
    </dxf>
    <dxf>
      <font>
        <color theme="1"/>
      </font>
      <fill>
        <patternFill>
          <bgColor rgb="FFFF0000"/>
        </patternFill>
      </fill>
    </dxf>
    <dxf>
      <font>
        <color theme="1"/>
      </font>
      <fill>
        <patternFill>
          <bgColor rgb="FFFF0000"/>
        </patternFill>
      </fill>
    </dxf>
    <dxf>
      <font>
        <color theme="1"/>
      </font>
      <fill>
        <patternFill>
          <bgColor rgb="FFFF0000"/>
        </patternFill>
      </fill>
    </dxf>
    <dxf>
      <font>
        <color theme="1"/>
      </font>
      <fill>
        <patternFill>
          <bgColor rgb="FFFF0000"/>
        </patternFill>
      </fill>
    </dxf>
  </dxfs>
  <tableStyles count="0" defaultTableStyle="TableStyleMedium9" defaultPivotStyle="PivotStyleLight16"/>
  <colors>
    <mruColors>
      <color rgb="FFFFFFCC"/>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1.xml"/><Relationship Id="rId21" Type="http://schemas.openxmlformats.org/officeDocument/2006/relationships/worksheet" Target="worksheets/sheet21.xml"/><Relationship Id="rId34" Type="http://schemas.openxmlformats.org/officeDocument/2006/relationships/externalLink" Target="externalLinks/externalLink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aredStrings" Target="sharedStrings.xml"/><Relationship Id="rId40"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1.xml"/><Relationship Id="rId38"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41422594142259417"/>
          <c:y val="2.4263431542461005E-2"/>
          <c:w val="0.53417015341701535"/>
          <c:h val="0.84402079722703638"/>
        </c:manualLayout>
      </c:layout>
      <c:barChart>
        <c:barDir val="bar"/>
        <c:grouping val="clustered"/>
        <c:varyColors val="0"/>
        <c:ser>
          <c:idx val="0"/>
          <c:order val="0"/>
          <c:invertIfNegative val="0"/>
          <c:cat>
            <c:strRef>
              <c:f>'Nivel 1-Gráficas'!$A$8:$A$24</c:f>
              <c:strCache>
                <c:ptCount val="17"/>
                <c:pt idx="0">
                  <c:v>Combustión de carbón y otros usos de carbón</c:v>
                </c:pt>
                <c:pt idx="1">
                  <c:v>Combustión de otros combustibles fósiles y biomasa*4</c:v>
                </c:pt>
                <c:pt idx="2">
                  <c:v>Producción de petróleo y gas</c:v>
                </c:pt>
                <c:pt idx="3">
                  <c:v>Producción primaria de metales (excepto producción de oro mediante amalgamación)</c:v>
                </c:pt>
                <c:pt idx="4">
                  <c:v>Extracción de oro con aleación de mercurio</c:v>
                </c:pt>
                <c:pt idx="5">
                  <c:v>Producción de otros materiales*5*8</c:v>
                </c:pt>
                <c:pt idx="6">
                  <c:v>Producción de cloro-álcali con celdas de mercurio</c:v>
                </c:pt>
                <c:pt idx="7">
                  <c:v>Otra producción de productos químicos y polímeros*6</c:v>
                </c:pt>
                <c:pt idx="8">
                  <c:v>Producción de productos con contenido de mercurio</c:v>
                </c:pt>
                <c:pt idx="9">
                  <c:v>Uso y eliminación de empastes de amalgamas dentales</c:v>
                </c:pt>
                <c:pt idx="10">
                  <c:v>Uso y eliminación de otros productos*7</c:v>
                </c:pt>
                <c:pt idx="11">
                  <c:v>Producción de metales reciclados</c:v>
                </c:pt>
                <c:pt idx="12">
                  <c:v>Incineración de desechos y quema de desechos al aire libre*1</c:v>
                </c:pt>
                <c:pt idx="13">
                  <c:v>Depósito de desechos*1</c:v>
                </c:pt>
                <c:pt idx="14">
                  <c:v>Vertido informal de desechos generales *1*2</c:v>
                </c:pt>
                <c:pt idx="15">
                  <c:v>Sistema/tratamiento de aguas residuales *3</c:v>
                </c:pt>
                <c:pt idx="16">
                  <c:v>Crematorios y cementerios</c:v>
                </c:pt>
              </c:strCache>
            </c:strRef>
          </c:cat>
          <c:val>
            <c:numRef>
              <c:f>'Nivel 1-Gráficas'!$B$8:$B$24</c:f>
              <c:numCache>
                <c:formatCode>#,##0</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extLst>
            <c:ext xmlns:c16="http://schemas.microsoft.com/office/drawing/2014/chart" uri="{C3380CC4-5D6E-409C-BE32-E72D297353CC}">
              <c16:uniqueId val="{00000000-7FBE-471F-AD80-705487779EB0}"/>
            </c:ext>
          </c:extLst>
        </c:ser>
        <c:dLbls>
          <c:showLegendKey val="0"/>
          <c:showVal val="0"/>
          <c:showCatName val="0"/>
          <c:showSerName val="0"/>
          <c:showPercent val="0"/>
          <c:showBubbleSize val="0"/>
        </c:dLbls>
        <c:gapWidth val="150"/>
        <c:axId val="281449056"/>
        <c:axId val="284179944"/>
      </c:barChart>
      <c:catAx>
        <c:axId val="281449056"/>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284179944"/>
        <c:crosses val="autoZero"/>
        <c:auto val="1"/>
        <c:lblAlgn val="ctr"/>
        <c:lblOffset val="100"/>
        <c:noMultiLvlLbl val="0"/>
      </c:catAx>
      <c:valAx>
        <c:axId val="284179944"/>
        <c:scaling>
          <c:orientation val="minMax"/>
        </c:scaling>
        <c:delete val="0"/>
        <c:axPos val="b"/>
        <c:majorGridlines/>
        <c:minorGridlines/>
        <c:title>
          <c:tx>
            <c:rich>
              <a:bodyPr/>
              <a:lstStyle/>
              <a:p>
                <a:pPr>
                  <a:defRPr sz="1800" b="1" i="0" u="none" strike="noStrike" baseline="0">
                    <a:solidFill>
                      <a:srgbClr val="000000"/>
                    </a:solidFill>
                    <a:latin typeface="Calibri"/>
                    <a:ea typeface="Calibri"/>
                    <a:cs typeface="Calibri"/>
                  </a:defRPr>
                </a:pPr>
                <a:r>
                  <a:rPr lang="es-ES" sz="1800" b="1" i="0" baseline="0">
                    <a:effectLst/>
                  </a:rPr>
                  <a:t>Entradas de mercurio estimadas (kg Hg/a)</a:t>
                </a:r>
                <a:endParaRPr lang="en-US">
                  <a:effectLst/>
                </a:endParaRPr>
              </a:p>
            </c:rich>
          </c:tx>
          <c:layout>
            <c:manualLayout>
              <c:xMode val="edge"/>
              <c:yMode val="edge"/>
              <c:x val="0.38107684053305491"/>
              <c:y val="0.91693045301746312"/>
            </c:manualLayout>
          </c:layout>
          <c:overlay val="0"/>
        </c:title>
        <c:numFmt formatCode="#,##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281449056"/>
        <c:crosses val="max"/>
        <c:crossBetween val="between"/>
      </c:valAx>
      <c:spPr>
        <a:ln>
          <a:solidFill>
            <a:schemeClr val="tx1"/>
          </a:solidFill>
        </a:ln>
      </c:spPr>
    </c:plotArea>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41307371349095967"/>
          <c:y val="2.2690437601296597E-2"/>
          <c:w val="0.54381084840055638"/>
          <c:h val="0.85413290113452189"/>
        </c:manualLayout>
      </c:layout>
      <c:barChart>
        <c:barDir val="bar"/>
        <c:grouping val="clustered"/>
        <c:varyColors val="0"/>
        <c:ser>
          <c:idx val="1"/>
          <c:order val="0"/>
          <c:invertIfNegative val="0"/>
          <c:cat>
            <c:strRef>
              <c:f>'Nivel 1-Gráficas'!$A$8:$A$24</c:f>
              <c:strCache>
                <c:ptCount val="17"/>
                <c:pt idx="0">
                  <c:v>Combustión de carbón y otros usos de carbón</c:v>
                </c:pt>
                <c:pt idx="1">
                  <c:v>Combustión de otros combustibles fósiles y biomasa*4</c:v>
                </c:pt>
                <c:pt idx="2">
                  <c:v>Producción de petróleo y gas</c:v>
                </c:pt>
                <c:pt idx="3">
                  <c:v>Producción primaria de metales (excepto producción de oro mediante amalgamación)</c:v>
                </c:pt>
                <c:pt idx="4">
                  <c:v>Extracción de oro con aleación de mercurio</c:v>
                </c:pt>
                <c:pt idx="5">
                  <c:v>Producción de otros materiales*5*8</c:v>
                </c:pt>
                <c:pt idx="6">
                  <c:v>Producción de cloro-álcali con celdas de mercurio</c:v>
                </c:pt>
                <c:pt idx="7">
                  <c:v>Otra producción de productos químicos y polímeros*6</c:v>
                </c:pt>
                <c:pt idx="8">
                  <c:v>Producción de productos con contenido de mercurio</c:v>
                </c:pt>
                <c:pt idx="9">
                  <c:v>Uso y eliminación de empastes de amalgamas dentales</c:v>
                </c:pt>
                <c:pt idx="10">
                  <c:v>Uso y eliminación de otros productos*7</c:v>
                </c:pt>
                <c:pt idx="11">
                  <c:v>Producción de metales reciclados</c:v>
                </c:pt>
                <c:pt idx="12">
                  <c:v>Incineración de desechos y quema de desechos al aire libre*1</c:v>
                </c:pt>
                <c:pt idx="13">
                  <c:v>Depósito de desechos*1</c:v>
                </c:pt>
                <c:pt idx="14">
                  <c:v>Vertido informal de desechos generales *1*2</c:v>
                </c:pt>
                <c:pt idx="15">
                  <c:v>Sistema/tratamiento de aguas residuales *3</c:v>
                </c:pt>
                <c:pt idx="16">
                  <c:v>Crematorios y cementerios</c:v>
                </c:pt>
              </c:strCache>
            </c:strRef>
          </c:cat>
          <c:val>
            <c:numRef>
              <c:f>'Nivel 1-Gráficas'!$C$8:$C$24</c:f>
              <c:numCache>
                <c:formatCode>#,##0</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extLst>
            <c:ext xmlns:c16="http://schemas.microsoft.com/office/drawing/2014/chart" uri="{C3380CC4-5D6E-409C-BE32-E72D297353CC}">
              <c16:uniqueId val="{00000000-9B22-4336-90A1-4D3B8F59D118}"/>
            </c:ext>
          </c:extLst>
        </c:ser>
        <c:dLbls>
          <c:showLegendKey val="0"/>
          <c:showVal val="0"/>
          <c:showCatName val="0"/>
          <c:showSerName val="0"/>
          <c:showPercent val="0"/>
          <c:showBubbleSize val="0"/>
        </c:dLbls>
        <c:gapWidth val="150"/>
        <c:axId val="284184648"/>
        <c:axId val="284184256"/>
      </c:barChart>
      <c:catAx>
        <c:axId val="284184648"/>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284184256"/>
        <c:crosses val="autoZero"/>
        <c:auto val="1"/>
        <c:lblAlgn val="ctr"/>
        <c:lblOffset val="100"/>
        <c:noMultiLvlLbl val="0"/>
      </c:catAx>
      <c:valAx>
        <c:axId val="284184256"/>
        <c:scaling>
          <c:orientation val="minMax"/>
        </c:scaling>
        <c:delete val="0"/>
        <c:axPos val="b"/>
        <c:majorGridlines/>
        <c:minorGridlines/>
        <c:title>
          <c:tx>
            <c:rich>
              <a:bodyPr/>
              <a:lstStyle/>
              <a:p>
                <a:pPr>
                  <a:defRPr sz="1800" b="1" i="0" u="none" strike="noStrike" baseline="0">
                    <a:solidFill>
                      <a:srgbClr val="000000"/>
                    </a:solidFill>
                    <a:latin typeface="Calibri"/>
                    <a:ea typeface="Calibri"/>
                    <a:cs typeface="Calibri"/>
                  </a:defRPr>
                </a:pPr>
                <a:r>
                  <a:rPr lang="es-ES" sz="1800" b="1" i="0" baseline="0">
                    <a:effectLst/>
                  </a:rPr>
                  <a:t>Emisiones de mercurio estimadas al aire (kg Hg/a)</a:t>
                </a:r>
                <a:endParaRPr lang="en-US">
                  <a:effectLst/>
                </a:endParaRPr>
              </a:p>
            </c:rich>
          </c:tx>
          <c:layout>
            <c:manualLayout>
              <c:xMode val="edge"/>
              <c:yMode val="edge"/>
              <c:x val="0.3495483301026871"/>
              <c:y val="0.92093007822968642"/>
            </c:manualLayout>
          </c:layout>
          <c:overlay val="0"/>
        </c:title>
        <c:numFmt formatCode="#,##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284184648"/>
        <c:crosses val="max"/>
        <c:crossBetween val="between"/>
      </c:valAx>
      <c:spPr>
        <a:ln>
          <a:solidFill>
            <a:schemeClr val="tx1"/>
          </a:solidFill>
        </a:ln>
      </c:spPr>
    </c:plotArea>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22" l="0.70000000000000018" r="0.70000000000000018" t="0.75000000000000022" header="0.3000000000000001" footer="0.3000000000000001"/>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41249999999999998"/>
          <c:y val="2.113821138211382E-2"/>
          <c:w val="0.5444444444444444"/>
          <c:h val="0.8552845528455284"/>
        </c:manualLayout>
      </c:layout>
      <c:barChart>
        <c:barDir val="bar"/>
        <c:grouping val="clustered"/>
        <c:varyColors val="0"/>
        <c:ser>
          <c:idx val="0"/>
          <c:order val="0"/>
          <c:spPr>
            <a:solidFill>
              <a:srgbClr val="9BBB59">
                <a:lumMod val="75000"/>
              </a:srgbClr>
            </a:solidFill>
          </c:spPr>
          <c:invertIfNegative val="0"/>
          <c:cat>
            <c:strRef>
              <c:f>'Nivel 1-Gráficas'!$A$8:$A$24</c:f>
              <c:strCache>
                <c:ptCount val="17"/>
                <c:pt idx="0">
                  <c:v>Combustión de carbón y otros usos de carbón</c:v>
                </c:pt>
                <c:pt idx="1">
                  <c:v>Combustión de otros combustibles fósiles y biomasa*4</c:v>
                </c:pt>
                <c:pt idx="2">
                  <c:v>Producción de petróleo y gas</c:v>
                </c:pt>
                <c:pt idx="3">
                  <c:v>Producción primaria de metales (excepto producción de oro mediante amalgamación)</c:v>
                </c:pt>
                <c:pt idx="4">
                  <c:v>Extracción de oro con aleación de mercurio</c:v>
                </c:pt>
                <c:pt idx="5">
                  <c:v>Producción de otros materiales*5*8</c:v>
                </c:pt>
                <c:pt idx="6">
                  <c:v>Producción de cloro-álcali con celdas de mercurio</c:v>
                </c:pt>
                <c:pt idx="7">
                  <c:v>Otra producción de productos químicos y polímeros*6</c:v>
                </c:pt>
                <c:pt idx="8">
                  <c:v>Producción de productos con contenido de mercurio</c:v>
                </c:pt>
                <c:pt idx="9">
                  <c:v>Uso y eliminación de empastes de amalgamas dentales</c:v>
                </c:pt>
                <c:pt idx="10">
                  <c:v>Uso y eliminación de otros productos*7</c:v>
                </c:pt>
                <c:pt idx="11">
                  <c:v>Producción de metales reciclados</c:v>
                </c:pt>
                <c:pt idx="12">
                  <c:v>Incineración de desechos y quema de desechos al aire libre*1</c:v>
                </c:pt>
                <c:pt idx="13">
                  <c:v>Depósito de desechos*1</c:v>
                </c:pt>
                <c:pt idx="14">
                  <c:v>Vertido informal de desechos generales *1*2</c:v>
                </c:pt>
                <c:pt idx="15">
                  <c:v>Sistema/tratamiento de aguas residuales *3</c:v>
                </c:pt>
                <c:pt idx="16">
                  <c:v>Crematorios y cementerios</c:v>
                </c:pt>
              </c:strCache>
            </c:strRef>
          </c:cat>
          <c:val>
            <c:numRef>
              <c:f>'Nivel 1-Gráficas'!$E$8:$E$24</c:f>
              <c:numCache>
                <c:formatCode>#,##0</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extLst>
            <c:ext xmlns:c16="http://schemas.microsoft.com/office/drawing/2014/chart" uri="{C3380CC4-5D6E-409C-BE32-E72D297353CC}">
              <c16:uniqueId val="{00000000-C6D8-407C-B6F2-37CC3E71D733}"/>
            </c:ext>
          </c:extLst>
        </c:ser>
        <c:dLbls>
          <c:showLegendKey val="0"/>
          <c:showVal val="0"/>
          <c:showCatName val="0"/>
          <c:showSerName val="0"/>
          <c:showPercent val="0"/>
          <c:showBubbleSize val="0"/>
        </c:dLbls>
        <c:gapWidth val="150"/>
        <c:axId val="284183864"/>
        <c:axId val="284180336"/>
      </c:barChart>
      <c:catAx>
        <c:axId val="284183864"/>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284180336"/>
        <c:crosses val="autoZero"/>
        <c:auto val="1"/>
        <c:lblAlgn val="ctr"/>
        <c:lblOffset val="100"/>
        <c:noMultiLvlLbl val="0"/>
      </c:catAx>
      <c:valAx>
        <c:axId val="284180336"/>
        <c:scaling>
          <c:orientation val="minMax"/>
        </c:scaling>
        <c:delete val="0"/>
        <c:axPos val="b"/>
        <c:majorGridlines/>
        <c:minorGridlines/>
        <c:title>
          <c:tx>
            <c:rich>
              <a:bodyPr/>
              <a:lstStyle/>
              <a:p>
                <a:pPr>
                  <a:defRPr sz="1800" b="1" i="0" u="none" strike="noStrike" baseline="0">
                    <a:solidFill>
                      <a:srgbClr val="000000"/>
                    </a:solidFill>
                    <a:latin typeface="Calibri"/>
                    <a:ea typeface="Calibri"/>
                    <a:cs typeface="Calibri"/>
                  </a:defRPr>
                </a:pPr>
                <a:r>
                  <a:rPr lang="es-ES" sz="1800" b="1" i="0" baseline="0">
                    <a:effectLst/>
                  </a:rPr>
                  <a:t>Emisiones de mercurio estimadas a la tierra (kg Hg/a)</a:t>
                </a:r>
                <a:endParaRPr lang="en-US">
                  <a:effectLst/>
                </a:endParaRPr>
              </a:p>
            </c:rich>
          </c:tx>
          <c:layout>
            <c:manualLayout>
              <c:xMode val="edge"/>
              <c:yMode val="edge"/>
              <c:x val="0.34954841061533976"/>
              <c:y val="0.92093020079807097"/>
            </c:manualLayout>
          </c:layout>
          <c:overlay val="0"/>
        </c:title>
        <c:numFmt formatCode="#,##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284183864"/>
        <c:crosses val="max"/>
        <c:crossBetween val="between"/>
      </c:valAx>
      <c:spPr>
        <a:ln>
          <a:solidFill>
            <a:schemeClr val="tx1"/>
          </a:solidFill>
        </a:ln>
      </c:spPr>
    </c:plotArea>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44" l="0.7000000000000004" r="0.7000000000000004" t="0.75000000000000044" header="0.30000000000000021" footer="0.30000000000000021"/>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41192787794729541"/>
          <c:y val="2.113821138211382E-2"/>
          <c:w val="0.53675450762829402"/>
          <c:h val="0.8552845528455284"/>
        </c:manualLayout>
      </c:layout>
      <c:barChart>
        <c:barDir val="bar"/>
        <c:grouping val="clustered"/>
        <c:varyColors val="0"/>
        <c:ser>
          <c:idx val="1"/>
          <c:order val="0"/>
          <c:spPr>
            <a:solidFill>
              <a:schemeClr val="bg2">
                <a:lumMod val="50000"/>
              </a:schemeClr>
            </a:solidFill>
          </c:spPr>
          <c:invertIfNegative val="0"/>
          <c:cat>
            <c:strRef>
              <c:f>'Nivel 1-Gráficas'!$A$8:$A$24</c:f>
              <c:strCache>
                <c:ptCount val="17"/>
                <c:pt idx="0">
                  <c:v>Combustión de carbón y otros usos de carbón</c:v>
                </c:pt>
                <c:pt idx="1">
                  <c:v>Combustión de otros combustibles fósiles y biomasa*4</c:v>
                </c:pt>
                <c:pt idx="2">
                  <c:v>Producción de petróleo y gas</c:v>
                </c:pt>
                <c:pt idx="3">
                  <c:v>Producción primaria de metales (excepto producción de oro mediante amalgamación)</c:v>
                </c:pt>
                <c:pt idx="4">
                  <c:v>Extracción de oro con aleación de mercurio</c:v>
                </c:pt>
                <c:pt idx="5">
                  <c:v>Producción de otros materiales*5*8</c:v>
                </c:pt>
                <c:pt idx="6">
                  <c:v>Producción de cloro-álcali con celdas de mercurio</c:v>
                </c:pt>
                <c:pt idx="7">
                  <c:v>Otra producción de productos químicos y polímeros*6</c:v>
                </c:pt>
                <c:pt idx="8">
                  <c:v>Producción de productos con contenido de mercurio</c:v>
                </c:pt>
                <c:pt idx="9">
                  <c:v>Uso y eliminación de empastes de amalgamas dentales</c:v>
                </c:pt>
                <c:pt idx="10">
                  <c:v>Uso y eliminación de otros productos*7</c:v>
                </c:pt>
                <c:pt idx="11">
                  <c:v>Producción de metales reciclados</c:v>
                </c:pt>
                <c:pt idx="12">
                  <c:v>Incineración de desechos y quema de desechos al aire libre*1</c:v>
                </c:pt>
                <c:pt idx="13">
                  <c:v>Depósito de desechos*1</c:v>
                </c:pt>
                <c:pt idx="14">
                  <c:v>Vertido informal de desechos generales *1*2</c:v>
                </c:pt>
                <c:pt idx="15">
                  <c:v>Sistema/tratamiento de aguas residuales *3</c:v>
                </c:pt>
                <c:pt idx="16">
                  <c:v>Crematorios y cementerios</c:v>
                </c:pt>
              </c:strCache>
            </c:strRef>
          </c:cat>
          <c:val>
            <c:numRef>
              <c:f>'Nivel 1-Gráficas'!$D$8:$D$24</c:f>
              <c:numCache>
                <c:formatCode>#,##0</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extLst>
            <c:ext xmlns:c16="http://schemas.microsoft.com/office/drawing/2014/chart" uri="{C3380CC4-5D6E-409C-BE32-E72D297353CC}">
              <c16:uniqueId val="{00000000-6736-4C2E-825D-C42D0FA3EF0D}"/>
            </c:ext>
          </c:extLst>
        </c:ser>
        <c:dLbls>
          <c:showLegendKey val="0"/>
          <c:showVal val="0"/>
          <c:showCatName val="0"/>
          <c:showSerName val="0"/>
          <c:showPercent val="0"/>
          <c:showBubbleSize val="0"/>
        </c:dLbls>
        <c:gapWidth val="150"/>
        <c:axId val="284180728"/>
        <c:axId val="284182688"/>
      </c:barChart>
      <c:catAx>
        <c:axId val="284180728"/>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284182688"/>
        <c:crosses val="autoZero"/>
        <c:auto val="1"/>
        <c:lblAlgn val="ctr"/>
        <c:lblOffset val="100"/>
        <c:noMultiLvlLbl val="0"/>
      </c:catAx>
      <c:valAx>
        <c:axId val="284182688"/>
        <c:scaling>
          <c:orientation val="minMax"/>
        </c:scaling>
        <c:delete val="0"/>
        <c:axPos val="b"/>
        <c:majorGridlines/>
        <c:minorGridlines/>
        <c:title>
          <c:tx>
            <c:rich>
              <a:bodyPr/>
              <a:lstStyle/>
              <a:p>
                <a:pPr>
                  <a:defRPr sz="1800" b="1" i="0" u="none" strike="noStrike" baseline="0">
                    <a:solidFill>
                      <a:srgbClr val="000000"/>
                    </a:solidFill>
                    <a:latin typeface="Calibri"/>
                    <a:ea typeface="Calibri"/>
                    <a:cs typeface="Calibri"/>
                  </a:defRPr>
                </a:pPr>
                <a:r>
                  <a:rPr lang="es-ES" sz="1800" b="1" i="0" baseline="0">
                    <a:effectLst/>
                  </a:rPr>
                  <a:t>Emisiones de mercurio estimadas al agua (kg Hg/a)</a:t>
                </a:r>
                <a:endParaRPr lang="en-US">
                  <a:effectLst/>
                </a:endParaRPr>
              </a:p>
            </c:rich>
          </c:tx>
          <c:layout>
            <c:manualLayout>
              <c:xMode val="edge"/>
              <c:yMode val="edge"/>
              <c:x val="0.33623466969541432"/>
              <c:y val="0.92093020079807097"/>
            </c:manualLayout>
          </c:layout>
          <c:overlay val="0"/>
        </c:title>
        <c:numFmt formatCode="#,##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284180728"/>
        <c:crosses val="max"/>
        <c:crossBetween val="between"/>
      </c:valAx>
      <c:spPr>
        <a:ln>
          <a:solidFill>
            <a:schemeClr val="tx1"/>
          </a:solidFill>
        </a:ln>
      </c:spPr>
    </c:plotArea>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78" l="0.70000000000000062" r="0.70000000000000062" t="0.75000000000000078"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41192787794729541"/>
          <c:y val="2.4179620034542316E-2"/>
          <c:w val="0.5409153952843273"/>
          <c:h val="0.79447322970639034"/>
        </c:manualLayout>
      </c:layout>
      <c:barChart>
        <c:barDir val="bar"/>
        <c:grouping val="clustered"/>
        <c:varyColors val="0"/>
        <c:ser>
          <c:idx val="1"/>
          <c:order val="0"/>
          <c:spPr>
            <a:solidFill>
              <a:srgbClr val="F79646">
                <a:lumMod val="75000"/>
              </a:srgbClr>
            </a:solidFill>
          </c:spPr>
          <c:invertIfNegative val="0"/>
          <c:cat>
            <c:strRef>
              <c:f>'Nivel 1-Gráficas'!$A$8:$A$24</c:f>
              <c:strCache>
                <c:ptCount val="17"/>
                <c:pt idx="0">
                  <c:v>Combustión de carbón y otros usos de carbón</c:v>
                </c:pt>
                <c:pt idx="1">
                  <c:v>Combustión de otros combustibles fósiles y biomasa*4</c:v>
                </c:pt>
                <c:pt idx="2">
                  <c:v>Producción de petróleo y gas</c:v>
                </c:pt>
                <c:pt idx="3">
                  <c:v>Producción primaria de metales (excepto producción de oro mediante amalgamación)</c:v>
                </c:pt>
                <c:pt idx="4">
                  <c:v>Extracción de oro con aleación de mercurio</c:v>
                </c:pt>
                <c:pt idx="5">
                  <c:v>Producción de otros materiales*5*8</c:v>
                </c:pt>
                <c:pt idx="6">
                  <c:v>Producción de cloro-álcali con celdas de mercurio</c:v>
                </c:pt>
                <c:pt idx="7">
                  <c:v>Otra producción de productos químicos y polímeros*6</c:v>
                </c:pt>
                <c:pt idx="8">
                  <c:v>Producción de productos con contenido de mercurio</c:v>
                </c:pt>
                <c:pt idx="9">
                  <c:v>Uso y eliminación de empastes de amalgamas dentales</c:v>
                </c:pt>
                <c:pt idx="10">
                  <c:v>Uso y eliminación de otros productos*7</c:v>
                </c:pt>
                <c:pt idx="11">
                  <c:v>Producción de metales reciclados</c:v>
                </c:pt>
                <c:pt idx="12">
                  <c:v>Incineración de desechos y quema de desechos al aire libre*1</c:v>
                </c:pt>
                <c:pt idx="13">
                  <c:v>Depósito de desechos*1</c:v>
                </c:pt>
                <c:pt idx="14">
                  <c:v>Vertido informal de desechos generales *1*2</c:v>
                </c:pt>
                <c:pt idx="15">
                  <c:v>Sistema/tratamiento de aguas residuales *3</c:v>
                </c:pt>
                <c:pt idx="16">
                  <c:v>Crematorios y cementerios</c:v>
                </c:pt>
              </c:strCache>
            </c:strRef>
          </c:cat>
          <c:val>
            <c:numRef>
              <c:f>'Nivel 1-Gráficas'!$F$8:$F$24</c:f>
              <c:numCache>
                <c:formatCode>#,##0</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extLst>
            <c:ext xmlns:c16="http://schemas.microsoft.com/office/drawing/2014/chart" uri="{C3380CC4-5D6E-409C-BE32-E72D297353CC}">
              <c16:uniqueId val="{00000000-A348-4B77-9663-A25488444D74}"/>
            </c:ext>
          </c:extLst>
        </c:ser>
        <c:dLbls>
          <c:showLegendKey val="0"/>
          <c:showVal val="0"/>
          <c:showCatName val="0"/>
          <c:showSerName val="0"/>
          <c:showPercent val="0"/>
          <c:showBubbleSize val="0"/>
        </c:dLbls>
        <c:gapWidth val="150"/>
        <c:axId val="284177984"/>
        <c:axId val="284177592"/>
      </c:barChart>
      <c:catAx>
        <c:axId val="284177984"/>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284177592"/>
        <c:crosses val="autoZero"/>
        <c:auto val="1"/>
        <c:lblAlgn val="ctr"/>
        <c:lblOffset val="100"/>
        <c:noMultiLvlLbl val="0"/>
      </c:catAx>
      <c:valAx>
        <c:axId val="284177592"/>
        <c:scaling>
          <c:orientation val="minMax"/>
        </c:scaling>
        <c:delete val="0"/>
        <c:axPos val="b"/>
        <c:majorGridlines/>
        <c:minorGridlines/>
        <c:title>
          <c:tx>
            <c:rich>
              <a:bodyPr/>
              <a:lstStyle/>
              <a:p>
                <a:pPr>
                  <a:defRPr sz="1800" b="1" i="0" u="none" strike="noStrike" baseline="0">
                    <a:solidFill>
                      <a:srgbClr val="000000"/>
                    </a:solidFill>
                    <a:latin typeface="Calibri"/>
                    <a:ea typeface="Calibri"/>
                    <a:cs typeface="Calibri"/>
                  </a:defRPr>
                </a:pPr>
                <a:r>
                  <a:rPr lang="es-ES" sz="1800" b="1" i="0" baseline="0">
                    <a:effectLst/>
                  </a:rPr>
                  <a:t>Salidas de mercurio estimadas a los subproductos e impurezas (kg Hg/a)</a:t>
                </a:r>
                <a:endParaRPr lang="en-US">
                  <a:effectLst/>
                </a:endParaRPr>
              </a:p>
            </c:rich>
          </c:tx>
          <c:layout>
            <c:manualLayout>
              <c:xMode val="edge"/>
              <c:yMode val="edge"/>
              <c:x val="0.32594741191331666"/>
              <c:y val="0.88998245685610544"/>
            </c:manualLayout>
          </c:layout>
          <c:overlay val="0"/>
        </c:title>
        <c:numFmt formatCode="#,##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284177984"/>
        <c:crosses val="max"/>
        <c:crossBetween val="between"/>
      </c:valAx>
      <c:spPr>
        <a:ln>
          <a:solidFill>
            <a:schemeClr val="tx1"/>
          </a:solidFill>
        </a:ln>
      </c:spPr>
    </c:plotArea>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78" l="0.70000000000000062" r="0.70000000000000062" t="0.75000000000000078"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41192787794729541"/>
          <c:y val="2.4347826086956521E-2"/>
          <c:w val="0.5409153952843273"/>
          <c:h val="0.84347826086956523"/>
        </c:manualLayout>
      </c:layout>
      <c:barChart>
        <c:barDir val="bar"/>
        <c:grouping val="clustered"/>
        <c:varyColors val="0"/>
        <c:ser>
          <c:idx val="0"/>
          <c:order val="0"/>
          <c:spPr>
            <a:solidFill>
              <a:srgbClr val="6C4B7B"/>
            </a:solidFill>
          </c:spPr>
          <c:invertIfNegative val="0"/>
          <c:cat>
            <c:strRef>
              <c:f>'Nivel 1-Gráficas'!$A$8:$A$24</c:f>
              <c:strCache>
                <c:ptCount val="17"/>
                <c:pt idx="0">
                  <c:v>Combustión de carbón y otros usos de carbón</c:v>
                </c:pt>
                <c:pt idx="1">
                  <c:v>Combustión de otros combustibles fósiles y biomasa*4</c:v>
                </c:pt>
                <c:pt idx="2">
                  <c:v>Producción de petróleo y gas</c:v>
                </c:pt>
                <c:pt idx="3">
                  <c:v>Producción primaria de metales (excepto producción de oro mediante amalgamación)</c:v>
                </c:pt>
                <c:pt idx="4">
                  <c:v>Extracción de oro con aleación de mercurio</c:v>
                </c:pt>
                <c:pt idx="5">
                  <c:v>Producción de otros materiales*5*8</c:v>
                </c:pt>
                <c:pt idx="6">
                  <c:v>Producción de cloro-álcali con celdas de mercurio</c:v>
                </c:pt>
                <c:pt idx="7">
                  <c:v>Otra producción de productos químicos y polímeros*6</c:v>
                </c:pt>
                <c:pt idx="8">
                  <c:v>Producción de productos con contenido de mercurio</c:v>
                </c:pt>
                <c:pt idx="9">
                  <c:v>Uso y eliminación de empastes de amalgamas dentales</c:v>
                </c:pt>
                <c:pt idx="10">
                  <c:v>Uso y eliminación de otros productos*7</c:v>
                </c:pt>
                <c:pt idx="11">
                  <c:v>Producción de metales reciclados</c:v>
                </c:pt>
                <c:pt idx="12">
                  <c:v>Incineración de desechos y quema de desechos al aire libre*1</c:v>
                </c:pt>
                <c:pt idx="13">
                  <c:v>Depósito de desechos*1</c:v>
                </c:pt>
                <c:pt idx="14">
                  <c:v>Vertido informal de desechos generales *1*2</c:v>
                </c:pt>
                <c:pt idx="15">
                  <c:v>Sistema/tratamiento de aguas residuales *3</c:v>
                </c:pt>
                <c:pt idx="16">
                  <c:v>Crematorios y cementerios</c:v>
                </c:pt>
              </c:strCache>
            </c:strRef>
          </c:cat>
          <c:val>
            <c:numRef>
              <c:f>'Nivel 1-Gráficas'!$G$8:$G$24</c:f>
              <c:numCache>
                <c:formatCode>#,##0</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extLst>
            <c:ext xmlns:c16="http://schemas.microsoft.com/office/drawing/2014/chart" uri="{C3380CC4-5D6E-409C-BE32-E72D297353CC}">
              <c16:uniqueId val="{00000000-3E0D-4613-87D3-BAAFE4D577CA}"/>
            </c:ext>
          </c:extLst>
        </c:ser>
        <c:dLbls>
          <c:showLegendKey val="0"/>
          <c:showVal val="0"/>
          <c:showCatName val="0"/>
          <c:showSerName val="0"/>
          <c:showPercent val="0"/>
          <c:showBubbleSize val="0"/>
        </c:dLbls>
        <c:gapWidth val="150"/>
        <c:axId val="285433568"/>
        <c:axId val="285435920"/>
      </c:barChart>
      <c:catAx>
        <c:axId val="285433568"/>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285435920"/>
        <c:crosses val="autoZero"/>
        <c:auto val="1"/>
        <c:lblAlgn val="ctr"/>
        <c:lblOffset val="100"/>
        <c:noMultiLvlLbl val="0"/>
      </c:catAx>
      <c:valAx>
        <c:axId val="285435920"/>
        <c:scaling>
          <c:orientation val="minMax"/>
        </c:scaling>
        <c:delete val="0"/>
        <c:axPos val="b"/>
        <c:majorGridlines/>
        <c:minorGridlines/>
        <c:title>
          <c:tx>
            <c:rich>
              <a:bodyPr/>
              <a:lstStyle/>
              <a:p>
                <a:pPr>
                  <a:defRPr sz="1800" b="1" i="0" u="none" strike="noStrike" baseline="0">
                    <a:solidFill>
                      <a:srgbClr val="000000"/>
                    </a:solidFill>
                    <a:latin typeface="Calibri"/>
                    <a:ea typeface="Calibri"/>
                    <a:cs typeface="Calibri"/>
                  </a:defRPr>
                </a:pPr>
                <a:r>
                  <a:rPr lang="es-ES" sz="1800" b="1" i="0" baseline="0">
                    <a:effectLst/>
                  </a:rPr>
                  <a:t>Emisiones de mercurio estimadas a los desechos generales (kg Hg/a)</a:t>
                </a:r>
                <a:endParaRPr lang="en-US">
                  <a:effectLst/>
                </a:endParaRPr>
              </a:p>
            </c:rich>
          </c:tx>
          <c:layout>
            <c:manualLayout>
              <c:xMode val="edge"/>
              <c:yMode val="edge"/>
              <c:x val="0.27235052349225569"/>
              <c:y val="0.89113043478260867"/>
            </c:manualLayout>
          </c:layout>
          <c:overlay val="0"/>
        </c:title>
        <c:numFmt formatCode="#,##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285433568"/>
        <c:crosses val="max"/>
        <c:crossBetween val="between"/>
      </c:valAx>
      <c:spPr>
        <a:ln>
          <a:solidFill>
            <a:schemeClr val="tx1"/>
          </a:solidFill>
        </a:ln>
      </c:spPr>
    </c:plotArea>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1" l="0.70000000000000062" r="0.70000000000000062" t="0.75000000000000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41192787794729541"/>
          <c:y val="2.464788732394366E-2"/>
          <c:w val="0.5409153952843273"/>
          <c:h val="0.84154929577464788"/>
        </c:manualLayout>
      </c:layout>
      <c:barChart>
        <c:barDir val="bar"/>
        <c:grouping val="clustered"/>
        <c:varyColors val="0"/>
        <c:ser>
          <c:idx val="0"/>
          <c:order val="0"/>
          <c:spPr>
            <a:solidFill>
              <a:schemeClr val="bg1">
                <a:lumMod val="65000"/>
              </a:schemeClr>
            </a:solidFill>
          </c:spPr>
          <c:invertIfNegative val="0"/>
          <c:cat>
            <c:strRef>
              <c:f>'Nivel 1-Gráficas'!$A$8:$A$24</c:f>
              <c:strCache>
                <c:ptCount val="17"/>
                <c:pt idx="0">
                  <c:v>Combustión de carbón y otros usos de carbón</c:v>
                </c:pt>
                <c:pt idx="1">
                  <c:v>Combustión de otros combustibles fósiles y biomasa*4</c:v>
                </c:pt>
                <c:pt idx="2">
                  <c:v>Producción de petróleo y gas</c:v>
                </c:pt>
                <c:pt idx="3">
                  <c:v>Producción primaria de metales (excepto producción de oro mediante amalgamación)</c:v>
                </c:pt>
                <c:pt idx="4">
                  <c:v>Extracción de oro con aleación de mercurio</c:v>
                </c:pt>
                <c:pt idx="5">
                  <c:v>Producción de otros materiales*5*8</c:v>
                </c:pt>
                <c:pt idx="6">
                  <c:v>Producción de cloro-álcali con celdas de mercurio</c:v>
                </c:pt>
                <c:pt idx="7">
                  <c:v>Otra producción de productos químicos y polímeros*6</c:v>
                </c:pt>
                <c:pt idx="8">
                  <c:v>Producción de productos con contenido de mercurio</c:v>
                </c:pt>
                <c:pt idx="9">
                  <c:v>Uso y eliminación de empastes de amalgamas dentales</c:v>
                </c:pt>
                <c:pt idx="10">
                  <c:v>Uso y eliminación de otros productos*7</c:v>
                </c:pt>
                <c:pt idx="11">
                  <c:v>Producción de metales reciclados</c:v>
                </c:pt>
                <c:pt idx="12">
                  <c:v>Incineración de desechos y quema de desechos al aire libre*1</c:v>
                </c:pt>
                <c:pt idx="13">
                  <c:v>Depósito de desechos*1</c:v>
                </c:pt>
                <c:pt idx="14">
                  <c:v>Vertido informal de desechos generales *1*2</c:v>
                </c:pt>
                <c:pt idx="15">
                  <c:v>Sistema/tratamiento de aguas residuales *3</c:v>
                </c:pt>
                <c:pt idx="16">
                  <c:v>Crematorios y cementerios</c:v>
                </c:pt>
              </c:strCache>
            </c:strRef>
          </c:cat>
          <c:val>
            <c:numRef>
              <c:f>'Nivel 1-Gráficas'!$H$8:$H$24</c:f>
              <c:numCache>
                <c:formatCode>#,##0</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extLst>
            <c:ext xmlns:c16="http://schemas.microsoft.com/office/drawing/2014/chart" uri="{C3380CC4-5D6E-409C-BE32-E72D297353CC}">
              <c16:uniqueId val="{00000000-56F1-4A32-93CA-980BC4C924D6}"/>
            </c:ext>
          </c:extLst>
        </c:ser>
        <c:dLbls>
          <c:showLegendKey val="0"/>
          <c:showVal val="0"/>
          <c:showCatName val="0"/>
          <c:showSerName val="0"/>
          <c:showPercent val="0"/>
          <c:showBubbleSize val="0"/>
        </c:dLbls>
        <c:gapWidth val="150"/>
        <c:axId val="285435528"/>
        <c:axId val="285432392"/>
      </c:barChart>
      <c:catAx>
        <c:axId val="285435528"/>
        <c:scaling>
          <c:orientation val="maxMin"/>
        </c:scaling>
        <c:delete val="0"/>
        <c:axPos val="l"/>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285432392"/>
        <c:crosses val="autoZero"/>
        <c:auto val="1"/>
        <c:lblAlgn val="ctr"/>
        <c:lblOffset val="100"/>
        <c:noMultiLvlLbl val="0"/>
      </c:catAx>
      <c:valAx>
        <c:axId val="285432392"/>
        <c:scaling>
          <c:orientation val="minMax"/>
        </c:scaling>
        <c:delete val="0"/>
        <c:axPos val="b"/>
        <c:majorGridlines/>
        <c:minorGridlines/>
        <c:title>
          <c:tx>
            <c:rich>
              <a:bodyPr/>
              <a:lstStyle/>
              <a:p>
                <a:pPr>
                  <a:defRPr sz="1800" b="1" i="0" u="none" strike="noStrike" baseline="0">
                    <a:solidFill>
                      <a:srgbClr val="000000"/>
                    </a:solidFill>
                    <a:latin typeface="Calibri"/>
                    <a:ea typeface="Calibri"/>
                    <a:cs typeface="Calibri"/>
                  </a:defRPr>
                </a:pPr>
                <a:r>
                  <a:rPr lang="es-ES" sz="1800" b="1" i="0" baseline="0">
                    <a:effectLst/>
                  </a:rPr>
                  <a:t>Emisiones de mercurio estimadas, desechos espec. del sector (kg Hg/a)</a:t>
                </a:r>
                <a:endParaRPr lang="en-US">
                  <a:effectLst/>
                </a:endParaRPr>
              </a:p>
            </c:rich>
          </c:tx>
          <c:layout>
            <c:manualLayout>
              <c:xMode val="edge"/>
              <c:yMode val="edge"/>
              <c:x val="0.20236708275543228"/>
              <c:y val="0.89321965916232293"/>
            </c:manualLayout>
          </c:layout>
          <c:overlay val="0"/>
        </c:title>
        <c:numFmt formatCode="#,##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285435528"/>
        <c:crosses val="max"/>
        <c:crossBetween val="between"/>
      </c:valAx>
      <c:spPr>
        <a:ln>
          <a:solidFill>
            <a:schemeClr val="tx1"/>
          </a:solidFill>
        </a:ln>
      </c:spPr>
    </c:plotArea>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122" l="0.70000000000000062" r="0.70000000000000062" t="0.75000000000000122"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0</xdr:col>
      <xdr:colOff>0</xdr:colOff>
      <xdr:row>45</xdr:row>
      <xdr:rowOff>66675</xdr:rowOff>
    </xdr:from>
    <xdr:to>
      <xdr:col>4</xdr:col>
      <xdr:colOff>666750</xdr:colOff>
      <xdr:row>79</xdr:row>
      <xdr:rowOff>57150</xdr:rowOff>
    </xdr:to>
    <xdr:graphicFrame macro="">
      <xdr:nvGraphicFramePr>
        <xdr:cNvPr id="6572851" name="Chart 2">
          <a:extLst>
            <a:ext uri="{FF2B5EF4-FFF2-40B4-BE49-F238E27FC236}">
              <a16:creationId xmlns:a16="http://schemas.microsoft.com/office/drawing/2014/main" id="{00000000-0008-0000-1600-0000334B64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81</xdr:row>
      <xdr:rowOff>9525</xdr:rowOff>
    </xdr:from>
    <xdr:to>
      <xdr:col>4</xdr:col>
      <xdr:colOff>685800</xdr:colOff>
      <xdr:row>117</xdr:row>
      <xdr:rowOff>57150</xdr:rowOff>
    </xdr:to>
    <xdr:graphicFrame macro="">
      <xdr:nvGraphicFramePr>
        <xdr:cNvPr id="6572852" name="Chart 3">
          <a:extLst>
            <a:ext uri="{FF2B5EF4-FFF2-40B4-BE49-F238E27FC236}">
              <a16:creationId xmlns:a16="http://schemas.microsoft.com/office/drawing/2014/main" id="{00000000-0008-0000-1600-0000344B64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157</xdr:row>
      <xdr:rowOff>38100</xdr:rowOff>
    </xdr:from>
    <xdr:to>
      <xdr:col>4</xdr:col>
      <xdr:colOff>695325</xdr:colOff>
      <xdr:row>193</xdr:row>
      <xdr:rowOff>66675</xdr:rowOff>
    </xdr:to>
    <xdr:graphicFrame macro="">
      <xdr:nvGraphicFramePr>
        <xdr:cNvPr id="6572853" name="Chart 9">
          <a:extLst>
            <a:ext uri="{FF2B5EF4-FFF2-40B4-BE49-F238E27FC236}">
              <a16:creationId xmlns:a16="http://schemas.microsoft.com/office/drawing/2014/main" id="{00000000-0008-0000-1600-0000354B64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119</xdr:row>
      <xdr:rowOff>66675</xdr:rowOff>
    </xdr:from>
    <xdr:to>
      <xdr:col>4</xdr:col>
      <xdr:colOff>704850</xdr:colOff>
      <xdr:row>155</xdr:row>
      <xdr:rowOff>95250</xdr:rowOff>
    </xdr:to>
    <xdr:graphicFrame macro="">
      <xdr:nvGraphicFramePr>
        <xdr:cNvPr id="6572854" name="Chart 10">
          <a:extLst>
            <a:ext uri="{FF2B5EF4-FFF2-40B4-BE49-F238E27FC236}">
              <a16:creationId xmlns:a16="http://schemas.microsoft.com/office/drawing/2014/main" id="{00000000-0008-0000-1600-0000364B64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0</xdr:colOff>
      <xdr:row>195</xdr:row>
      <xdr:rowOff>114300</xdr:rowOff>
    </xdr:from>
    <xdr:to>
      <xdr:col>4</xdr:col>
      <xdr:colOff>704850</xdr:colOff>
      <xdr:row>229</xdr:row>
      <xdr:rowOff>123825</xdr:rowOff>
    </xdr:to>
    <xdr:graphicFrame macro="">
      <xdr:nvGraphicFramePr>
        <xdr:cNvPr id="6572855" name="Chart 16">
          <a:extLst>
            <a:ext uri="{FF2B5EF4-FFF2-40B4-BE49-F238E27FC236}">
              <a16:creationId xmlns:a16="http://schemas.microsoft.com/office/drawing/2014/main" id="{00000000-0008-0000-1600-0000374B64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231</xdr:row>
      <xdr:rowOff>152400</xdr:rowOff>
    </xdr:from>
    <xdr:to>
      <xdr:col>4</xdr:col>
      <xdr:colOff>704850</xdr:colOff>
      <xdr:row>265</xdr:row>
      <xdr:rowOff>123825</xdr:rowOff>
    </xdr:to>
    <xdr:graphicFrame macro="">
      <xdr:nvGraphicFramePr>
        <xdr:cNvPr id="6572856" name="Chart 17">
          <a:extLst>
            <a:ext uri="{FF2B5EF4-FFF2-40B4-BE49-F238E27FC236}">
              <a16:creationId xmlns:a16="http://schemas.microsoft.com/office/drawing/2014/main" id="{00000000-0008-0000-1600-0000384B64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0</xdr:colOff>
      <xdr:row>267</xdr:row>
      <xdr:rowOff>66675</xdr:rowOff>
    </xdr:from>
    <xdr:to>
      <xdr:col>4</xdr:col>
      <xdr:colOff>704850</xdr:colOff>
      <xdr:row>300</xdr:row>
      <xdr:rowOff>133350</xdr:rowOff>
    </xdr:to>
    <xdr:graphicFrame macro="">
      <xdr:nvGraphicFramePr>
        <xdr:cNvPr id="6572857" name="Chart 17">
          <a:extLst>
            <a:ext uri="{FF2B5EF4-FFF2-40B4-BE49-F238E27FC236}">
              <a16:creationId xmlns:a16="http://schemas.microsoft.com/office/drawing/2014/main" id="{00000000-0008-0000-1600-0000394B64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Users/Ronkainen/OneDrive%20-%20United%20Nations/UNEP/ToolkitTranslations/French/NEW_Toolkit%20in%20French/FinalVersions/Toolkit-inventaire-niveau%201-Feuille%20de%20calcul-Janvier2017.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C:/Users/Ronkainen/Downloads/Hg-Toolkit-Inventory%20Level%20%201-Calculation-Spreadsheet-January2017%20(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tape 1-Données pays"/>
      <sheetName val="Etape 2-Energie"/>
      <sheetName val="5-1 Fuels"/>
      <sheetName val="Etape 3-Métaux-MatPre"/>
      <sheetName val="5-2 Prim metal"/>
      <sheetName val="5-3 Other min + mat"/>
      <sheetName val="Etape 4-Utilis. Industrielle Hg"/>
      <sheetName val="5-4 Int Hg in Industry"/>
      <sheetName val="Etape5-Trait.+recyclage déchets"/>
      <sheetName val="5-8 Waste incin"/>
      <sheetName val="5-9 Waste depo and water treatm"/>
      <sheetName val="5-7 Recycl metals"/>
      <sheetName val="Etape6-Produits-substances Hg"/>
      <sheetName val="Countrydata"/>
      <sheetName val="5-5 Cons prod"/>
      <sheetName val="5-6 Other int use"/>
      <sheetName val="Etape7-Crématoriums-cimetières"/>
      <sheetName val="Etape8-Autres sources Hg"/>
      <sheetName val="Insérer résultats IN2"/>
      <sheetName val="Range-thresholds"/>
      <sheetName val="Unités de conversion"/>
      <sheetName val="Niveau 1-SommExec"/>
      <sheetName val="Niveau 1-Graphiques"/>
      <sheetName val="Niveau1- sources Hg identifiées"/>
      <sheetName val="Niveau 1-Sommaire des entréesHg"/>
      <sheetName val="Niveau 1-Sommaire des rejets"/>
      <sheetName val="Niveau 1- Sommaire général"/>
      <sheetName val="Level 2-introduction"/>
      <sheetName val="Level 2-summary"/>
      <sheetName val="Contrôles par défaut"/>
      <sheetName val="Feuille1"/>
      <sheetName val="Translation note"/>
      <sheetName val="5-10 Cremat and cem"/>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8">
          <cell r="A8" t="str">
            <v>Cliquez ici pour sélectionner le pays</v>
          </cell>
        </row>
        <row r="9">
          <cell r="A9" t="str">
            <v>Afghanistan</v>
          </cell>
        </row>
        <row r="10">
          <cell r="A10" t="str">
            <v>Albania*8</v>
          </cell>
        </row>
        <row r="11">
          <cell r="A11" t="str">
            <v>Algeria</v>
          </cell>
        </row>
        <row r="12">
          <cell r="A12" t="str">
            <v>Andorra*7</v>
          </cell>
        </row>
        <row r="13">
          <cell r="A13" t="str">
            <v>Angola</v>
          </cell>
        </row>
        <row r="14">
          <cell r="A14" t="str">
            <v>Antigua and Barbuda*8</v>
          </cell>
        </row>
        <row r="15">
          <cell r="A15" t="str">
            <v>Argentina</v>
          </cell>
        </row>
        <row r="16">
          <cell r="A16" t="str">
            <v>Armenia</v>
          </cell>
        </row>
        <row r="17">
          <cell r="A17" t="str">
            <v>Australia*8</v>
          </cell>
        </row>
        <row r="18">
          <cell r="A18" t="str">
            <v>Austria</v>
          </cell>
        </row>
        <row r="19">
          <cell r="A19" t="str">
            <v>Azerbaijan*8</v>
          </cell>
        </row>
        <row r="20">
          <cell r="A20" t="str">
            <v>Bahamas*8</v>
          </cell>
        </row>
        <row r="21">
          <cell r="A21" t="str">
            <v>Bahrain</v>
          </cell>
        </row>
        <row r="22">
          <cell r="A22" t="str">
            <v>Bangladesh</v>
          </cell>
        </row>
        <row r="23">
          <cell r="A23" t="str">
            <v>Barbados*8</v>
          </cell>
        </row>
        <row r="24">
          <cell r="A24" t="str">
            <v>Belarus*9</v>
          </cell>
        </row>
        <row r="25">
          <cell r="A25" t="str">
            <v>Belgium</v>
          </cell>
        </row>
        <row r="26">
          <cell r="A26" t="str">
            <v>Belize*8</v>
          </cell>
        </row>
        <row r="27">
          <cell r="A27" t="str">
            <v>Benin</v>
          </cell>
        </row>
        <row r="28">
          <cell r="A28" t="str">
            <v>Bhutan*6</v>
          </cell>
        </row>
        <row r="29">
          <cell r="A29" t="str">
            <v>Bolivia</v>
          </cell>
        </row>
        <row r="30">
          <cell r="A30" t="str">
            <v>Bosnia and Herzegovina*6</v>
          </cell>
        </row>
        <row r="31">
          <cell r="A31" t="str">
            <v>Botswana</v>
          </cell>
        </row>
        <row r="32">
          <cell r="A32" t="str">
            <v>Brazil</v>
          </cell>
        </row>
        <row r="33">
          <cell r="A33" t="str">
            <v>Brunei Darussalam</v>
          </cell>
        </row>
        <row r="34">
          <cell r="A34" t="str">
            <v>Bulgaria*8</v>
          </cell>
        </row>
        <row r="35">
          <cell r="A35" t="str">
            <v>Burkina Faso</v>
          </cell>
        </row>
        <row r="36">
          <cell r="A36" t="str">
            <v>Burundi*6</v>
          </cell>
        </row>
        <row r="37">
          <cell r="A37" t="str">
            <v>Cambodia</v>
          </cell>
        </row>
        <row r="38">
          <cell r="A38" t="str">
            <v>Cameroon</v>
          </cell>
        </row>
        <row r="39">
          <cell r="A39" t="str">
            <v>Canada*9</v>
          </cell>
        </row>
        <row r="40">
          <cell r="A40" t="str">
            <v>Cape Verde*6</v>
          </cell>
        </row>
        <row r="41">
          <cell r="A41" t="str">
            <v>Central African Republic*6</v>
          </cell>
        </row>
        <row r="42">
          <cell r="A42" t="str">
            <v>Chad*6</v>
          </cell>
        </row>
        <row r="43">
          <cell r="A43" t="str">
            <v>Chile</v>
          </cell>
        </row>
        <row r="44">
          <cell r="A44" t="str">
            <v>China</v>
          </cell>
        </row>
        <row r="45">
          <cell r="A45" t="str">
            <v>Chinese Taipei/Taiwan*10</v>
          </cell>
        </row>
        <row r="46">
          <cell r="A46" t="str">
            <v>Colombia</v>
          </cell>
        </row>
        <row r="47">
          <cell r="A47" t="str">
            <v>Comoros*6</v>
          </cell>
        </row>
        <row r="48">
          <cell r="A48" t="str">
            <v>Cook Islands*8</v>
          </cell>
        </row>
        <row r="49">
          <cell r="A49" t="str">
            <v>Costa Rica</v>
          </cell>
        </row>
        <row r="50">
          <cell r="A50" t="str">
            <v>Côte d'Ivoire</v>
          </cell>
        </row>
        <row r="51">
          <cell r="A51" t="str">
            <v>Croatia*8</v>
          </cell>
        </row>
        <row r="52">
          <cell r="A52" t="str">
            <v>Cuba</v>
          </cell>
        </row>
        <row r="53">
          <cell r="A53" t="str">
            <v>Cyprus*9</v>
          </cell>
        </row>
        <row r="54">
          <cell r="A54" t="str">
            <v>Czech Republic*8</v>
          </cell>
        </row>
        <row r="55">
          <cell r="A55" t="str">
            <v>Democratic People's Republic of Korea</v>
          </cell>
        </row>
        <row r="56">
          <cell r="A56" t="str">
            <v>Democratic Republic of the Congo</v>
          </cell>
        </row>
        <row r="57">
          <cell r="A57" t="str">
            <v>Denmark</v>
          </cell>
        </row>
        <row r="58">
          <cell r="A58" t="str">
            <v>Djibouti*6</v>
          </cell>
        </row>
        <row r="59">
          <cell r="A59" t="str">
            <v>Dominica*6</v>
          </cell>
        </row>
        <row r="60">
          <cell r="A60" t="str">
            <v>Dominican Republic</v>
          </cell>
        </row>
        <row r="61">
          <cell r="A61" t="str">
            <v>Ecuador</v>
          </cell>
        </row>
        <row r="62">
          <cell r="A62" t="str">
            <v>Egypt</v>
          </cell>
        </row>
        <row r="63">
          <cell r="A63" t="str">
            <v>El Salvador</v>
          </cell>
        </row>
        <row r="64">
          <cell r="A64" t="str">
            <v>Equatorial Guinea*11</v>
          </cell>
        </row>
        <row r="65">
          <cell r="A65" t="str">
            <v>Eritrea</v>
          </cell>
        </row>
        <row r="66">
          <cell r="A66" t="str">
            <v>Estonia*8</v>
          </cell>
        </row>
        <row r="67">
          <cell r="A67" t="str">
            <v>Eswatini (Swaziland)</v>
          </cell>
        </row>
        <row r="68">
          <cell r="A68" t="str">
            <v>Ethiopia*8*13</v>
          </cell>
        </row>
        <row r="69">
          <cell r="A69" t="str">
            <v>Fiji</v>
          </cell>
        </row>
        <row r="70">
          <cell r="A70" t="str">
            <v>Finland</v>
          </cell>
        </row>
        <row r="71">
          <cell r="A71" t="str">
            <v>France</v>
          </cell>
        </row>
        <row r="72">
          <cell r="A72" t="str">
            <v>Gabon</v>
          </cell>
        </row>
        <row r="73">
          <cell r="A73" t="str">
            <v>Gambia*6</v>
          </cell>
        </row>
        <row r="74">
          <cell r="A74" t="str">
            <v>Georgia*6</v>
          </cell>
        </row>
        <row r="75">
          <cell r="A75" t="str">
            <v>Germany</v>
          </cell>
        </row>
        <row r="76">
          <cell r="A76" t="str">
            <v>Ghana</v>
          </cell>
        </row>
        <row r="77">
          <cell r="A77" t="str">
            <v>Greece</v>
          </cell>
        </row>
        <row r="78">
          <cell r="A78" t="str">
            <v>Grenada*8</v>
          </cell>
        </row>
        <row r="79">
          <cell r="A79" t="str">
            <v>Guatemala</v>
          </cell>
        </row>
        <row r="80">
          <cell r="A80" t="str">
            <v>Guinea*6</v>
          </cell>
        </row>
        <row r="81">
          <cell r="A81" t="str">
            <v>Guinea-Bissau*6</v>
          </cell>
        </row>
        <row r="82">
          <cell r="A82" t="str">
            <v>Guyana*6</v>
          </cell>
        </row>
        <row r="83">
          <cell r="A83" t="str">
            <v>Haiti</v>
          </cell>
        </row>
        <row r="84">
          <cell r="A84" t="str">
            <v>Honduras</v>
          </cell>
        </row>
        <row r="85">
          <cell r="A85" t="str">
            <v>Hungary*8</v>
          </cell>
        </row>
        <row r="86">
          <cell r="A86" t="str">
            <v>Iceland</v>
          </cell>
        </row>
        <row r="87">
          <cell r="A87" t="str">
            <v>India</v>
          </cell>
        </row>
        <row r="88">
          <cell r="A88" t="str">
            <v>Indonesia</v>
          </cell>
        </row>
        <row r="89">
          <cell r="A89" t="str">
            <v>Iran, Islamic Republic of</v>
          </cell>
        </row>
        <row r="90">
          <cell r="A90" t="str">
            <v>Iraq</v>
          </cell>
        </row>
        <row r="91">
          <cell r="A91" t="str">
            <v>Ireland</v>
          </cell>
        </row>
        <row r="92">
          <cell r="A92" t="str">
            <v>Israel</v>
          </cell>
        </row>
        <row r="93">
          <cell r="A93" t="str">
            <v>Italy</v>
          </cell>
        </row>
        <row r="94">
          <cell r="A94" t="str">
            <v>Jamaica</v>
          </cell>
        </row>
        <row r="95">
          <cell r="A95" t="str">
            <v>Japan*8</v>
          </cell>
        </row>
        <row r="96">
          <cell r="A96" t="str">
            <v>Jordan</v>
          </cell>
        </row>
        <row r="97">
          <cell r="A97" t="str">
            <v>Kazakhstan*9</v>
          </cell>
        </row>
        <row r="98">
          <cell r="A98" t="str">
            <v>Kenya</v>
          </cell>
        </row>
        <row r="99">
          <cell r="A99" t="str">
            <v>Kiribati*12</v>
          </cell>
        </row>
        <row r="100">
          <cell r="A100" t="str">
            <v>Kuwait</v>
          </cell>
        </row>
        <row r="101">
          <cell r="A101" t="str">
            <v>Kyrgyzstan</v>
          </cell>
        </row>
        <row r="102">
          <cell r="A102" t="str">
            <v>Lao People's Democratic Republic</v>
          </cell>
        </row>
        <row r="103">
          <cell r="A103" t="str">
            <v>Latvia*8</v>
          </cell>
        </row>
        <row r="104">
          <cell r="A104" t="str">
            <v>Lebanon</v>
          </cell>
        </row>
        <row r="105">
          <cell r="A105" t="str">
            <v>Lesotho</v>
          </cell>
        </row>
        <row r="106">
          <cell r="A106" t="str">
            <v>Liberia*6</v>
          </cell>
        </row>
        <row r="107">
          <cell r="A107" t="str">
            <v>Libyan Arab Jamahiriya</v>
          </cell>
        </row>
        <row r="108">
          <cell r="A108" t="str">
            <v>Lithuania*8</v>
          </cell>
        </row>
        <row r="109">
          <cell r="A109" t="str">
            <v>Luxembourg</v>
          </cell>
        </row>
        <row r="110">
          <cell r="A110" t="str">
            <v>Madagascar</v>
          </cell>
        </row>
        <row r="111">
          <cell r="A111" t="str">
            <v>Malawi*14</v>
          </cell>
        </row>
        <row r="112">
          <cell r="A112" t="str">
            <v>Malaysia</v>
          </cell>
        </row>
        <row r="113">
          <cell r="A113" t="str">
            <v>Maldives*6</v>
          </cell>
        </row>
        <row r="114">
          <cell r="A114" t="str">
            <v>Mali*6</v>
          </cell>
        </row>
        <row r="115">
          <cell r="A115" t="str">
            <v>Malta</v>
          </cell>
        </row>
        <row r="116">
          <cell r="A116" t="str">
            <v>Marshall Islands*8</v>
          </cell>
        </row>
        <row r="117">
          <cell r="A117" t="str">
            <v>Mauritania*8</v>
          </cell>
        </row>
        <row r="118">
          <cell r="A118" t="str">
            <v>Mauritius</v>
          </cell>
        </row>
        <row r="119">
          <cell r="A119" t="str">
            <v>Mexico*8</v>
          </cell>
        </row>
        <row r="120">
          <cell r="A120" t="str">
            <v>Micronesia, Federated States of*8</v>
          </cell>
        </row>
        <row r="121">
          <cell r="A121" t="str">
            <v>Monaco</v>
          </cell>
        </row>
        <row r="122">
          <cell r="A122" t="str">
            <v>Mongolia*8</v>
          </cell>
        </row>
        <row r="123">
          <cell r="A123" t="str">
            <v>Montenegro*5</v>
          </cell>
        </row>
        <row r="124">
          <cell r="A124" t="str">
            <v>Morocco</v>
          </cell>
        </row>
        <row r="125">
          <cell r="A125" t="str">
            <v>Mozambique</v>
          </cell>
        </row>
        <row r="126">
          <cell r="A126" t="str">
            <v>Myanmar</v>
          </cell>
        </row>
        <row r="127">
          <cell r="A127" t="str">
            <v>Namibia</v>
          </cell>
        </row>
        <row r="128">
          <cell r="A128" t="str">
            <v>Nauru*8*12</v>
          </cell>
        </row>
        <row r="129">
          <cell r="A129" t="str">
            <v>Nepal</v>
          </cell>
        </row>
        <row r="130">
          <cell r="A130" t="str">
            <v>Netherlands</v>
          </cell>
        </row>
        <row r="131">
          <cell r="A131" t="str">
            <v>New Zealand*8</v>
          </cell>
        </row>
        <row r="132">
          <cell r="A132" t="str">
            <v>Nicaragua</v>
          </cell>
        </row>
        <row r="133">
          <cell r="A133" t="str">
            <v>Niger*8</v>
          </cell>
        </row>
        <row r="134">
          <cell r="A134" t="str">
            <v>Nigeria</v>
          </cell>
        </row>
        <row r="135">
          <cell r="A135" t="str">
            <v>Niue*8</v>
          </cell>
        </row>
        <row r="136">
          <cell r="A136" t="str">
            <v>Norway</v>
          </cell>
        </row>
        <row r="137">
          <cell r="A137" t="str">
            <v>Oman</v>
          </cell>
        </row>
        <row r="138">
          <cell r="A138" t="str">
            <v>Pakistan</v>
          </cell>
        </row>
        <row r="139">
          <cell r="A139" t="str">
            <v>Palau*8</v>
          </cell>
        </row>
        <row r="140">
          <cell r="A140" t="str">
            <v>Panama</v>
          </cell>
        </row>
        <row r="141">
          <cell r="A141" t="str">
            <v>Papua New Guinea*6</v>
          </cell>
        </row>
        <row r="142">
          <cell r="A142" t="str">
            <v>Paraguay</v>
          </cell>
        </row>
        <row r="143">
          <cell r="A143" t="str">
            <v>Peru</v>
          </cell>
        </row>
        <row r="144">
          <cell r="A144" t="str">
            <v>Philippines</v>
          </cell>
        </row>
        <row r="145">
          <cell r="A145" t="str">
            <v>Poland*8</v>
          </cell>
        </row>
        <row r="146">
          <cell r="A146" t="str">
            <v>Portugal</v>
          </cell>
        </row>
        <row r="147">
          <cell r="A147" t="str">
            <v>Qatar</v>
          </cell>
        </row>
        <row r="148">
          <cell r="A148" t="str">
            <v>Republic of Korea*8</v>
          </cell>
        </row>
        <row r="149">
          <cell r="A149" t="str">
            <v>Republic of Moldova*6</v>
          </cell>
        </row>
        <row r="150">
          <cell r="A150" t="str">
            <v>Republic of the Congo</v>
          </cell>
        </row>
        <row r="151">
          <cell r="A151" t="str">
            <v>Romania</v>
          </cell>
        </row>
        <row r="152">
          <cell r="A152" t="str">
            <v>Russian Federation*8</v>
          </cell>
        </row>
        <row r="153">
          <cell r="A153" t="str">
            <v>Rwanda*6</v>
          </cell>
        </row>
        <row r="154">
          <cell r="A154" t="str">
            <v>Saint Kitts and Nevis</v>
          </cell>
        </row>
        <row r="155">
          <cell r="A155" t="str">
            <v>Saint Lucia</v>
          </cell>
        </row>
        <row r="156">
          <cell r="A156" t="str">
            <v>Saint Vincent and the Grenadines*6</v>
          </cell>
        </row>
        <row r="157">
          <cell r="A157" t="str">
            <v>Samoa</v>
          </cell>
        </row>
        <row r="158">
          <cell r="A158" t="str">
            <v>San Marino*9</v>
          </cell>
        </row>
        <row r="159">
          <cell r="A159" t="str">
            <v>Sao Tome and Principe*8</v>
          </cell>
        </row>
        <row r="160">
          <cell r="A160" t="str">
            <v>Saudi Arabia</v>
          </cell>
        </row>
        <row r="161">
          <cell r="A161" t="str">
            <v>Senegal</v>
          </cell>
        </row>
        <row r="162">
          <cell r="A162" t="str">
            <v>Serbia*5*8</v>
          </cell>
        </row>
        <row r="163">
          <cell r="A163" t="str">
            <v>Seychelles*8</v>
          </cell>
        </row>
        <row r="164">
          <cell r="A164" t="str">
            <v>Sierra Leone*6</v>
          </cell>
        </row>
        <row r="165">
          <cell r="A165" t="str">
            <v>Singapore*8</v>
          </cell>
        </row>
        <row r="166">
          <cell r="A166" t="str">
            <v>Slovakia</v>
          </cell>
        </row>
        <row r="167">
          <cell r="A167" t="str">
            <v>Slovenia</v>
          </cell>
        </row>
        <row r="168">
          <cell r="A168" t="str">
            <v>Solomon Islands*6</v>
          </cell>
        </row>
        <row r="169">
          <cell r="A169" t="str">
            <v>Somalia*8</v>
          </cell>
        </row>
        <row r="170">
          <cell r="A170" t="str">
            <v>South Africa</v>
          </cell>
        </row>
        <row r="171">
          <cell r="A171" t="str">
            <v>Spain</v>
          </cell>
        </row>
        <row r="172">
          <cell r="A172" t="str">
            <v>Sri Lanka</v>
          </cell>
        </row>
        <row r="173">
          <cell r="A173" t="str">
            <v>Sudan</v>
          </cell>
        </row>
        <row r="174">
          <cell r="A174" t="str">
            <v>Suriname*8</v>
          </cell>
        </row>
        <row r="175">
          <cell r="A175" t="str">
            <v>Sweden</v>
          </cell>
        </row>
        <row r="176">
          <cell r="A176" t="str">
            <v>Switzerland</v>
          </cell>
        </row>
        <row r="177">
          <cell r="A177" t="str">
            <v>Syrian Arab Republic</v>
          </cell>
        </row>
        <row r="178">
          <cell r="A178" t="str">
            <v>Tajikistan*8</v>
          </cell>
        </row>
        <row r="179">
          <cell r="A179" t="str">
            <v>Tanzania*6*13</v>
          </cell>
        </row>
        <row r="180">
          <cell r="A180" t="str">
            <v>Thailand</v>
          </cell>
        </row>
        <row r="181">
          <cell r="A181" t="str">
            <v>The former Yugoslav Republic of Macedonia*8</v>
          </cell>
        </row>
        <row r="182">
          <cell r="A182" t="str">
            <v>Timor-Leste</v>
          </cell>
        </row>
        <row r="183">
          <cell r="A183" t="str">
            <v>Timor-Leste</v>
          </cell>
        </row>
        <row r="184">
          <cell r="A184" t="str">
            <v>Togo</v>
          </cell>
        </row>
        <row r="185">
          <cell r="A185" t="str">
            <v>Tonga</v>
          </cell>
        </row>
        <row r="186">
          <cell r="A186" t="str">
            <v>Trinidad and Tobago</v>
          </cell>
        </row>
        <row r="187">
          <cell r="A187" t="str">
            <v>Tunisia</v>
          </cell>
        </row>
        <row r="188">
          <cell r="A188" t="str">
            <v>Turkey*8</v>
          </cell>
        </row>
        <row r="189">
          <cell r="A189" t="str">
            <v>Turkmenistan*8</v>
          </cell>
        </row>
        <row r="190">
          <cell r="A190" t="str">
            <v>Tuvalu*8</v>
          </cell>
        </row>
        <row r="191">
          <cell r="A191" t="str">
            <v>Uganda</v>
          </cell>
        </row>
        <row r="192">
          <cell r="A192" t="str">
            <v>Ukraine</v>
          </cell>
        </row>
        <row r="193">
          <cell r="A193" t="str">
            <v>United Arab Emirates</v>
          </cell>
        </row>
        <row r="194">
          <cell r="A194" t="str">
            <v>United Kingdom</v>
          </cell>
        </row>
        <row r="195">
          <cell r="A195" t="str">
            <v>United Republic of Tanzania</v>
          </cell>
        </row>
        <row r="196">
          <cell r="A196" t="str">
            <v>United States of America</v>
          </cell>
        </row>
        <row r="197">
          <cell r="A197" t="str">
            <v>Uruguay</v>
          </cell>
        </row>
        <row r="198">
          <cell r="A198" t="str">
            <v>Uzbekistan</v>
          </cell>
        </row>
        <row r="199">
          <cell r="A199" t="str">
            <v>Vanuatu*8*12</v>
          </cell>
        </row>
        <row r="200">
          <cell r="A200" t="str">
            <v>Venezuela, Bolivarian Republic of</v>
          </cell>
        </row>
        <row r="201">
          <cell r="A201" t="str">
            <v>Viet Nam*4</v>
          </cell>
        </row>
        <row r="202">
          <cell r="A202" t="str">
            <v>Yemen</v>
          </cell>
        </row>
        <row r="203">
          <cell r="A203" t="str">
            <v>Zambia</v>
          </cell>
        </row>
        <row r="204">
          <cell r="A204" t="str">
            <v>Zimbabwe</v>
          </cell>
        </row>
        <row r="205">
          <cell r="A205" t="str">
            <v>Other OECD country</v>
          </cell>
        </row>
        <row r="206">
          <cell r="A206" t="str">
            <v>Other non-OECD country</v>
          </cell>
        </row>
      </sheetData>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row r="3">
          <cell r="B3" t="str">
            <v>Présent ?</v>
          </cell>
        </row>
        <row r="4">
          <cell r="B4" t="str">
            <v>O</v>
          </cell>
        </row>
        <row r="5">
          <cell r="B5" t="str">
            <v>N</v>
          </cell>
        </row>
        <row r="6">
          <cell r="B6" t="str">
            <v>?</v>
          </cell>
        </row>
        <row r="7">
          <cell r="B7" t="str">
            <v>O/N/?</v>
          </cell>
        </row>
        <row r="8">
          <cell r="B8" t="str">
            <v>O/N</v>
          </cell>
        </row>
        <row r="10">
          <cell r="B10" t="str">
            <v>Plus des 2/3 (deux tiers ; 67%) des déchets généraux sont collectés et déposés sur des décharges à épandage contrôlé ou incinérés avec une réduction de la pollution</v>
          </cell>
        </row>
        <row r="11">
          <cell r="B11" t="str">
            <v>Moins des 2/3 (deux tiers ; 67%) des déchets généraux sont collectés et déposés sur des décharges à épandage contrôlé ou incinérés avec une réduction de la pollution</v>
          </cell>
        </row>
        <row r="12">
          <cell r="B12" t="str">
            <v>Répondez O ou N dans la cellule B4 de la feuille "Etape 5- Traitement des déchets + recyclage"</v>
          </cell>
        </row>
        <row r="13">
          <cell r="B13" t="str">
            <v>Plus d'un tiers (33%) des déchets des  produits contenant du mercure sont collectés et traités séparément?</v>
          </cell>
        </row>
        <row r="14">
          <cell r="B14" t="str">
            <v>Moins d'un tiers (33%) des déchets des  produits contenant du mercure sont collectés et traités séparément?</v>
          </cell>
        </row>
        <row r="15">
          <cell r="B15" t="str">
            <v>L'apport estimé de Hg (ou des résultats équivalents du niveau 2) marqués en rouge est très élevé par rapport aux observations précédentes. Les données peuvent être correctes mais veuillez confirmer vos données de taux d'activité.</v>
          </cell>
        </row>
        <row r="16">
          <cell r="B16" t="str">
            <v>Voir Etape 5 cellule F4</v>
          </cell>
        </row>
      </sheetData>
      <sheetData sheetId="3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ep1-Country data"/>
      <sheetName val="Step2-Energy"/>
      <sheetName val="5-1 Fuels"/>
      <sheetName val="Step3-Metals-RawMat"/>
      <sheetName val="5-2 Prim metal"/>
      <sheetName val="5-3 Other min + mat"/>
      <sheetName val="Step4-Industrial Hg use"/>
      <sheetName val="5-4 Int Hg in Industry"/>
      <sheetName val="Step5-Waste treatment+recycling"/>
      <sheetName val="5-8 Waste incin"/>
      <sheetName val="5-9 Waste depo and water treatm"/>
      <sheetName val="5-7 Recycl metals"/>
      <sheetName val="Step6-Hg products-substances"/>
      <sheetName val="Countrydata"/>
      <sheetName val="5-5 Cons prod"/>
      <sheetName val="5-6 Other int use"/>
      <sheetName val="Step7-Crematoria-cemetaries"/>
      <sheetName val="Step8-Miscellannous Hg sources"/>
      <sheetName val="Insert IL2 results"/>
      <sheetName val="Range-thresholds"/>
      <sheetName val="Unit conversion"/>
      <sheetName val="Level 1-ExecSummary"/>
      <sheetName val="Level 1-Charts"/>
      <sheetName val="Level 1- Hg sources identified"/>
      <sheetName val="Level 1-summary of Hg inputs"/>
      <sheetName val="Level 1-summary of releases"/>
      <sheetName val="Level 1- total summary"/>
      <sheetName val="Level 2-introduction"/>
      <sheetName val="Level 2-summary"/>
      <sheetName val="Controls defaults"/>
      <sheetName val="Translation note"/>
      <sheetName val="5-10 Cremat and cem"/>
    </sheetNames>
    <sheetDataSet>
      <sheetData sheetId="0" refreshError="1"/>
      <sheetData sheetId="1" refreshError="1"/>
      <sheetData sheetId="2" refreshError="1"/>
      <sheetData sheetId="3" refreshError="1"/>
      <sheetData sheetId="4" refreshError="1"/>
      <sheetData sheetId="5" refreshError="1"/>
      <sheetData sheetId="6"/>
      <sheetData sheetId="7">
        <row r="10">
          <cell r="U10">
            <v>0.6</v>
          </cell>
        </row>
      </sheetData>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ow r="4">
          <cell r="B4" t="str">
            <v>Y</v>
          </cell>
        </row>
        <row r="5">
          <cell r="B5" t="str">
            <v>N</v>
          </cell>
        </row>
        <row r="6">
          <cell r="B6" t="str">
            <v>?</v>
          </cell>
        </row>
      </sheetData>
      <sheetData sheetId="3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8" Type="http://schemas.openxmlformats.org/officeDocument/2006/relationships/printerSettings" Target="../printerSettings/printerSettings14.bin"/><Relationship Id="rId3" Type="http://schemas.openxmlformats.org/officeDocument/2006/relationships/hyperlink" Target="http://www.reegle.info/countries" TargetMode="External"/><Relationship Id="rId7" Type="http://schemas.openxmlformats.org/officeDocument/2006/relationships/hyperlink" Target="https://population.un.org/wpp/DataQuery/" TargetMode="External"/><Relationship Id="rId2" Type="http://schemas.openxmlformats.org/officeDocument/2006/relationships/hyperlink" Target="http://www.reeep.org/file_upload/296_tmpphpW16ncV.pdf" TargetMode="External"/><Relationship Id="rId1" Type="http://schemas.openxmlformats.org/officeDocument/2006/relationships/hyperlink" Target="http://datamarket.com/data/set/1459/household-electrification-rate-of-households" TargetMode="External"/><Relationship Id="rId6" Type="http://schemas.openxmlformats.org/officeDocument/2006/relationships/hyperlink" Target="http://www.who.int/whr/2006/annex/en/index.html" TargetMode="External"/><Relationship Id="rId5" Type="http://schemas.openxmlformats.org/officeDocument/2006/relationships/hyperlink" Target="http://www.worldenergyoutlook.org/resources/energydevelopment/accesstoelectricity/" TargetMode="External"/><Relationship Id="rId10" Type="http://schemas.openxmlformats.org/officeDocument/2006/relationships/comments" Target="../comments7.xml"/><Relationship Id="rId4" Type="http://schemas.openxmlformats.org/officeDocument/2006/relationships/hyperlink" Target="http://www.ngdc.noaa.gov/dmsp/pubs/Elvidge_WINTD_20091022.pdf" TargetMode="External"/><Relationship Id="rId9" Type="http://schemas.openxmlformats.org/officeDocument/2006/relationships/vmlDrawing" Target="../drawings/vmlDrawing7.vml"/></Relationships>
</file>

<file path=xl/worksheets/_rels/sheet15.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M39"/>
  <sheetViews>
    <sheetView tabSelected="1" workbookViewId="0">
      <selection activeCell="A23" sqref="A23"/>
    </sheetView>
  </sheetViews>
  <sheetFormatPr defaultColWidth="9.1796875" defaultRowHeight="12.5"/>
  <cols>
    <col min="1" max="1" width="41.81640625" style="339" customWidth="1"/>
    <col min="2" max="2" width="70" style="369" customWidth="1"/>
    <col min="3" max="3" width="15.453125" style="339" customWidth="1"/>
    <col min="4" max="4" width="14.1796875" style="339" customWidth="1"/>
    <col min="5" max="5" width="10.81640625" style="339" customWidth="1"/>
    <col min="6" max="6" width="10.453125" style="339" customWidth="1"/>
    <col min="7" max="7" width="10.36328125" style="339" customWidth="1"/>
    <col min="8" max="8" width="11" style="339" customWidth="1"/>
    <col min="9" max="9" width="9.1796875" style="339"/>
    <col min="10" max="10" width="16.1796875" style="339" customWidth="1"/>
    <col min="11" max="11" width="11" style="339" customWidth="1"/>
    <col min="12" max="12" width="5.36328125" style="339" customWidth="1"/>
    <col min="13" max="16384" width="9.1796875" style="339"/>
  </cols>
  <sheetData>
    <row r="1" spans="1:39" ht="18">
      <c r="A1" s="1" t="s">
        <v>801</v>
      </c>
    </row>
    <row r="2" spans="1:39" ht="13" thickBot="1"/>
    <row r="3" spans="1:39" ht="26.5" thickBot="1">
      <c r="A3" s="354" t="s">
        <v>802</v>
      </c>
      <c r="B3" s="450"/>
    </row>
    <row r="4" spans="1:39" ht="13">
      <c r="A4" s="265"/>
      <c r="B4" s="476"/>
    </row>
    <row r="5" spans="1:39" ht="13.5" thickBot="1">
      <c r="A5" s="265" t="s">
        <v>803</v>
      </c>
      <c r="B5" s="477"/>
    </row>
    <row r="6" spans="1:39" ht="25">
      <c r="A6" s="674" t="s">
        <v>804</v>
      </c>
      <c r="B6" s="511">
        <f>B23</f>
        <v>0</v>
      </c>
      <c r="C6" s="711" t="s">
        <v>793</v>
      </c>
      <c r="D6" s="710"/>
      <c r="E6" s="710"/>
      <c r="F6" s="710"/>
    </row>
    <row r="7" spans="1:39" s="492" customFormat="1">
      <c r="A7" s="674" t="s">
        <v>805</v>
      </c>
      <c r="B7" s="386"/>
      <c r="C7" s="339"/>
      <c r="D7" s="339"/>
      <c r="E7" s="339"/>
      <c r="F7" s="339"/>
      <c r="G7" s="339"/>
      <c r="H7" s="339"/>
      <c r="I7" s="339"/>
      <c r="J7" s="339"/>
      <c r="K7" s="339"/>
      <c r="L7" s="339"/>
      <c r="M7" s="339"/>
      <c r="N7" s="339"/>
      <c r="O7" s="339"/>
      <c r="P7" s="339"/>
      <c r="Q7" s="339"/>
      <c r="R7" s="339"/>
      <c r="S7" s="339"/>
      <c r="T7" s="339"/>
      <c r="U7" s="339"/>
      <c r="V7" s="339"/>
      <c r="W7" s="339"/>
      <c r="X7" s="339"/>
      <c r="Y7" s="339"/>
      <c r="Z7" s="339"/>
      <c r="AA7" s="339"/>
      <c r="AB7" s="339"/>
      <c r="AC7" s="339"/>
      <c r="AD7" s="339"/>
      <c r="AE7" s="339"/>
      <c r="AF7" s="339"/>
      <c r="AG7" s="339"/>
      <c r="AH7" s="339"/>
      <c r="AI7" s="339"/>
      <c r="AJ7" s="339"/>
      <c r="AK7" s="339"/>
      <c r="AL7" s="339"/>
      <c r="AM7" s="339"/>
    </row>
    <row r="8" spans="1:39">
      <c r="A8" s="603" t="s">
        <v>806</v>
      </c>
      <c r="B8" s="385"/>
    </row>
    <row r="9" spans="1:39">
      <c r="A9" s="603" t="s">
        <v>807</v>
      </c>
      <c r="B9" s="386"/>
    </row>
    <row r="10" spans="1:39" ht="25.5" thickBot="1">
      <c r="A10" s="603" t="s">
        <v>808</v>
      </c>
      <c r="B10" s="387"/>
    </row>
    <row r="11" spans="1:39">
      <c r="A11" s="674"/>
      <c r="B11" s="478"/>
    </row>
    <row r="12" spans="1:39" ht="13.5" thickBot="1">
      <c r="A12" s="265" t="s">
        <v>809</v>
      </c>
      <c r="B12" s="479"/>
      <c r="C12" s="370"/>
      <c r="D12" s="370"/>
      <c r="E12" s="370"/>
      <c r="F12" s="370"/>
      <c r="G12" s="370"/>
      <c r="H12" s="370"/>
      <c r="I12" s="370"/>
      <c r="J12" s="370"/>
      <c r="K12" s="370"/>
      <c r="L12" s="370"/>
    </row>
    <row r="13" spans="1:39">
      <c r="A13" s="603" t="s">
        <v>810</v>
      </c>
      <c r="B13" s="389"/>
      <c r="C13" s="371"/>
      <c r="D13" s="370"/>
      <c r="E13" s="370"/>
      <c r="F13" s="370"/>
      <c r="G13" s="370"/>
      <c r="H13" s="370"/>
      <c r="I13" s="370"/>
      <c r="J13" s="370"/>
      <c r="K13" s="370"/>
      <c r="L13" s="370"/>
    </row>
    <row r="14" spans="1:39">
      <c r="A14" s="603" t="s">
        <v>811</v>
      </c>
      <c r="B14" s="385"/>
      <c r="C14" s="371"/>
      <c r="D14" s="370"/>
      <c r="E14" s="370"/>
      <c r="F14" s="370"/>
      <c r="G14" s="370"/>
      <c r="H14" s="370"/>
      <c r="I14" s="370"/>
      <c r="J14" s="370"/>
      <c r="K14" s="370"/>
      <c r="L14" s="370"/>
    </row>
    <row r="15" spans="1:39">
      <c r="A15" s="603" t="s">
        <v>812</v>
      </c>
      <c r="B15" s="385"/>
      <c r="C15" s="371"/>
      <c r="D15" s="370"/>
      <c r="E15" s="370"/>
      <c r="F15" s="370"/>
      <c r="G15" s="370"/>
      <c r="H15" s="370"/>
      <c r="I15" s="370"/>
      <c r="J15" s="370"/>
      <c r="K15" s="370"/>
      <c r="L15" s="370"/>
    </row>
    <row r="16" spans="1:39">
      <c r="A16" s="742" t="s">
        <v>813</v>
      </c>
      <c r="B16" s="385"/>
      <c r="C16" s="370"/>
      <c r="D16" s="370"/>
      <c r="E16" s="370"/>
      <c r="F16" s="370"/>
      <c r="G16" s="370"/>
      <c r="H16" s="370"/>
      <c r="I16" s="370"/>
      <c r="J16" s="370"/>
      <c r="K16" s="370"/>
      <c r="L16" s="370"/>
    </row>
    <row r="17" spans="1:4">
      <c r="A17" s="603" t="s">
        <v>814</v>
      </c>
      <c r="B17" s="385"/>
    </row>
    <row r="18" spans="1:4" ht="13" thickBot="1">
      <c r="A18" s="388" t="s">
        <v>815</v>
      </c>
      <c r="B18" s="387"/>
    </row>
    <row r="19" spans="1:4">
      <c r="A19" s="272"/>
      <c r="B19" s="480"/>
    </row>
    <row r="21" spans="1:4" ht="13">
      <c r="A21" s="521" t="s">
        <v>816</v>
      </c>
      <c r="B21" s="743"/>
      <c r="C21" s="743"/>
      <c r="D21" s="743"/>
    </row>
    <row r="22" spans="1:4" ht="62.5">
      <c r="A22" s="743" t="s">
        <v>817</v>
      </c>
      <c r="B22" s="743" t="s">
        <v>1167</v>
      </c>
      <c r="C22" s="743" t="s">
        <v>818</v>
      </c>
      <c r="D22" s="743" t="s">
        <v>819</v>
      </c>
    </row>
    <row r="23" spans="1:4">
      <c r="A23" s="525" t="s">
        <v>1166</v>
      </c>
      <c r="B23" s="522">
        <f>IF(ISERROR(INDEX(Countrydata!B$8:B$206,MATCH($A$23,Country,0))),"Select country",INDEX(Countrydata!B$8:B$206,MATCH($A$23,Country,0)))</f>
        <v>0</v>
      </c>
      <c r="C23" s="523">
        <f>IF(ISERROR(INDEX(Countrydata!D$8:D$206,MATCH('Paso 1-Datos del país'!$A$23,Country,0))),"Select country",INDEX(Countrydata!D$8:D$206,MATCH('Paso 1-Datos del país'!$A$23,Country,0)))</f>
        <v>0.82919079065322876</v>
      </c>
      <c r="D23" s="524">
        <f>IF(ISERROR(INDEX(Countrydata!C$8:C$206,MATCH('Paso 1-Datos del país'!$A$23,Country,0))),"Select country",INDEX(Countrydata!C$8:C$206,MATCH('Paso 1-Datos del país'!$A$23,Country,0)))</f>
        <v>100</v>
      </c>
    </row>
    <row r="24" spans="1:4">
      <c r="A24" s="602" t="s">
        <v>820</v>
      </c>
      <c r="B24" s="339"/>
    </row>
    <row r="25" spans="1:4">
      <c r="A25" s="339" t="s">
        <v>821</v>
      </c>
    </row>
    <row r="27" spans="1:4" ht="13">
      <c r="A27" s="602" t="s">
        <v>822</v>
      </c>
    </row>
    <row r="28" spans="1:4">
      <c r="A28" s="602" t="s">
        <v>823</v>
      </c>
    </row>
    <row r="30" spans="1:4">
      <c r="A30" s="602" t="s">
        <v>824</v>
      </c>
    </row>
    <row r="31" spans="1:4">
      <c r="C31" s="474"/>
    </row>
    <row r="32" spans="1:4" ht="13">
      <c r="A32" s="213" t="s">
        <v>825</v>
      </c>
      <c r="B32" s="498"/>
    </row>
    <row r="33" spans="1:1" ht="162.5">
      <c r="A33" s="733" t="s">
        <v>826</v>
      </c>
    </row>
    <row r="34" spans="1:1" ht="137.5">
      <c r="A34" s="733" t="s">
        <v>827</v>
      </c>
    </row>
    <row r="36" spans="1:1" ht="13">
      <c r="A36" s="356" t="s">
        <v>828</v>
      </c>
    </row>
    <row r="37" spans="1:1">
      <c r="A37" s="232" t="s">
        <v>798</v>
      </c>
    </row>
    <row r="39" spans="1:1">
      <c r="A39" s="339" t="s">
        <v>1161</v>
      </c>
    </row>
  </sheetData>
  <sheetProtection algorithmName="SHA-512" hashValue="CZ+oJIcp3sNTCCQSVZAkBXUcu3PPEIhwUUV9xcV0xllTM175rwPkBJVsh7vmu6nXq7uNZ2+pNwsnc12vVEZzTA==" saltValue="SpMAWuyqIpRyZaUbr8ZE8g==" spinCount="100000" sheet="1" objects="1" scenarios="1"/>
  <conditionalFormatting sqref="C6">
    <cfRule type="expression" dxfId="128" priority="6">
      <formula>AND($B$6=0,$B$23&lt;&gt;0)</formula>
    </cfRule>
  </conditionalFormatting>
  <conditionalFormatting sqref="D6">
    <cfRule type="expression" dxfId="127" priority="3">
      <formula>AND($B$6=0,$B$23&lt;&gt;0)</formula>
    </cfRule>
  </conditionalFormatting>
  <conditionalFormatting sqref="F6">
    <cfRule type="expression" dxfId="126" priority="2">
      <formula>AND($B$6=0,$B$23&lt;&gt;0)</formula>
    </cfRule>
  </conditionalFormatting>
  <conditionalFormatting sqref="E6">
    <cfRule type="expression" dxfId="125" priority="1">
      <formula>AND($B$6=0,$B$23&lt;&gt;0)</formula>
    </cfRule>
  </conditionalFormatting>
  <dataValidations count="3">
    <dataValidation type="list" allowBlank="1" showErrorMessage="1" errorTitle="Select country" error="Select country" promptTitle="Country" prompt="Select country from drop-down list" sqref="A23" xr:uid="{00000000-0002-0000-0000-000000000000}">
      <formula1>Country</formula1>
    </dataValidation>
    <dataValidation allowBlank="1" showInputMessage="1" showErrorMessage="1" errorTitle="Input error" error="Use digits and decimal mark only." sqref="B7:B10" xr:uid="{00000000-0002-0000-0000-000001000000}"/>
    <dataValidation type="decimal" allowBlank="1" showErrorMessage="1" errorTitle="Input error" error="Use digits and decimal mark only in this cell." promptTitle="Input cell" prompt="Use digits and decimal mark only in this cell. _x000a__x000a_Note: If you enter a value here, and later want to use pre-entered population data (by selecting country below), you must re-establish the link here to cell B23 (enter =B23)." sqref="B6" xr:uid="{00000000-0002-0000-0000-000002000000}">
      <formula1>-999999999999999000</formula1>
      <formula2>999999999999999000</formula2>
    </dataValidation>
  </dataValidations>
  <pageMargins left="0.39370078740157483" right="0.39370078740157483" top="0.74803149606299213" bottom="0.74803149606299213" header="0.31496062992125984" footer="0.31496062992125984"/>
  <pageSetup paperSize="9" orientation="landscape" r:id="rId1"/>
  <headerFooter>
    <oddFooter>&amp;L&amp;A
Printed &amp;D</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AT31"/>
  <sheetViews>
    <sheetView zoomScaleNormal="70" workbookViewId="0">
      <selection activeCell="E26" sqref="E26:G26"/>
    </sheetView>
  </sheetViews>
  <sheetFormatPr defaultColWidth="8.81640625" defaultRowHeight="12.5"/>
  <cols>
    <col min="1" max="1" width="3" customWidth="1"/>
    <col min="2" max="2" width="6.1796875" customWidth="1"/>
    <col min="3" max="3" width="31.1796875" customWidth="1"/>
    <col min="4" max="4" width="8.1796875" customWidth="1"/>
    <col min="5" max="5" width="14.453125" customWidth="1"/>
    <col min="6" max="6" width="12" style="9" customWidth="1"/>
    <col min="7" max="7" width="10.36328125" customWidth="1"/>
    <col min="8" max="8" width="11.453125" style="9" customWidth="1"/>
    <col min="9" max="9" width="12.453125" style="240" customWidth="1"/>
    <col min="10" max="10" width="11.453125" style="9" customWidth="1"/>
    <col min="11" max="11" width="11.36328125" customWidth="1"/>
    <col min="12" max="12" width="11.453125" customWidth="1"/>
    <col min="13" max="13" width="25.6328125" style="13" customWidth="1"/>
    <col min="14" max="14" width="9.1796875" style="240"/>
    <col min="16" max="16" width="4.453125" customWidth="1"/>
    <col min="17" max="17" width="5.36328125" customWidth="1"/>
    <col min="18" max="18" width="5" customWidth="1"/>
    <col min="19" max="19" width="8.453125" customWidth="1"/>
    <col min="21" max="21" width="17.453125" customWidth="1"/>
    <col min="22" max="22" width="12.453125" customWidth="1"/>
    <col min="24" max="24" width="9.6328125" customWidth="1"/>
    <col min="25" max="25" width="11.1796875" customWidth="1"/>
    <col min="26" max="26" width="11.453125" customWidth="1"/>
    <col min="27" max="27" width="17" customWidth="1"/>
    <col min="28" max="28" width="63.453125" customWidth="1"/>
  </cols>
  <sheetData>
    <row r="1" spans="1:28" ht="18">
      <c r="A1" s="1" t="s">
        <v>733</v>
      </c>
      <c r="I1" s="231"/>
      <c r="N1" s="231"/>
    </row>
    <row r="2" spans="1:28" ht="14">
      <c r="A2" s="54" t="s">
        <v>313</v>
      </c>
      <c r="I2" s="231"/>
      <c r="N2" s="231"/>
    </row>
    <row r="3" spans="1:28" s="5" customFormat="1" ht="13">
      <c r="C3" s="7"/>
      <c r="D3" s="7"/>
      <c r="E3" s="7"/>
      <c r="F3" s="26"/>
      <c r="G3" s="7"/>
      <c r="H3" s="26"/>
      <c r="I3" s="255"/>
      <c r="J3" s="26"/>
      <c r="K3" s="7"/>
      <c r="L3" s="7"/>
      <c r="M3" s="64"/>
      <c r="N3" s="255"/>
      <c r="O3" s="7"/>
      <c r="P3" s="65" t="s">
        <v>55</v>
      </c>
      <c r="Q3" s="65"/>
      <c r="R3" s="65"/>
      <c r="S3" s="65"/>
      <c r="T3" s="65"/>
      <c r="U3" s="65"/>
      <c r="V3" s="10" t="s">
        <v>54</v>
      </c>
      <c r="W3" s="103"/>
      <c r="X3" s="103"/>
      <c r="Y3" s="103"/>
      <c r="Z3" s="103"/>
      <c r="AA3" s="103"/>
      <c r="AB3" s="65"/>
    </row>
    <row r="4" spans="1:28" s="144" customFormat="1" ht="26">
      <c r="A4" s="144" t="s">
        <v>52</v>
      </c>
      <c r="B4" s="144" t="s">
        <v>50</v>
      </c>
      <c r="C4" s="134" t="s">
        <v>59</v>
      </c>
      <c r="D4" s="112" t="s">
        <v>153</v>
      </c>
      <c r="E4" s="134" t="s">
        <v>49</v>
      </c>
      <c r="F4" s="151" t="s">
        <v>35</v>
      </c>
      <c r="G4" s="112" t="s">
        <v>37</v>
      </c>
      <c r="H4" s="151" t="s">
        <v>35</v>
      </c>
      <c r="I4" s="245" t="s">
        <v>51</v>
      </c>
      <c r="J4" s="134" t="s">
        <v>35</v>
      </c>
      <c r="K4" s="84" t="s">
        <v>61</v>
      </c>
      <c r="L4" s="143" t="s">
        <v>35</v>
      </c>
      <c r="M4" s="146" t="s">
        <v>210</v>
      </c>
      <c r="N4" s="245" t="s">
        <v>92</v>
      </c>
      <c r="O4" s="143" t="s">
        <v>35</v>
      </c>
      <c r="P4" s="111" t="s">
        <v>38</v>
      </c>
      <c r="Q4" s="111" t="s">
        <v>39</v>
      </c>
      <c r="R4" s="111" t="s">
        <v>40</v>
      </c>
      <c r="S4" s="111" t="s">
        <v>41</v>
      </c>
      <c r="T4" s="112" t="s">
        <v>42</v>
      </c>
      <c r="U4" s="112" t="s">
        <v>228</v>
      </c>
      <c r="V4" s="56" t="s">
        <v>38</v>
      </c>
      <c r="W4" s="56" t="s">
        <v>39</v>
      </c>
      <c r="X4" s="56" t="s">
        <v>40</v>
      </c>
      <c r="Y4" s="56" t="s">
        <v>41</v>
      </c>
      <c r="Z4" s="57" t="s">
        <v>42</v>
      </c>
      <c r="AA4" s="57" t="s">
        <v>228</v>
      </c>
      <c r="AB4" s="111" t="s">
        <v>87</v>
      </c>
    </row>
    <row r="5" spans="1:28" s="129" customFormat="1" ht="26">
      <c r="A5" s="129" t="s">
        <v>194</v>
      </c>
      <c r="C5" s="134" t="s">
        <v>195</v>
      </c>
      <c r="D5" s="111"/>
      <c r="F5" s="651"/>
      <c r="G5" s="76"/>
      <c r="H5" s="651"/>
      <c r="I5" s="247"/>
      <c r="J5" s="652"/>
      <c r="K5" s="113"/>
      <c r="L5" s="128"/>
      <c r="M5" s="135"/>
      <c r="N5" s="247"/>
      <c r="O5" s="128"/>
      <c r="P5" s="76"/>
      <c r="Q5" s="76"/>
      <c r="R5" s="76"/>
      <c r="S5" s="76"/>
      <c r="T5" s="76"/>
      <c r="U5" s="76"/>
      <c r="V5" s="58"/>
      <c r="W5" s="58"/>
      <c r="X5" s="58"/>
      <c r="Y5" s="58"/>
      <c r="Z5" s="58"/>
      <c r="AA5" s="58"/>
      <c r="AB5" s="76"/>
    </row>
    <row r="6" spans="1:28" ht="26">
      <c r="B6" s="3" t="s">
        <v>196</v>
      </c>
      <c r="C6" s="12" t="s">
        <v>197</v>
      </c>
      <c r="D6" s="111"/>
      <c r="F6" s="334"/>
      <c r="G6" s="76"/>
      <c r="H6" s="334"/>
      <c r="I6" s="247"/>
      <c r="K6" s="168"/>
      <c r="L6" s="3"/>
      <c r="M6" s="14"/>
      <c r="N6" s="247"/>
      <c r="O6" s="3"/>
      <c r="P6" s="76"/>
      <c r="Q6" s="76"/>
      <c r="R6" s="76"/>
      <c r="S6" s="76"/>
      <c r="T6" s="76"/>
      <c r="U6" s="76"/>
      <c r="V6" s="114">
        <f t="shared" ref="V6:Z6" si="0">SUM(V7:V10)</f>
        <v>0</v>
      </c>
      <c r="W6" s="114">
        <f t="shared" si="0"/>
        <v>0</v>
      </c>
      <c r="X6" s="114">
        <f t="shared" si="0"/>
        <v>0</v>
      </c>
      <c r="Y6" s="114">
        <f t="shared" si="0"/>
        <v>0</v>
      </c>
      <c r="Z6" s="114">
        <f t="shared" si="0"/>
        <v>0</v>
      </c>
      <c r="AA6" s="114">
        <f>SUM(AA7:AA10)</f>
        <v>0</v>
      </c>
      <c r="AB6" s="76"/>
    </row>
    <row r="7" spans="1:28" ht="25.5">
      <c r="A7" s="3"/>
      <c r="C7" s="9"/>
      <c r="D7" s="76"/>
      <c r="E7" s="797" t="s">
        <v>1246</v>
      </c>
      <c r="F7" s="9" t="s">
        <v>336</v>
      </c>
      <c r="G7" s="76">
        <v>1</v>
      </c>
      <c r="H7" s="334" t="s">
        <v>336</v>
      </c>
      <c r="I7" s="260">
        <f>'Paso 5-Trat.+recicl. desechos'!C13</f>
        <v>0</v>
      </c>
      <c r="J7" s="334" t="s">
        <v>337</v>
      </c>
      <c r="K7" s="115">
        <f>G7*I7/1000</f>
        <v>0</v>
      </c>
      <c r="L7" s="3" t="s">
        <v>36</v>
      </c>
      <c r="M7" s="15" t="s">
        <v>201</v>
      </c>
      <c r="N7" s="248">
        <f>$K$7*'Paso 5-Trat.+recicl. desechos'!G15/100</f>
        <v>0</v>
      </c>
      <c r="O7" s="3" t="s">
        <v>36</v>
      </c>
      <c r="P7" s="202">
        <v>1</v>
      </c>
      <c r="Q7" s="202"/>
      <c r="R7" s="202"/>
      <c r="S7" s="202"/>
      <c r="T7" s="202"/>
      <c r="U7" s="202"/>
      <c r="V7" s="116">
        <f>$N7*P7</f>
        <v>0</v>
      </c>
      <c r="W7" s="116">
        <f t="shared" ref="V7:AA10" si="1">$N7*Q7</f>
        <v>0</v>
      </c>
      <c r="X7" s="116">
        <f t="shared" si="1"/>
        <v>0</v>
      </c>
      <c r="Y7" s="116">
        <f t="shared" si="1"/>
        <v>0</v>
      </c>
      <c r="Z7" s="116">
        <f t="shared" si="1"/>
        <v>0</v>
      </c>
      <c r="AA7" s="116">
        <f t="shared" si="1"/>
        <v>0</v>
      </c>
      <c r="AB7" s="76"/>
    </row>
    <row r="8" spans="1:28" ht="13">
      <c r="A8" s="3"/>
      <c r="B8" s="3"/>
      <c r="C8" s="9"/>
      <c r="D8" s="76"/>
      <c r="E8" s="6"/>
      <c r="F8" s="334"/>
      <c r="G8" s="76"/>
      <c r="H8" s="334"/>
      <c r="I8" s="248"/>
      <c r="K8" s="115"/>
      <c r="L8" s="3"/>
      <c r="M8" s="15" t="s">
        <v>202</v>
      </c>
      <c r="N8" s="248">
        <f>$K$7*'Paso 5-Trat.+recicl. desechos'!H15/100</f>
        <v>0</v>
      </c>
      <c r="O8" s="3" t="s">
        <v>36</v>
      </c>
      <c r="P8" s="202">
        <v>0.9</v>
      </c>
      <c r="Q8" s="202"/>
      <c r="R8" s="202"/>
      <c r="S8" s="202"/>
      <c r="T8" s="202"/>
      <c r="U8" s="202">
        <v>0.1</v>
      </c>
      <c r="V8" s="116">
        <f>$N8*P8</f>
        <v>0</v>
      </c>
      <c r="W8" s="116">
        <f t="shared" si="1"/>
        <v>0</v>
      </c>
      <c r="X8" s="116">
        <f t="shared" si="1"/>
        <v>0</v>
      </c>
      <c r="Y8" s="116">
        <f t="shared" si="1"/>
        <v>0</v>
      </c>
      <c r="Z8" s="116">
        <f t="shared" si="1"/>
        <v>0</v>
      </c>
      <c r="AA8" s="116">
        <f t="shared" si="1"/>
        <v>0</v>
      </c>
      <c r="AB8" s="76"/>
    </row>
    <row r="9" spans="1:28" ht="52">
      <c r="A9" s="3"/>
      <c r="B9" s="3"/>
      <c r="C9" s="9"/>
      <c r="D9" s="76"/>
      <c r="E9" s="6"/>
      <c r="F9" s="334"/>
      <c r="G9" s="76"/>
      <c r="H9" s="334"/>
      <c r="I9" s="248"/>
      <c r="K9" s="115"/>
      <c r="L9" s="3"/>
      <c r="M9" s="15" t="s">
        <v>198</v>
      </c>
      <c r="N9" s="248">
        <f>$K$7*'Paso 5-Trat.+recicl. desechos'!I15/100</f>
        <v>0</v>
      </c>
      <c r="O9" s="3" t="s">
        <v>36</v>
      </c>
      <c r="P9" s="202">
        <v>0.5</v>
      </c>
      <c r="Q9" s="202"/>
      <c r="R9" s="202"/>
      <c r="S9" s="202"/>
      <c r="T9" s="202"/>
      <c r="U9" s="202">
        <v>0.5</v>
      </c>
      <c r="V9" s="116">
        <f t="shared" si="1"/>
        <v>0</v>
      </c>
      <c r="W9" s="116">
        <f t="shared" si="1"/>
        <v>0</v>
      </c>
      <c r="X9" s="116">
        <f t="shared" si="1"/>
        <v>0</v>
      </c>
      <c r="Y9" s="116">
        <f t="shared" si="1"/>
        <v>0</v>
      </c>
      <c r="Z9" s="116">
        <f t="shared" si="1"/>
        <v>0</v>
      </c>
      <c r="AA9" s="116">
        <f t="shared" si="1"/>
        <v>0</v>
      </c>
      <c r="AB9" s="76"/>
    </row>
    <row r="10" spans="1:28" ht="26">
      <c r="A10" s="3"/>
      <c r="B10" s="3"/>
      <c r="C10" s="9"/>
      <c r="D10" s="76"/>
      <c r="E10" s="6"/>
      <c r="F10" s="334"/>
      <c r="G10" s="76"/>
      <c r="H10" s="334"/>
      <c r="I10" s="248"/>
      <c r="K10" s="115"/>
      <c r="L10" s="3"/>
      <c r="M10" s="15" t="s">
        <v>758</v>
      </c>
      <c r="N10" s="248">
        <f>$K$7*'Paso 5-Trat.+recicl. desechos'!J15/100</f>
        <v>0</v>
      </c>
      <c r="O10" s="3" t="s">
        <v>36</v>
      </c>
      <c r="P10" s="202">
        <v>0.1</v>
      </c>
      <c r="Q10" s="202"/>
      <c r="R10" s="202"/>
      <c r="S10" s="202"/>
      <c r="T10" s="202"/>
      <c r="U10" s="202">
        <v>0.9</v>
      </c>
      <c r="V10" s="116">
        <f t="shared" si="1"/>
        <v>0</v>
      </c>
      <c r="W10" s="116">
        <f t="shared" si="1"/>
        <v>0</v>
      </c>
      <c r="X10" s="116">
        <f t="shared" si="1"/>
        <v>0</v>
      </c>
      <c r="Y10" s="116">
        <f t="shared" si="1"/>
        <v>0</v>
      </c>
      <c r="Z10" s="116">
        <f t="shared" si="1"/>
        <v>0</v>
      </c>
      <c r="AA10" s="116">
        <f t="shared" si="1"/>
        <v>0</v>
      </c>
      <c r="AB10" s="76"/>
    </row>
    <row r="11" spans="1:28" s="55" customFormat="1" ht="13">
      <c r="A11" s="104"/>
      <c r="B11" s="104"/>
      <c r="C11" s="136"/>
      <c r="D11" s="111"/>
      <c r="E11" s="106"/>
      <c r="F11" s="150"/>
      <c r="G11" s="76"/>
      <c r="H11" s="150"/>
      <c r="I11" s="248"/>
      <c r="J11" s="105"/>
      <c r="K11" s="115"/>
      <c r="L11" s="104"/>
      <c r="M11" s="107"/>
      <c r="N11" s="248"/>
      <c r="O11" s="104"/>
      <c r="P11" s="117"/>
      <c r="Q11" s="117"/>
      <c r="R11" s="118"/>
      <c r="S11" s="118"/>
      <c r="T11" s="117"/>
      <c r="U11" s="117"/>
      <c r="V11" s="116"/>
      <c r="W11" s="116"/>
      <c r="X11" s="116"/>
      <c r="Y11" s="116"/>
      <c r="Z11" s="116"/>
      <c r="AA11" s="116"/>
      <c r="AB11" s="76"/>
    </row>
    <row r="12" spans="1:28" ht="13">
      <c r="B12" s="3" t="s">
        <v>200</v>
      </c>
      <c r="C12" s="12" t="s">
        <v>203</v>
      </c>
      <c r="D12" s="111"/>
      <c r="F12" s="334"/>
      <c r="G12" s="76"/>
      <c r="H12" s="334"/>
      <c r="I12" s="247"/>
      <c r="K12" s="168"/>
      <c r="L12" s="3"/>
      <c r="M12" s="14"/>
      <c r="N12" s="247"/>
      <c r="O12" s="3"/>
      <c r="P12" s="76"/>
      <c r="Q12" s="76"/>
      <c r="R12" s="76"/>
      <c r="S12" s="76"/>
      <c r="T12" s="76"/>
      <c r="U12" s="76"/>
      <c r="V12" s="114">
        <f t="shared" ref="V12:Z12" si="2">SUM(V13:V16)</f>
        <v>0</v>
      </c>
      <c r="W12" s="114">
        <f t="shared" si="2"/>
        <v>0</v>
      </c>
      <c r="X12" s="114">
        <f t="shared" si="2"/>
        <v>0</v>
      </c>
      <c r="Y12" s="114">
        <f t="shared" si="2"/>
        <v>0</v>
      </c>
      <c r="Z12" s="114">
        <f t="shared" si="2"/>
        <v>0</v>
      </c>
      <c r="AA12" s="114">
        <f>SUM(AA13:AA16)</f>
        <v>0</v>
      </c>
      <c r="AB12" s="76"/>
    </row>
    <row r="13" spans="1:28" ht="25.5">
      <c r="A13" s="3"/>
      <c r="C13" s="9"/>
      <c r="D13" s="76"/>
      <c r="E13" s="18" t="s">
        <v>206</v>
      </c>
      <c r="F13" s="334" t="s">
        <v>336</v>
      </c>
      <c r="G13" s="76">
        <v>24</v>
      </c>
      <c r="H13" s="334" t="s">
        <v>336</v>
      </c>
      <c r="I13" s="260">
        <f>'Paso 5-Trat.+recicl. desechos'!C16</f>
        <v>0</v>
      </c>
      <c r="J13" s="334" t="s">
        <v>337</v>
      </c>
      <c r="K13" s="115">
        <f>G13*I13/1000</f>
        <v>0</v>
      </c>
      <c r="L13" s="3" t="s">
        <v>36</v>
      </c>
      <c r="M13" s="15" t="s">
        <v>201</v>
      </c>
      <c r="N13" s="248">
        <f>$K$13*'Paso 5-Trat.+recicl. desechos'!G18/100</f>
        <v>0</v>
      </c>
      <c r="O13" s="3" t="s">
        <v>36</v>
      </c>
      <c r="P13" s="202">
        <v>1</v>
      </c>
      <c r="Q13" s="202"/>
      <c r="R13" s="202"/>
      <c r="S13" s="202"/>
      <c r="T13" s="202"/>
      <c r="U13" s="202"/>
      <c r="V13" s="116">
        <f t="shared" ref="V13:AA16" si="3">$N13*P13</f>
        <v>0</v>
      </c>
      <c r="W13" s="116">
        <f t="shared" si="3"/>
        <v>0</v>
      </c>
      <c r="X13" s="116">
        <f t="shared" si="3"/>
        <v>0</v>
      </c>
      <c r="Y13" s="116">
        <f t="shared" si="3"/>
        <v>0</v>
      </c>
      <c r="Z13" s="116">
        <f t="shared" si="3"/>
        <v>0</v>
      </c>
      <c r="AA13" s="116">
        <f t="shared" si="3"/>
        <v>0</v>
      </c>
      <c r="AB13" s="76"/>
    </row>
    <row r="14" spans="1:28" ht="13">
      <c r="A14" s="3"/>
      <c r="B14" s="3"/>
      <c r="C14" s="9"/>
      <c r="D14" s="76"/>
      <c r="E14" s="6"/>
      <c r="F14" s="334"/>
      <c r="G14" s="76"/>
      <c r="H14" s="334"/>
      <c r="I14" s="248"/>
      <c r="K14" s="115"/>
      <c r="L14" s="3"/>
      <c r="M14" s="15" t="s">
        <v>202</v>
      </c>
      <c r="N14" s="248">
        <f>$K$13*'Paso 5-Trat.+recicl. desechos'!H18/100</f>
        <v>0</v>
      </c>
      <c r="O14" s="3" t="s">
        <v>36</v>
      </c>
      <c r="P14" s="202">
        <v>0.9</v>
      </c>
      <c r="Q14" s="202"/>
      <c r="R14" s="202"/>
      <c r="S14" s="202"/>
      <c r="T14" s="202"/>
      <c r="U14" s="202">
        <v>0.1</v>
      </c>
      <c r="V14" s="116">
        <f t="shared" si="3"/>
        <v>0</v>
      </c>
      <c r="W14" s="116">
        <f t="shared" si="3"/>
        <v>0</v>
      </c>
      <c r="X14" s="116">
        <f t="shared" si="3"/>
        <v>0</v>
      </c>
      <c r="Y14" s="116">
        <f t="shared" si="3"/>
        <v>0</v>
      </c>
      <c r="Z14" s="116">
        <f t="shared" si="3"/>
        <v>0</v>
      </c>
      <c r="AA14" s="116">
        <f t="shared" si="3"/>
        <v>0</v>
      </c>
      <c r="AB14" s="76"/>
    </row>
    <row r="15" spans="1:28" ht="52">
      <c r="A15" s="3"/>
      <c r="B15" s="3"/>
      <c r="C15" s="9"/>
      <c r="D15" s="76"/>
      <c r="E15" s="6"/>
      <c r="F15" s="334"/>
      <c r="G15" s="76"/>
      <c r="H15" s="334"/>
      <c r="I15" s="248"/>
      <c r="K15" s="115"/>
      <c r="L15" s="3"/>
      <c r="M15" s="15" t="s">
        <v>198</v>
      </c>
      <c r="N15" s="248">
        <f>$K$13*'Paso 5-Trat.+recicl. desechos'!I18/100</f>
        <v>0</v>
      </c>
      <c r="O15" s="3" t="s">
        <v>36</v>
      </c>
      <c r="P15" s="202">
        <v>0.5</v>
      </c>
      <c r="Q15" s="202"/>
      <c r="R15" s="202"/>
      <c r="S15" s="202"/>
      <c r="T15" s="202"/>
      <c r="U15" s="202">
        <v>0.5</v>
      </c>
      <c r="V15" s="116">
        <f t="shared" si="3"/>
        <v>0</v>
      </c>
      <c r="W15" s="116">
        <f t="shared" si="3"/>
        <v>0</v>
      </c>
      <c r="X15" s="116">
        <f t="shared" si="3"/>
        <v>0</v>
      </c>
      <c r="Y15" s="116">
        <f t="shared" si="3"/>
        <v>0</v>
      </c>
      <c r="Z15" s="116">
        <f t="shared" si="3"/>
        <v>0</v>
      </c>
      <c r="AA15" s="116">
        <f t="shared" si="3"/>
        <v>0</v>
      </c>
      <c r="AB15" s="76"/>
    </row>
    <row r="16" spans="1:28" ht="26">
      <c r="A16" s="3"/>
      <c r="B16" s="3"/>
      <c r="C16" s="9"/>
      <c r="D16" s="76"/>
      <c r="E16" s="6"/>
      <c r="F16" s="334"/>
      <c r="G16" s="76"/>
      <c r="H16" s="334"/>
      <c r="I16" s="248"/>
      <c r="K16" s="115"/>
      <c r="L16" s="3"/>
      <c r="M16" s="15" t="s">
        <v>199</v>
      </c>
      <c r="N16" s="248">
        <f>$K$13*'Paso 5-Trat.+recicl. desechos'!J18/100</f>
        <v>0</v>
      </c>
      <c r="O16" s="3" t="s">
        <v>36</v>
      </c>
      <c r="P16" s="202">
        <v>0.1</v>
      </c>
      <c r="Q16" s="202"/>
      <c r="R16" s="202"/>
      <c r="S16" s="202"/>
      <c r="T16" s="202"/>
      <c r="U16" s="202">
        <v>0.9</v>
      </c>
      <c r="V16" s="116">
        <f t="shared" si="3"/>
        <v>0</v>
      </c>
      <c r="W16" s="116">
        <f t="shared" si="3"/>
        <v>0</v>
      </c>
      <c r="X16" s="116">
        <f t="shared" si="3"/>
        <v>0</v>
      </c>
      <c r="Y16" s="116">
        <f t="shared" si="3"/>
        <v>0</v>
      </c>
      <c r="Z16" s="116">
        <f t="shared" si="3"/>
        <v>0</v>
      </c>
      <c r="AA16" s="116">
        <f t="shared" si="3"/>
        <v>0</v>
      </c>
      <c r="AB16" s="76"/>
    </row>
    <row r="17" spans="1:46" s="55" customFormat="1" ht="13">
      <c r="A17" s="104"/>
      <c r="B17" s="104"/>
      <c r="C17" s="105"/>
      <c r="D17" s="76"/>
      <c r="E17" s="106"/>
      <c r="F17" s="150"/>
      <c r="G17" s="76"/>
      <c r="H17" s="150"/>
      <c r="I17" s="248"/>
      <c r="J17" s="105"/>
      <c r="K17" s="115"/>
      <c r="L17" s="104"/>
      <c r="M17" s="107"/>
      <c r="N17" s="248"/>
      <c r="O17" s="104"/>
      <c r="P17" s="117"/>
      <c r="Q17" s="117"/>
      <c r="R17" s="118"/>
      <c r="S17" s="118"/>
      <c r="T17" s="117"/>
      <c r="U17" s="76"/>
      <c r="V17" s="116"/>
      <c r="W17" s="116"/>
      <c r="X17" s="116"/>
      <c r="Y17" s="116"/>
      <c r="Z17" s="116"/>
      <c r="AA17" s="116"/>
      <c r="AB17" s="76"/>
    </row>
    <row r="18" spans="1:46" ht="13">
      <c r="B18" s="3" t="s">
        <v>205</v>
      </c>
      <c r="C18" s="12" t="s">
        <v>204</v>
      </c>
      <c r="D18" s="111"/>
      <c r="F18" s="334"/>
      <c r="G18" s="76"/>
      <c r="H18" s="334"/>
      <c r="I18" s="247"/>
      <c r="K18" s="168"/>
      <c r="L18" s="3"/>
      <c r="M18" s="14"/>
      <c r="N18" s="247"/>
      <c r="O18" s="3"/>
      <c r="P18" s="76"/>
      <c r="Q18" s="76"/>
      <c r="R18" s="76"/>
      <c r="S18" s="76"/>
      <c r="T18" s="76"/>
      <c r="U18" s="76"/>
      <c r="V18" s="114">
        <f t="shared" ref="V18:Z18" si="4">SUM(V19:V22)</f>
        <v>0</v>
      </c>
      <c r="W18" s="114">
        <f t="shared" si="4"/>
        <v>0</v>
      </c>
      <c r="X18" s="114">
        <f t="shared" si="4"/>
        <v>0</v>
      </c>
      <c r="Y18" s="114">
        <f t="shared" si="4"/>
        <v>0</v>
      </c>
      <c r="Z18" s="114">
        <f t="shared" si="4"/>
        <v>0</v>
      </c>
      <c r="AA18" s="114">
        <f>SUM(AA19:AA22)</f>
        <v>0</v>
      </c>
      <c r="AB18" s="76"/>
    </row>
    <row r="19" spans="1:46" ht="25.5">
      <c r="A19" s="3"/>
      <c r="C19" s="9"/>
      <c r="D19" s="76"/>
      <c r="E19" s="6" t="s">
        <v>206</v>
      </c>
      <c r="F19" s="334" t="s">
        <v>336</v>
      </c>
      <c r="G19" s="76">
        <v>24</v>
      </c>
      <c r="H19" s="334" t="s">
        <v>336</v>
      </c>
      <c r="I19" s="260">
        <f>'Paso 5-Trat.+recicl. desechos'!C19</f>
        <v>0</v>
      </c>
      <c r="J19" s="334" t="s">
        <v>337</v>
      </c>
      <c r="K19" s="115">
        <f>G19*I19/1000</f>
        <v>0</v>
      </c>
      <c r="L19" s="3" t="s">
        <v>36</v>
      </c>
      <c r="M19" s="15" t="s">
        <v>201</v>
      </c>
      <c r="N19" s="248">
        <f>$K$19*'Paso 5-Trat.+recicl. desechos'!G21/100</f>
        <v>0</v>
      </c>
      <c r="O19" s="3" t="s">
        <v>36</v>
      </c>
      <c r="P19" s="202">
        <v>1</v>
      </c>
      <c r="Q19" s="202"/>
      <c r="R19" s="202"/>
      <c r="S19" s="202"/>
      <c r="T19" s="202"/>
      <c r="U19" s="202"/>
      <c r="V19" s="116">
        <f t="shared" ref="V19:AA22" si="5">$N19*P19</f>
        <v>0</v>
      </c>
      <c r="W19" s="116">
        <f t="shared" si="5"/>
        <v>0</v>
      </c>
      <c r="X19" s="116">
        <f t="shared" si="5"/>
        <v>0</v>
      </c>
      <c r="Y19" s="116">
        <f t="shared" si="5"/>
        <v>0</v>
      </c>
      <c r="Z19" s="116">
        <f t="shared" si="5"/>
        <v>0</v>
      </c>
      <c r="AA19" s="116">
        <f t="shared" si="5"/>
        <v>0</v>
      </c>
      <c r="AB19" s="76"/>
    </row>
    <row r="20" spans="1:46" ht="13">
      <c r="A20" s="3"/>
      <c r="B20" s="3"/>
      <c r="C20" s="9"/>
      <c r="D20" s="76"/>
      <c r="E20" s="6"/>
      <c r="F20" s="334"/>
      <c r="G20" s="76"/>
      <c r="H20" s="334"/>
      <c r="I20" s="248"/>
      <c r="K20" s="115"/>
      <c r="L20" s="3"/>
      <c r="M20" s="15" t="s">
        <v>202</v>
      </c>
      <c r="N20" s="248">
        <f>$K$19*'Paso 5-Trat.+recicl. desechos'!H21/100</f>
        <v>0</v>
      </c>
      <c r="O20" s="3" t="s">
        <v>36</v>
      </c>
      <c r="P20" s="202">
        <v>0.9</v>
      </c>
      <c r="Q20" s="202"/>
      <c r="R20" s="202"/>
      <c r="S20" s="202"/>
      <c r="T20" s="202"/>
      <c r="U20" s="202">
        <v>0.1</v>
      </c>
      <c r="V20" s="116">
        <f t="shared" si="5"/>
        <v>0</v>
      </c>
      <c r="W20" s="116">
        <f t="shared" si="5"/>
        <v>0</v>
      </c>
      <c r="X20" s="116">
        <f t="shared" si="5"/>
        <v>0</v>
      </c>
      <c r="Y20" s="116">
        <f t="shared" si="5"/>
        <v>0</v>
      </c>
      <c r="Z20" s="116">
        <f t="shared" si="5"/>
        <v>0</v>
      </c>
      <c r="AA20" s="116">
        <f t="shared" si="5"/>
        <v>0</v>
      </c>
      <c r="AB20" s="76"/>
    </row>
    <row r="21" spans="1:46" ht="52">
      <c r="A21" s="3"/>
      <c r="B21" s="3"/>
      <c r="C21" s="9"/>
      <c r="D21" s="76"/>
      <c r="E21" s="6"/>
      <c r="F21" s="334"/>
      <c r="G21" s="76"/>
      <c r="H21" s="334"/>
      <c r="I21" s="248"/>
      <c r="K21" s="115"/>
      <c r="L21" s="3"/>
      <c r="M21" s="15" t="s">
        <v>198</v>
      </c>
      <c r="N21" s="248">
        <f>$K$19*'Paso 5-Trat.+recicl. desechos'!I21/100</f>
        <v>0</v>
      </c>
      <c r="O21" s="3" t="s">
        <v>36</v>
      </c>
      <c r="P21" s="202">
        <v>0.5</v>
      </c>
      <c r="Q21" s="202"/>
      <c r="R21" s="202"/>
      <c r="S21" s="202"/>
      <c r="T21" s="202"/>
      <c r="U21" s="202">
        <v>0.5</v>
      </c>
      <c r="V21" s="116">
        <f t="shared" si="5"/>
        <v>0</v>
      </c>
      <c r="W21" s="116">
        <f t="shared" si="5"/>
        <v>0</v>
      </c>
      <c r="X21" s="116">
        <f t="shared" si="5"/>
        <v>0</v>
      </c>
      <c r="Y21" s="116">
        <f t="shared" si="5"/>
        <v>0</v>
      </c>
      <c r="Z21" s="116">
        <f t="shared" si="5"/>
        <v>0</v>
      </c>
      <c r="AA21" s="116">
        <f t="shared" si="5"/>
        <v>0</v>
      </c>
      <c r="AB21" s="76"/>
    </row>
    <row r="22" spans="1:46" ht="26">
      <c r="A22" s="3"/>
      <c r="B22" s="3"/>
      <c r="C22" s="9"/>
      <c r="D22" s="76"/>
      <c r="E22" s="6"/>
      <c r="F22" s="334"/>
      <c r="G22" s="76"/>
      <c r="H22" s="334"/>
      <c r="I22" s="248"/>
      <c r="K22" s="115"/>
      <c r="L22" s="3"/>
      <c r="M22" s="15" t="s">
        <v>199</v>
      </c>
      <c r="N22" s="248">
        <f>$K$19*'Paso 5-Trat.+recicl. desechos'!J21/100</f>
        <v>0</v>
      </c>
      <c r="O22" s="3" t="s">
        <v>36</v>
      </c>
      <c r="P22" s="202">
        <v>0.1</v>
      </c>
      <c r="Q22" s="202"/>
      <c r="R22" s="202"/>
      <c r="S22" s="202"/>
      <c r="T22" s="202"/>
      <c r="U22" s="202">
        <v>0.9</v>
      </c>
      <c r="V22" s="116">
        <f t="shared" si="5"/>
        <v>0</v>
      </c>
      <c r="W22" s="116">
        <f t="shared" si="5"/>
        <v>0</v>
      </c>
      <c r="X22" s="116">
        <f t="shared" si="5"/>
        <v>0</v>
      </c>
      <c r="Y22" s="116">
        <f t="shared" si="5"/>
        <v>0</v>
      </c>
      <c r="Z22" s="116">
        <f t="shared" si="5"/>
        <v>0</v>
      </c>
      <c r="AA22" s="116">
        <f t="shared" si="5"/>
        <v>0</v>
      </c>
      <c r="AB22" s="76"/>
    </row>
    <row r="23" spans="1:46" s="55" customFormat="1" ht="13">
      <c r="A23" s="104"/>
      <c r="B23" s="104"/>
      <c r="C23" s="136"/>
      <c r="D23" s="76"/>
      <c r="E23" s="106"/>
      <c r="F23" s="150"/>
      <c r="G23" s="76"/>
      <c r="H23" s="150"/>
      <c r="I23" s="248"/>
      <c r="J23" s="105"/>
      <c r="K23" s="115"/>
      <c r="L23" s="104"/>
      <c r="M23" s="107"/>
      <c r="N23" s="248"/>
      <c r="O23" s="104"/>
      <c r="P23" s="117"/>
      <c r="Q23" s="117"/>
      <c r="R23" s="118"/>
      <c r="S23" s="118"/>
      <c r="T23" s="117"/>
      <c r="U23" s="76"/>
      <c r="V23" s="116"/>
      <c r="W23" s="116"/>
      <c r="X23" s="116"/>
      <c r="Y23" s="116"/>
      <c r="Z23" s="116"/>
      <c r="AA23" s="116"/>
      <c r="AB23" s="76"/>
    </row>
    <row r="24" spans="1:46" ht="50.5">
      <c r="A24" s="3"/>
      <c r="B24" s="3" t="s">
        <v>207</v>
      </c>
      <c r="C24" s="12" t="s">
        <v>208</v>
      </c>
      <c r="D24" s="76"/>
      <c r="E24" t="s">
        <v>43</v>
      </c>
      <c r="F24" s="334" t="s">
        <v>43</v>
      </c>
      <c r="G24" s="76">
        <v>2</v>
      </c>
      <c r="H24" s="334" t="s">
        <v>389</v>
      </c>
      <c r="I24" s="248">
        <f>'Paso 5-Trat.+recicl. desechos'!C22</f>
        <v>0</v>
      </c>
      <c r="J24" s="648" t="s">
        <v>759</v>
      </c>
      <c r="K24" s="115">
        <f>G24*I24/1000</f>
        <v>0</v>
      </c>
      <c r="L24" s="3" t="s">
        <v>36</v>
      </c>
      <c r="M24" s="15"/>
      <c r="N24" s="248">
        <f>K24</f>
        <v>0</v>
      </c>
      <c r="O24" s="3" t="s">
        <v>36</v>
      </c>
      <c r="P24" s="202">
        <v>0.9</v>
      </c>
      <c r="Q24" s="202"/>
      <c r="R24" s="202"/>
      <c r="S24" s="202"/>
      <c r="T24" s="202"/>
      <c r="U24" s="202">
        <v>0.1</v>
      </c>
      <c r="V24" s="114">
        <f t="shared" ref="V24:AA24" si="6">$N24*P24</f>
        <v>0</v>
      </c>
      <c r="W24" s="114">
        <f t="shared" si="6"/>
        <v>0</v>
      </c>
      <c r="X24" s="114">
        <f t="shared" si="6"/>
        <v>0</v>
      </c>
      <c r="Y24" s="114">
        <f t="shared" si="6"/>
        <v>0</v>
      </c>
      <c r="Z24" s="114">
        <f t="shared" si="6"/>
        <v>0</v>
      </c>
      <c r="AA24" s="114">
        <f t="shared" si="6"/>
        <v>0</v>
      </c>
      <c r="AB24" s="76"/>
    </row>
    <row r="25" spans="1:46" s="55" customFormat="1" ht="13">
      <c r="A25" s="104"/>
      <c r="B25" s="104"/>
      <c r="C25" s="136"/>
      <c r="D25" s="111"/>
      <c r="E25" s="149"/>
      <c r="F25" s="150"/>
      <c r="G25" s="76"/>
      <c r="H25" s="150"/>
      <c r="I25" s="248"/>
      <c r="J25" s="105"/>
      <c r="K25" s="172"/>
      <c r="L25" s="104"/>
      <c r="M25" s="138"/>
      <c r="N25" s="248"/>
      <c r="O25" s="104"/>
      <c r="P25" s="117"/>
      <c r="Q25" s="117"/>
      <c r="R25" s="118"/>
      <c r="S25" s="118"/>
      <c r="T25" s="117"/>
      <c r="U25" s="76"/>
      <c r="V25" s="116"/>
      <c r="W25" s="116"/>
      <c r="X25" s="116"/>
      <c r="Y25" s="116"/>
      <c r="Z25" s="116"/>
      <c r="AA25" s="116"/>
      <c r="AB25" s="76"/>
    </row>
    <row r="26" spans="1:46" ht="39">
      <c r="A26" s="3"/>
      <c r="B26" s="3" t="s">
        <v>209</v>
      </c>
      <c r="C26" s="12" t="s">
        <v>760</v>
      </c>
      <c r="D26" s="111"/>
      <c r="E26" s="797" t="s">
        <v>1246</v>
      </c>
      <c r="F26" s="9" t="s">
        <v>336</v>
      </c>
      <c r="G26" s="76">
        <v>1</v>
      </c>
      <c r="H26" s="334" t="s">
        <v>336</v>
      </c>
      <c r="I26" s="260">
        <f>'Paso 5-Trat.+recicl. desechos'!C23</f>
        <v>0</v>
      </c>
      <c r="J26" s="334" t="s">
        <v>337</v>
      </c>
      <c r="K26" s="115">
        <f>G26*I26/1000</f>
        <v>0</v>
      </c>
      <c r="L26" s="3" t="s">
        <v>36</v>
      </c>
      <c r="M26" s="15"/>
      <c r="N26" s="248">
        <f>K26</f>
        <v>0</v>
      </c>
      <c r="O26" s="3" t="s">
        <v>36</v>
      </c>
      <c r="P26" s="202">
        <v>1</v>
      </c>
      <c r="Q26" s="202"/>
      <c r="R26" s="202"/>
      <c r="S26" s="202"/>
      <c r="T26" s="202"/>
      <c r="U26" s="202"/>
      <c r="V26" s="114">
        <f t="shared" ref="V26:AA26" si="7">$N26*P26</f>
        <v>0</v>
      </c>
      <c r="W26" s="114">
        <f t="shared" si="7"/>
        <v>0</v>
      </c>
      <c r="X26" s="114">
        <f t="shared" si="7"/>
        <v>0</v>
      </c>
      <c r="Y26" s="114">
        <f t="shared" si="7"/>
        <v>0</v>
      </c>
      <c r="Z26" s="114">
        <f t="shared" si="7"/>
        <v>0</v>
      </c>
      <c r="AA26" s="114">
        <f t="shared" si="7"/>
        <v>0</v>
      </c>
      <c r="AB26" s="76"/>
    </row>
    <row r="27" spans="1:46" s="55" customFormat="1" ht="13">
      <c r="C27" s="186"/>
      <c r="D27" s="111"/>
      <c r="F27" s="105"/>
      <c r="G27" s="76"/>
      <c r="H27" s="105"/>
      <c r="I27" s="248"/>
      <c r="J27" s="105"/>
      <c r="K27" s="58"/>
      <c r="M27" s="110"/>
      <c r="N27" s="248"/>
      <c r="O27" s="104"/>
      <c r="P27" s="76"/>
      <c r="Q27" s="76"/>
      <c r="R27" s="76"/>
      <c r="S27" s="76"/>
      <c r="T27" s="76"/>
      <c r="U27" s="76"/>
      <c r="V27" s="58"/>
      <c r="W27" s="58"/>
      <c r="X27" s="58"/>
      <c r="Y27" s="58"/>
      <c r="Z27" s="58"/>
      <c r="AA27" s="58"/>
      <c r="AB27" s="76"/>
    </row>
    <row r="28" spans="1:46">
      <c r="D28" s="3"/>
      <c r="E28" s="3"/>
      <c r="F28" s="334"/>
      <c r="G28" s="3"/>
      <c r="H28" s="334"/>
      <c r="I28" s="239"/>
      <c r="J28" s="334"/>
      <c r="K28" s="3"/>
      <c r="L28" s="3"/>
      <c r="M28" s="63"/>
      <c r="N28" s="239"/>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row>
    <row r="29" spans="1:46" ht="13">
      <c r="M29" s="14"/>
      <c r="N29" s="239"/>
      <c r="O29" s="3"/>
    </row>
    <row r="30" spans="1:46" ht="13">
      <c r="M30" s="14"/>
      <c r="N30" s="249"/>
      <c r="O30" s="3"/>
    </row>
    <row r="31" spans="1:46" ht="13">
      <c r="C31" s="5"/>
      <c r="D31" s="5"/>
    </row>
  </sheetData>
  <sheetProtection algorithmName="SHA-512" hashValue="9inm9yEOCpTk8SmErv4r5TVS5CSPdY5HEpEmPUFDOzagGWS20nLPG1qG1XhKehtJxMDrIfJZ7FrS+L9FcrZYzg==" saltValue="hxUxTch22t0Monrvvvk0Fw==" spinCount="100000" sheet="1" objects="1" scenarios="1"/>
  <phoneticPr fontId="2" type="noConversion"/>
  <pageMargins left="0.39370078740157483" right="0.39370078740157483" top="0.74803149606299213" bottom="0.74803149606299213" header="0.31496062992125984" footer="0.31496062992125984"/>
  <pageSetup paperSize="9" orientation="landscape" r:id="rId1"/>
  <headerFooter>
    <oddFooter>&amp;L&amp;A
Printed &amp;D</oddFooter>
  </headerFooter>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AB61"/>
  <sheetViews>
    <sheetView zoomScale="136" zoomScaleNormal="70" workbookViewId="0">
      <selection activeCell="E13" sqref="E13:G13"/>
    </sheetView>
  </sheetViews>
  <sheetFormatPr defaultColWidth="8.81640625" defaultRowHeight="12.5"/>
  <cols>
    <col min="1" max="1" width="3" customWidth="1"/>
    <col min="2" max="2" width="6.1796875" customWidth="1"/>
    <col min="3" max="3" width="32" customWidth="1"/>
    <col min="4" max="4" width="8.36328125" customWidth="1"/>
    <col min="5" max="5" width="14.453125" customWidth="1"/>
    <col min="6" max="6" width="12" customWidth="1"/>
    <col min="7" max="7" width="10.36328125" customWidth="1"/>
    <col min="8" max="8" width="11.453125" customWidth="1"/>
    <col min="9" max="9" width="12.453125" style="240" customWidth="1"/>
    <col min="10" max="10" width="20" customWidth="1"/>
    <col min="11" max="11" width="11.36328125" customWidth="1"/>
    <col min="12" max="12" width="7.453125" customWidth="1"/>
    <col min="13" max="13" width="25.6328125" style="13" customWidth="1"/>
    <col min="14" max="14" width="9.1796875" style="240"/>
    <col min="15" max="15" width="10.36328125" customWidth="1"/>
    <col min="16" max="16" width="5.6328125" customWidth="1"/>
    <col min="17" max="17" width="8.453125" customWidth="1"/>
    <col min="18" max="18" width="5" customWidth="1"/>
    <col min="19" max="19" width="8.453125" customWidth="1"/>
    <col min="21" max="21" width="17.453125" customWidth="1"/>
    <col min="22" max="22" width="12.453125" customWidth="1"/>
    <col min="24" max="24" width="9.6328125" customWidth="1"/>
    <col min="25" max="25" width="11.1796875" customWidth="1"/>
    <col min="26" max="26" width="11.453125" customWidth="1"/>
    <col min="27" max="27" width="17" customWidth="1"/>
    <col min="28" max="28" width="63.453125" customWidth="1"/>
  </cols>
  <sheetData>
    <row r="1" spans="1:28" ht="18">
      <c r="A1" s="1" t="s">
        <v>733</v>
      </c>
      <c r="I1" s="231"/>
      <c r="L1" s="48"/>
      <c r="M1" s="48"/>
      <c r="N1" s="231"/>
    </row>
    <row r="2" spans="1:28" ht="14">
      <c r="A2" s="54" t="s">
        <v>313</v>
      </c>
      <c r="I2" s="231"/>
      <c r="L2" s="48"/>
      <c r="M2" s="48"/>
      <c r="N2" s="231"/>
    </row>
    <row r="3" spans="1:28" s="5" customFormat="1" ht="13">
      <c r="D3" s="7"/>
      <c r="E3" s="7"/>
      <c r="F3" s="7"/>
      <c r="G3" s="7"/>
      <c r="H3" s="7"/>
      <c r="I3" s="255"/>
      <c r="J3" s="7"/>
      <c r="K3" s="7"/>
      <c r="L3" s="139"/>
      <c r="M3" s="30"/>
      <c r="N3" s="255"/>
      <c r="O3" s="7"/>
      <c r="P3" s="65" t="s">
        <v>55</v>
      </c>
      <c r="Q3" s="65"/>
      <c r="R3" s="65"/>
      <c r="S3" s="65"/>
      <c r="T3" s="65"/>
      <c r="U3" s="65"/>
      <c r="V3" s="10" t="s">
        <v>54</v>
      </c>
      <c r="W3" s="103"/>
      <c r="X3" s="103"/>
      <c r="Y3" s="103"/>
      <c r="Z3" s="103"/>
      <c r="AA3" s="103"/>
      <c r="AB3" s="65"/>
    </row>
    <row r="4" spans="1:28" s="144" customFormat="1" ht="26">
      <c r="A4" s="144" t="s">
        <v>52</v>
      </c>
      <c r="B4" s="144" t="s">
        <v>50</v>
      </c>
      <c r="C4" s="134" t="s">
        <v>59</v>
      </c>
      <c r="D4" s="112" t="s">
        <v>153</v>
      </c>
      <c r="E4" s="134" t="s">
        <v>49</v>
      </c>
      <c r="F4" s="143" t="s">
        <v>35</v>
      </c>
      <c r="G4" s="112" t="s">
        <v>37</v>
      </c>
      <c r="H4" s="143" t="s">
        <v>35</v>
      </c>
      <c r="I4" s="245" t="s">
        <v>51</v>
      </c>
      <c r="J4" s="144" t="s">
        <v>35</v>
      </c>
      <c r="K4" s="84" t="s">
        <v>61</v>
      </c>
      <c r="L4" s="139" t="s">
        <v>35</v>
      </c>
      <c r="M4" s="146" t="s">
        <v>210</v>
      </c>
      <c r="N4" s="245" t="s">
        <v>92</v>
      </c>
      <c r="O4" s="143" t="s">
        <v>35</v>
      </c>
      <c r="P4" s="111" t="s">
        <v>38</v>
      </c>
      <c r="Q4" s="111" t="s">
        <v>39</v>
      </c>
      <c r="R4" s="111" t="s">
        <v>40</v>
      </c>
      <c r="S4" s="111" t="s">
        <v>41</v>
      </c>
      <c r="T4" s="112" t="s">
        <v>42</v>
      </c>
      <c r="U4" s="112" t="s">
        <v>228</v>
      </c>
      <c r="V4" s="56" t="s">
        <v>38</v>
      </c>
      <c r="W4" s="56" t="s">
        <v>39</v>
      </c>
      <c r="X4" s="56" t="s">
        <v>40</v>
      </c>
      <c r="Y4" s="56" t="s">
        <v>41</v>
      </c>
      <c r="Z4" s="57" t="s">
        <v>42</v>
      </c>
      <c r="AA4" s="57" t="s">
        <v>228</v>
      </c>
      <c r="AB4" s="111" t="s">
        <v>87</v>
      </c>
    </row>
    <row r="5" spans="1:28" s="129" customFormat="1" ht="39">
      <c r="A5" s="129" t="s">
        <v>290</v>
      </c>
      <c r="C5" s="134" t="s">
        <v>284</v>
      </c>
      <c r="D5" s="111"/>
      <c r="F5" s="128"/>
      <c r="G5" s="76"/>
      <c r="H5" s="128"/>
      <c r="I5" s="247"/>
      <c r="K5" s="113"/>
      <c r="L5" s="128"/>
      <c r="M5" s="135"/>
      <c r="N5" s="247"/>
      <c r="O5" s="128"/>
      <c r="P5" s="76"/>
      <c r="Q5" s="76"/>
      <c r="R5" s="76"/>
      <c r="S5" s="76"/>
      <c r="T5" s="76"/>
      <c r="U5" s="76"/>
      <c r="V5" s="58"/>
      <c r="W5" s="58"/>
      <c r="X5" s="58"/>
      <c r="Y5" s="58"/>
      <c r="Z5" s="58"/>
      <c r="AA5" s="58"/>
      <c r="AB5" s="76"/>
    </row>
    <row r="6" spans="1:28" ht="13">
      <c r="B6" t="s">
        <v>291</v>
      </c>
      <c r="C6" s="12" t="s">
        <v>319</v>
      </c>
      <c r="D6" s="76"/>
      <c r="E6" s="797" t="s">
        <v>1246</v>
      </c>
      <c r="F6" t="s">
        <v>333</v>
      </c>
      <c r="G6" s="76">
        <v>1</v>
      </c>
      <c r="H6" s="3" t="s">
        <v>333</v>
      </c>
      <c r="I6" s="248">
        <f>'Paso 5-Trat.+recicl. desechos'!$C$26</f>
        <v>0</v>
      </c>
      <c r="J6" s="3" t="s">
        <v>334</v>
      </c>
      <c r="K6" s="300">
        <f>G6*I6/1000</f>
        <v>0</v>
      </c>
      <c r="L6" s="3" t="s">
        <v>36</v>
      </c>
      <c r="M6" s="107"/>
      <c r="N6" s="261">
        <f>K6</f>
        <v>0</v>
      </c>
      <c r="O6" s="3" t="s">
        <v>36</v>
      </c>
      <c r="P6" s="284">
        <v>0.01</v>
      </c>
      <c r="Q6" s="697">
        <v>1E-4</v>
      </c>
      <c r="R6" s="284"/>
      <c r="S6" s="435"/>
      <c r="T6" s="435"/>
      <c r="U6" s="435"/>
      <c r="V6" s="335">
        <f>$N6*P6</f>
        <v>0</v>
      </c>
      <c r="W6" s="335">
        <f>$N6*Q6</f>
        <v>0</v>
      </c>
      <c r="X6" s="335">
        <f>$N6*R6</f>
        <v>0</v>
      </c>
      <c r="Y6" s="200" t="s">
        <v>273</v>
      </c>
      <c r="Z6" s="200" t="s">
        <v>273</v>
      </c>
      <c r="AA6" s="200" t="s">
        <v>273</v>
      </c>
      <c r="AB6" s="76"/>
    </row>
    <row r="7" spans="1:28" s="55" customFormat="1" ht="13">
      <c r="A7" s="104"/>
      <c r="B7" s="104"/>
      <c r="C7" s="136"/>
      <c r="D7" s="111"/>
      <c r="E7" s="106"/>
      <c r="F7" s="104"/>
      <c r="G7" s="76"/>
      <c r="H7" s="104"/>
      <c r="I7" s="248"/>
      <c r="K7" s="194"/>
      <c r="L7" s="104"/>
      <c r="M7" s="107"/>
      <c r="N7" s="248"/>
      <c r="O7" s="104"/>
      <c r="P7" s="130"/>
      <c r="Q7" s="130"/>
      <c r="R7" s="130"/>
      <c r="S7" s="130"/>
      <c r="T7" s="130"/>
      <c r="U7" s="130"/>
      <c r="V7" s="201"/>
      <c r="W7" s="201"/>
      <c r="X7" s="201"/>
      <c r="Y7" s="201"/>
      <c r="Z7" s="201"/>
      <c r="AA7" s="201"/>
      <c r="AB7" s="76"/>
    </row>
    <row r="8" spans="1:28" ht="14">
      <c r="B8" s="3" t="s">
        <v>292</v>
      </c>
      <c r="C8" s="72" t="s">
        <v>283</v>
      </c>
      <c r="D8" s="193" t="s">
        <v>273</v>
      </c>
      <c r="E8" s="75" t="s">
        <v>273</v>
      </c>
      <c r="F8" s="75" t="s">
        <v>273</v>
      </c>
      <c r="G8" s="188" t="s">
        <v>273</v>
      </c>
      <c r="H8" s="75" t="s">
        <v>273</v>
      </c>
      <c r="I8" s="259"/>
      <c r="J8" s="75" t="s">
        <v>273</v>
      </c>
      <c r="K8" s="301" t="s">
        <v>273</v>
      </c>
      <c r="L8" s="75" t="s">
        <v>273</v>
      </c>
      <c r="M8" s="14"/>
      <c r="N8" s="259" t="s">
        <v>273</v>
      </c>
      <c r="O8" s="3"/>
      <c r="P8" s="188" t="s">
        <v>273</v>
      </c>
      <c r="Q8" s="188" t="s">
        <v>273</v>
      </c>
      <c r="R8" s="188" t="s">
        <v>273</v>
      </c>
      <c r="S8" s="188" t="s">
        <v>273</v>
      </c>
      <c r="T8" s="188" t="s">
        <v>273</v>
      </c>
      <c r="U8" s="188" t="s">
        <v>273</v>
      </c>
      <c r="V8" s="200" t="s">
        <v>273</v>
      </c>
      <c r="W8" s="200" t="s">
        <v>273</v>
      </c>
      <c r="X8" s="200" t="s">
        <v>273</v>
      </c>
      <c r="Y8" s="200" t="s">
        <v>273</v>
      </c>
      <c r="Z8" s="200" t="s">
        <v>273</v>
      </c>
      <c r="AA8" s="200" t="s">
        <v>273</v>
      </c>
      <c r="AB8" s="76"/>
    </row>
    <row r="9" spans="1:28" ht="13">
      <c r="A9" s="3"/>
      <c r="C9" s="74" t="s">
        <v>285</v>
      </c>
      <c r="D9" s="76"/>
      <c r="E9" s="18"/>
      <c r="F9" s="3"/>
      <c r="G9" s="76"/>
      <c r="H9" s="3"/>
      <c r="I9" s="248"/>
      <c r="J9" s="3"/>
      <c r="K9" s="194"/>
      <c r="L9" s="3"/>
      <c r="M9" s="15"/>
      <c r="N9" s="248"/>
      <c r="O9" s="3"/>
      <c r="P9" s="131"/>
      <c r="Q9" s="131"/>
      <c r="R9" s="131"/>
      <c r="S9" s="131"/>
      <c r="T9" s="131"/>
      <c r="U9" s="131"/>
      <c r="V9" s="201"/>
      <c r="W9" s="201"/>
      <c r="X9" s="201"/>
      <c r="Y9" s="201"/>
      <c r="Z9" s="201"/>
      <c r="AA9" s="201"/>
      <c r="AB9" s="76"/>
    </row>
    <row r="10" spans="1:28" s="55" customFormat="1" ht="13">
      <c r="A10" s="104"/>
      <c r="B10" s="104"/>
      <c r="C10" s="105"/>
      <c r="D10" s="76"/>
      <c r="E10" s="106"/>
      <c r="F10" s="104"/>
      <c r="G10" s="76"/>
      <c r="H10" s="104"/>
      <c r="I10" s="248"/>
      <c r="K10" s="194"/>
      <c r="L10" s="104"/>
      <c r="M10" s="107"/>
      <c r="N10" s="248"/>
      <c r="O10" s="104"/>
      <c r="P10" s="130"/>
      <c r="Q10" s="130"/>
      <c r="R10" s="130"/>
      <c r="S10" s="130"/>
      <c r="T10" s="130"/>
      <c r="U10" s="127"/>
      <c r="V10" s="201"/>
      <c r="W10" s="201"/>
      <c r="X10" s="201"/>
      <c r="Y10" s="201"/>
      <c r="Z10" s="201"/>
      <c r="AA10" s="201"/>
      <c r="AB10" s="76"/>
    </row>
    <row r="11" spans="1:28" ht="28">
      <c r="B11" s="3" t="s">
        <v>293</v>
      </c>
      <c r="C11" s="72" t="s">
        <v>286</v>
      </c>
      <c r="D11" s="111"/>
      <c r="E11" s="43" t="s">
        <v>273</v>
      </c>
      <c r="F11" s="47" t="s">
        <v>273</v>
      </c>
      <c r="G11" s="188" t="s">
        <v>273</v>
      </c>
      <c r="H11" s="47" t="s">
        <v>273</v>
      </c>
      <c r="I11" s="252"/>
      <c r="J11" s="47" t="s">
        <v>273</v>
      </c>
      <c r="K11" s="302" t="s">
        <v>273</v>
      </c>
      <c r="L11" s="47" t="s">
        <v>273</v>
      </c>
      <c r="M11" s="14"/>
      <c r="N11" s="248"/>
      <c r="O11" s="3" t="s">
        <v>36</v>
      </c>
      <c r="P11" s="131" t="s">
        <v>43</v>
      </c>
      <c r="Q11" s="131" t="s">
        <v>43</v>
      </c>
      <c r="R11" s="131" t="s">
        <v>43</v>
      </c>
      <c r="S11" s="192" t="s">
        <v>273</v>
      </c>
      <c r="T11" s="192" t="s">
        <v>273</v>
      </c>
      <c r="U11" s="192" t="s">
        <v>273</v>
      </c>
      <c r="V11" s="199" t="e">
        <f>$N11*P11</f>
        <v>#VALUE!</v>
      </c>
      <c r="W11" s="199" t="e">
        <f>$N11*Q11</f>
        <v>#VALUE!</v>
      </c>
      <c r="X11" s="199" t="e">
        <f>$N11*R11</f>
        <v>#VALUE!</v>
      </c>
      <c r="Y11" s="200" t="s">
        <v>273</v>
      </c>
      <c r="Z11" s="200" t="s">
        <v>273</v>
      </c>
      <c r="AA11" s="200" t="s">
        <v>273</v>
      </c>
      <c r="AB11" s="76"/>
    </row>
    <row r="12" spans="1:28" s="55" customFormat="1" ht="13">
      <c r="A12" s="104"/>
      <c r="B12" s="104"/>
      <c r="C12" s="136"/>
      <c r="D12" s="76"/>
      <c r="E12" s="106"/>
      <c r="F12" s="104"/>
      <c r="G12" s="76"/>
      <c r="H12" s="104"/>
      <c r="I12" s="248"/>
      <c r="K12" s="194"/>
      <c r="L12" s="104"/>
      <c r="M12" s="107"/>
      <c r="N12" s="248"/>
      <c r="O12" s="104"/>
      <c r="P12" s="130"/>
      <c r="Q12" s="130"/>
      <c r="R12" s="130"/>
      <c r="S12" s="130"/>
      <c r="T12" s="130"/>
      <c r="U12" s="127"/>
      <c r="V12" s="201"/>
      <c r="W12" s="201"/>
      <c r="X12" s="201"/>
      <c r="Y12" s="201"/>
      <c r="Z12" s="201"/>
      <c r="AA12" s="201"/>
      <c r="AB12" s="76"/>
    </row>
    <row r="13" spans="1:28" ht="28">
      <c r="A13" s="3"/>
      <c r="B13" s="3" t="s">
        <v>294</v>
      </c>
      <c r="C13" s="72" t="s">
        <v>320</v>
      </c>
      <c r="D13" s="76"/>
      <c r="E13" s="797" t="s">
        <v>1246</v>
      </c>
      <c r="F13" t="s">
        <v>333</v>
      </c>
      <c r="G13" s="76">
        <v>1</v>
      </c>
      <c r="H13" s="3" t="s">
        <v>333</v>
      </c>
      <c r="I13" s="248">
        <f>'Paso 5-Trat.+recicl. desechos'!C27</f>
        <v>0</v>
      </c>
      <c r="J13" s="3" t="s">
        <v>335</v>
      </c>
      <c r="K13" s="300">
        <f>G13*I13/1000</f>
        <v>0</v>
      </c>
      <c r="L13" s="3" t="s">
        <v>36</v>
      </c>
      <c r="M13" s="15"/>
      <c r="N13" s="248">
        <f>K13</f>
        <v>0</v>
      </c>
      <c r="O13" s="3" t="s">
        <v>36</v>
      </c>
      <c r="P13" s="284">
        <v>0.1</v>
      </c>
      <c r="Q13" s="284">
        <v>0.1</v>
      </c>
      <c r="R13" s="284">
        <v>0.8</v>
      </c>
      <c r="S13" s="435"/>
      <c r="T13" s="435"/>
      <c r="U13" s="435"/>
      <c r="V13" s="199">
        <f>$N13*P13</f>
        <v>0</v>
      </c>
      <c r="W13" s="199">
        <f>$N13*Q13</f>
        <v>0</v>
      </c>
      <c r="X13" s="199">
        <f>$N13*R13</f>
        <v>0</v>
      </c>
      <c r="Y13" s="200" t="s">
        <v>273</v>
      </c>
      <c r="Z13" s="200" t="s">
        <v>273</v>
      </c>
      <c r="AA13" s="200" t="s">
        <v>273</v>
      </c>
      <c r="AB13" s="76"/>
    </row>
    <row r="14" spans="1:28" s="55" customFormat="1" ht="13">
      <c r="A14" s="104"/>
      <c r="B14" s="104"/>
      <c r="C14" s="136"/>
      <c r="D14" s="111"/>
      <c r="E14" s="149"/>
      <c r="F14" s="104"/>
      <c r="G14" s="76"/>
      <c r="H14" s="104"/>
      <c r="I14" s="248"/>
      <c r="K14" s="194"/>
      <c r="L14" s="104"/>
      <c r="M14" s="138"/>
      <c r="N14" s="248"/>
      <c r="O14" s="104"/>
      <c r="P14" s="130"/>
      <c r="Q14" s="130"/>
      <c r="R14" s="130"/>
      <c r="S14" s="130"/>
      <c r="T14" s="130"/>
      <c r="U14" s="127"/>
      <c r="V14" s="201"/>
      <c r="W14" s="201"/>
      <c r="X14" s="201"/>
      <c r="Y14" s="201"/>
      <c r="Z14" s="201"/>
      <c r="AA14" s="201"/>
      <c r="AB14" s="76"/>
    </row>
    <row r="15" spans="1:28" ht="13">
      <c r="B15" s="3" t="s">
        <v>295</v>
      </c>
      <c r="C15" s="12" t="s">
        <v>287</v>
      </c>
      <c r="D15" s="111"/>
      <c r="F15" s="3"/>
      <c r="G15" s="76"/>
      <c r="H15" s="3"/>
      <c r="I15" s="247"/>
      <c r="K15" s="303"/>
      <c r="L15" s="3"/>
      <c r="M15" s="14"/>
      <c r="N15" s="247"/>
      <c r="O15" s="3"/>
      <c r="P15" s="127"/>
      <c r="Q15" s="127"/>
      <c r="R15" s="127"/>
      <c r="S15" s="127"/>
      <c r="T15" s="127"/>
      <c r="U15" s="127"/>
      <c r="V15" s="199">
        <f t="shared" ref="V15:AA15" si="0">SUM(V16:V19)</f>
        <v>0</v>
      </c>
      <c r="W15" s="199">
        <f t="shared" si="0"/>
        <v>0</v>
      </c>
      <c r="X15" s="199">
        <f t="shared" si="0"/>
        <v>0</v>
      </c>
      <c r="Y15" s="199">
        <f t="shared" si="0"/>
        <v>0</v>
      </c>
      <c r="Z15" s="199">
        <f t="shared" si="0"/>
        <v>0</v>
      </c>
      <c r="AA15" s="199">
        <f t="shared" si="0"/>
        <v>0</v>
      </c>
      <c r="AB15" s="76"/>
    </row>
    <row r="16" spans="1:28" ht="26">
      <c r="A16" s="3"/>
      <c r="D16" s="76"/>
      <c r="E16" s="6" t="s">
        <v>300</v>
      </c>
      <c r="F16" s="53" t="s">
        <v>302</v>
      </c>
      <c r="G16" s="76">
        <v>5.25</v>
      </c>
      <c r="H16" s="53" t="s">
        <v>302</v>
      </c>
      <c r="I16" s="248">
        <f>'Paso 5-Trat.+recicl. desechos'!C29</f>
        <v>0</v>
      </c>
      <c r="J16" s="3" t="s">
        <v>301</v>
      </c>
      <c r="K16" s="194">
        <f>G16*I16/1000000</f>
        <v>0</v>
      </c>
      <c r="L16" s="3" t="s">
        <v>36</v>
      </c>
      <c r="M16" s="15" t="s">
        <v>296</v>
      </c>
      <c r="N16" s="248">
        <f>$K$16*'Paso 5-Trat.+recicl. desechos'!G31/100</f>
        <v>0</v>
      </c>
      <c r="O16" s="3" t="s">
        <v>36</v>
      </c>
      <c r="P16" s="131"/>
      <c r="Q16" s="131">
        <v>1</v>
      </c>
      <c r="R16" s="131"/>
      <c r="S16" s="131"/>
      <c r="T16" s="131"/>
      <c r="U16" s="131"/>
      <c r="V16" s="201">
        <f t="shared" ref="V16:AA19" si="1">$N16*P16</f>
        <v>0</v>
      </c>
      <c r="W16" s="201">
        <f t="shared" si="1"/>
        <v>0</v>
      </c>
      <c r="X16" s="201">
        <f t="shared" si="1"/>
        <v>0</v>
      </c>
      <c r="Y16" s="201">
        <f t="shared" si="1"/>
        <v>0</v>
      </c>
      <c r="Z16" s="201">
        <f t="shared" si="1"/>
        <v>0</v>
      </c>
      <c r="AA16" s="201">
        <f t="shared" si="1"/>
        <v>0</v>
      </c>
      <c r="AB16" s="76"/>
    </row>
    <row r="17" spans="1:28" ht="13">
      <c r="A17" s="3"/>
      <c r="B17" s="3"/>
      <c r="D17" s="76"/>
      <c r="E17" s="6"/>
      <c r="F17" s="3"/>
      <c r="G17" s="76"/>
      <c r="H17" s="3"/>
      <c r="I17" s="248"/>
      <c r="K17" s="115"/>
      <c r="L17" s="3"/>
      <c r="M17" s="15" t="s">
        <v>297</v>
      </c>
      <c r="N17" s="248">
        <f>$K$16*'Paso 5-Trat.+recicl. desechos'!H31/100</f>
        <v>0</v>
      </c>
      <c r="O17" s="3" t="s">
        <v>36</v>
      </c>
      <c r="P17" s="131"/>
      <c r="Q17" s="131">
        <v>0.9</v>
      </c>
      <c r="R17" s="131"/>
      <c r="S17" s="131"/>
      <c r="T17" s="131">
        <v>0.1</v>
      </c>
      <c r="U17" s="131"/>
      <c r="V17" s="201">
        <f t="shared" si="1"/>
        <v>0</v>
      </c>
      <c r="W17" s="201">
        <f t="shared" si="1"/>
        <v>0</v>
      </c>
      <c r="X17" s="201">
        <f t="shared" si="1"/>
        <v>0</v>
      </c>
      <c r="Y17" s="201">
        <f t="shared" si="1"/>
        <v>0</v>
      </c>
      <c r="Z17" s="201">
        <f t="shared" si="1"/>
        <v>0</v>
      </c>
      <c r="AA17" s="201">
        <f t="shared" si="1"/>
        <v>0</v>
      </c>
      <c r="AB17" s="76"/>
    </row>
    <row r="18" spans="1:28" ht="39">
      <c r="A18" s="3"/>
      <c r="B18" s="3"/>
      <c r="D18" s="76"/>
      <c r="E18" s="6"/>
      <c r="F18" s="3"/>
      <c r="G18" s="76"/>
      <c r="H18" s="3"/>
      <c r="I18" s="248"/>
      <c r="K18" s="116"/>
      <c r="L18" s="3"/>
      <c r="M18" s="15" t="s">
        <v>298</v>
      </c>
      <c r="N18" s="248">
        <f>$K$16*'Paso 5-Trat.+recicl. desechos'!I31/100</f>
        <v>0</v>
      </c>
      <c r="O18" s="3" t="s">
        <v>36</v>
      </c>
      <c r="P18" s="131"/>
      <c r="Q18" s="131">
        <v>0.5</v>
      </c>
      <c r="R18" s="131"/>
      <c r="S18" s="131"/>
      <c r="T18" s="131">
        <v>0.3</v>
      </c>
      <c r="U18" s="131">
        <v>0.2</v>
      </c>
      <c r="V18" s="201">
        <f t="shared" si="1"/>
        <v>0</v>
      </c>
      <c r="W18" s="201">
        <f t="shared" si="1"/>
        <v>0</v>
      </c>
      <c r="X18" s="201">
        <f t="shared" si="1"/>
        <v>0</v>
      </c>
      <c r="Y18" s="201">
        <f t="shared" si="1"/>
        <v>0</v>
      </c>
      <c r="Z18" s="201">
        <f t="shared" si="1"/>
        <v>0</v>
      </c>
      <c r="AA18" s="201">
        <f t="shared" si="1"/>
        <v>0</v>
      </c>
      <c r="AB18" s="76"/>
    </row>
    <row r="19" spans="1:28" s="55" customFormat="1" ht="52">
      <c r="A19" s="104"/>
      <c r="B19" s="104"/>
      <c r="D19" s="76"/>
      <c r="E19" s="106"/>
      <c r="F19" s="104"/>
      <c r="G19" s="76"/>
      <c r="H19" s="104"/>
      <c r="I19" s="248"/>
      <c r="J19" s="449"/>
      <c r="K19" s="116"/>
      <c r="L19" s="104"/>
      <c r="M19" s="107" t="s">
        <v>299</v>
      </c>
      <c r="N19" s="248">
        <f>$K$16*'Paso 5-Trat.+recicl. desechos'!J31/100</f>
        <v>0</v>
      </c>
      <c r="O19" s="104" t="s">
        <v>36</v>
      </c>
      <c r="P19" s="131"/>
      <c r="Q19" s="131">
        <v>0.5</v>
      </c>
      <c r="R19" s="131">
        <v>0.2</v>
      </c>
      <c r="S19" s="131"/>
      <c r="T19" s="131">
        <v>0.15</v>
      </c>
      <c r="U19" s="131">
        <v>0.15</v>
      </c>
      <c r="V19" s="201">
        <f t="shared" si="1"/>
        <v>0</v>
      </c>
      <c r="W19" s="201">
        <f t="shared" si="1"/>
        <v>0</v>
      </c>
      <c r="X19" s="201">
        <f t="shared" si="1"/>
        <v>0</v>
      </c>
      <c r="Y19" s="201">
        <f t="shared" si="1"/>
        <v>0</v>
      </c>
      <c r="Z19" s="201">
        <f t="shared" si="1"/>
        <v>0</v>
      </c>
      <c r="AA19" s="201">
        <f t="shared" si="1"/>
        <v>0</v>
      </c>
      <c r="AB19" s="76"/>
    </row>
    <row r="20" spans="1:28" ht="13">
      <c r="C20" s="5"/>
      <c r="D20" s="5"/>
      <c r="G20" s="3"/>
      <c r="H20" s="3"/>
      <c r="I20" s="239"/>
      <c r="J20" s="3"/>
      <c r="K20" s="3"/>
      <c r="M20" s="32"/>
      <c r="N20" s="249"/>
      <c r="O20" s="3"/>
      <c r="P20" s="195"/>
      <c r="Q20" s="195"/>
      <c r="R20" s="195"/>
      <c r="S20" s="195"/>
      <c r="T20" s="195"/>
      <c r="U20" s="195"/>
      <c r="V20" s="195"/>
      <c r="W20" s="195"/>
      <c r="X20" s="195"/>
      <c r="Y20" s="195"/>
      <c r="Z20" s="195"/>
      <c r="AA20" s="195"/>
      <c r="AB20" s="3"/>
    </row>
    <row r="21" spans="1:28" ht="13">
      <c r="C21" s="5" t="s">
        <v>56</v>
      </c>
      <c r="G21" s="3"/>
      <c r="H21" s="3"/>
      <c r="I21" s="239"/>
      <c r="J21" s="3"/>
      <c r="K21" s="3"/>
      <c r="M21" s="32"/>
      <c r="N21" s="249"/>
      <c r="O21" s="3"/>
      <c r="P21" s="3"/>
      <c r="Q21" s="3"/>
      <c r="R21" s="3"/>
      <c r="S21" s="3"/>
      <c r="T21" s="3"/>
      <c r="U21" s="3"/>
      <c r="V21" s="3"/>
      <c r="W21" s="3"/>
      <c r="X21" s="3"/>
      <c r="Y21" s="3"/>
      <c r="Z21" s="3"/>
      <c r="AA21" s="3"/>
      <c r="AB21" s="3"/>
    </row>
    <row r="22" spans="1:28" ht="13">
      <c r="C22" s="8" t="s">
        <v>288</v>
      </c>
      <c r="G22" s="3"/>
      <c r="H22" s="3"/>
      <c r="I22" s="239"/>
      <c r="J22" s="3"/>
      <c r="K22" s="3"/>
      <c r="M22" s="32"/>
      <c r="N22" s="249"/>
      <c r="O22" s="3"/>
      <c r="P22" s="3"/>
      <c r="Q22" s="3"/>
      <c r="R22" s="3"/>
      <c r="S22" s="3"/>
      <c r="T22" s="3"/>
      <c r="U22" s="3"/>
      <c r="V22" s="196"/>
      <c r="W22" s="196"/>
      <c r="X22" s="196"/>
      <c r="Y22" s="196"/>
      <c r="Z22" s="196"/>
      <c r="AA22" s="196"/>
      <c r="AB22" s="3"/>
    </row>
    <row r="23" spans="1:28" s="48" customFormat="1" ht="13">
      <c r="C23" s="52" t="s">
        <v>289</v>
      </c>
      <c r="D23" s="37"/>
      <c r="G23" s="28"/>
      <c r="H23" s="28"/>
      <c r="I23" s="257"/>
      <c r="J23" s="28"/>
      <c r="K23" s="28"/>
      <c r="M23" s="34"/>
      <c r="N23" s="256"/>
      <c r="O23" s="17"/>
      <c r="P23" s="28"/>
      <c r="Q23" s="28"/>
      <c r="R23" s="28"/>
      <c r="S23" s="28"/>
      <c r="T23" s="28"/>
      <c r="U23" s="28"/>
      <c r="V23" s="197"/>
      <c r="W23" s="197"/>
      <c r="X23" s="197"/>
      <c r="Y23" s="197"/>
      <c r="Z23" s="197"/>
      <c r="AA23" s="197"/>
      <c r="AB23" s="28"/>
    </row>
    <row r="24" spans="1:28" s="48" customFormat="1" ht="13">
      <c r="C24" s="50"/>
      <c r="D24" s="50"/>
      <c r="G24" s="28"/>
      <c r="H24" s="28"/>
      <c r="I24" s="257"/>
      <c r="J24" s="28"/>
      <c r="K24" s="28"/>
      <c r="M24" s="34"/>
      <c r="N24" s="256"/>
      <c r="O24" s="28"/>
      <c r="P24" s="28"/>
      <c r="Q24" s="28"/>
      <c r="R24" s="28"/>
      <c r="S24" s="28"/>
      <c r="T24" s="28"/>
      <c r="U24" s="28"/>
      <c r="V24" s="197"/>
      <c r="W24" s="197"/>
      <c r="X24" s="197"/>
      <c r="Y24" s="197"/>
      <c r="Z24" s="197"/>
      <c r="AA24" s="197"/>
      <c r="AB24" s="28"/>
    </row>
    <row r="25" spans="1:28" s="48" customFormat="1" ht="13">
      <c r="C25" s="28"/>
      <c r="D25" s="28"/>
      <c r="G25" s="28"/>
      <c r="H25" s="28"/>
      <c r="I25" s="257"/>
      <c r="J25" s="28"/>
      <c r="K25" s="28"/>
      <c r="M25" s="32"/>
      <c r="N25" s="256"/>
      <c r="O25" s="28"/>
      <c r="P25" s="28"/>
      <c r="Q25" s="28"/>
      <c r="R25" s="28"/>
      <c r="S25" s="28"/>
      <c r="T25" s="28"/>
      <c r="U25" s="28"/>
      <c r="V25" s="198"/>
      <c r="W25" s="198"/>
      <c r="X25" s="198"/>
      <c r="Y25" s="198"/>
      <c r="Z25" s="198"/>
      <c r="AA25" s="198"/>
      <c r="AB25" s="28"/>
    </row>
    <row r="26" spans="1:28" s="48" customFormat="1" ht="13">
      <c r="C26" s="51"/>
      <c r="G26" s="28"/>
      <c r="H26" s="28"/>
      <c r="I26" s="257"/>
      <c r="J26" s="28"/>
      <c r="K26" s="28"/>
      <c r="M26" s="32"/>
      <c r="N26" s="256"/>
      <c r="O26" s="28"/>
      <c r="P26" s="28"/>
      <c r="Q26" s="28"/>
      <c r="R26" s="28"/>
      <c r="S26" s="28"/>
      <c r="T26" s="28"/>
      <c r="U26" s="28"/>
      <c r="V26" s="28"/>
      <c r="W26" s="28"/>
      <c r="X26" s="28"/>
      <c r="Y26" s="28"/>
      <c r="Z26" s="28"/>
      <c r="AA26" s="28"/>
      <c r="AB26" s="28"/>
    </row>
    <row r="27" spans="1:28" s="48" customFormat="1" ht="13">
      <c r="C27" s="35"/>
      <c r="G27" s="28"/>
      <c r="H27" s="28"/>
      <c r="I27" s="257"/>
      <c r="J27" s="28"/>
      <c r="K27" s="28"/>
      <c r="M27" s="34"/>
      <c r="N27" s="256"/>
      <c r="O27" s="17"/>
      <c r="P27" s="28"/>
      <c r="Q27" s="28"/>
      <c r="R27" s="28"/>
      <c r="S27" s="28"/>
      <c r="T27" s="28"/>
      <c r="U27" s="28"/>
      <c r="V27" s="28"/>
      <c r="W27" s="28"/>
      <c r="X27" s="28"/>
      <c r="Y27" s="28"/>
      <c r="Z27" s="28"/>
      <c r="AA27" s="28"/>
      <c r="AB27" s="28"/>
    </row>
    <row r="28" spans="1:28" s="48" customFormat="1" ht="13">
      <c r="C28" s="35"/>
      <c r="G28" s="28"/>
      <c r="H28" s="28"/>
      <c r="I28" s="257"/>
      <c r="J28" s="28"/>
      <c r="K28" s="28"/>
      <c r="M28" s="34"/>
      <c r="N28" s="257"/>
      <c r="O28" s="28"/>
      <c r="P28" s="28"/>
      <c r="Q28" s="28"/>
      <c r="R28" s="28"/>
      <c r="S28" s="28"/>
      <c r="T28" s="28"/>
      <c r="U28" s="28"/>
      <c r="V28" s="28"/>
      <c r="W28" s="28"/>
      <c r="X28" s="28"/>
      <c r="Y28" s="28"/>
      <c r="Z28" s="28"/>
      <c r="AA28" s="28"/>
      <c r="AB28" s="28"/>
    </row>
    <row r="29" spans="1:28" ht="13">
      <c r="C29" s="35"/>
      <c r="G29" s="3"/>
      <c r="H29" s="3"/>
      <c r="I29" s="239"/>
      <c r="J29" s="3"/>
      <c r="K29" s="3"/>
      <c r="M29" s="34"/>
      <c r="N29" s="239"/>
      <c r="O29" s="3"/>
      <c r="P29" s="3"/>
      <c r="Q29" s="3"/>
      <c r="R29" s="3"/>
      <c r="S29" s="3"/>
      <c r="T29" s="3"/>
      <c r="U29" s="3"/>
      <c r="V29" s="3"/>
      <c r="W29" s="3"/>
      <c r="X29" s="3"/>
      <c r="Y29" s="3"/>
      <c r="Z29" s="3"/>
      <c r="AA29" s="3"/>
      <c r="AB29" s="3"/>
    </row>
    <row r="30" spans="1:28" ht="13">
      <c r="C30" s="35"/>
      <c r="G30" s="3"/>
      <c r="H30" s="3"/>
      <c r="I30" s="239"/>
      <c r="J30" s="3"/>
      <c r="K30" s="3"/>
      <c r="M30" s="34"/>
      <c r="N30" s="239"/>
      <c r="O30" s="3"/>
      <c r="P30" s="3"/>
      <c r="Q30" s="3"/>
      <c r="R30" s="3"/>
      <c r="S30" s="3"/>
      <c r="T30" s="3"/>
      <c r="U30" s="3"/>
      <c r="V30" s="3"/>
      <c r="W30" s="3"/>
      <c r="X30" s="3"/>
      <c r="Y30" s="3"/>
      <c r="Z30" s="3"/>
      <c r="AA30" s="3"/>
      <c r="AB30" s="3"/>
    </row>
    <row r="31" spans="1:28" ht="13">
      <c r="G31" s="3"/>
      <c r="H31" s="3"/>
      <c r="I31" s="239"/>
      <c r="J31" s="3"/>
      <c r="K31" s="3"/>
      <c r="M31" s="34"/>
      <c r="N31" s="239"/>
      <c r="O31" s="3"/>
      <c r="P31" s="3"/>
      <c r="Q31" s="3"/>
      <c r="R31" s="3"/>
      <c r="S31" s="3"/>
      <c r="T31" s="3"/>
      <c r="U31" s="3"/>
      <c r="V31" s="3"/>
      <c r="W31" s="3"/>
      <c r="X31" s="3"/>
      <c r="Y31" s="3"/>
      <c r="Z31" s="3"/>
      <c r="AA31" s="3"/>
      <c r="AB31" s="3"/>
    </row>
    <row r="32" spans="1:28" ht="13">
      <c r="G32" s="3"/>
      <c r="H32" s="3"/>
      <c r="I32" s="239"/>
      <c r="J32" s="3"/>
      <c r="K32" s="3"/>
      <c r="M32" s="16"/>
      <c r="N32" s="239"/>
      <c r="O32" s="3"/>
      <c r="P32" s="3"/>
      <c r="Q32" s="3"/>
      <c r="R32" s="3"/>
      <c r="S32" s="3"/>
      <c r="T32" s="3"/>
      <c r="U32" s="3"/>
      <c r="V32" s="3"/>
      <c r="W32" s="3"/>
      <c r="X32" s="3"/>
      <c r="Y32" s="3"/>
      <c r="Z32" s="3"/>
      <c r="AA32" s="3"/>
      <c r="AB32" s="3"/>
    </row>
    <row r="33" spans="4:28" ht="13">
      <c r="G33" s="3"/>
      <c r="H33" s="3"/>
      <c r="I33" s="239"/>
      <c r="J33" s="3"/>
      <c r="K33" s="3"/>
      <c r="M33" s="16"/>
      <c r="N33" s="239"/>
      <c r="O33" s="3"/>
      <c r="P33" s="3"/>
      <c r="Q33" s="3"/>
      <c r="R33" s="3"/>
      <c r="S33" s="3"/>
      <c r="T33" s="3"/>
      <c r="U33" s="3"/>
      <c r="V33" s="3"/>
      <c r="W33" s="3"/>
      <c r="X33" s="3"/>
      <c r="Y33" s="3"/>
      <c r="Z33" s="3"/>
      <c r="AA33" s="3"/>
      <c r="AB33" s="3"/>
    </row>
    <row r="34" spans="4:28" ht="13">
      <c r="G34" s="3"/>
      <c r="H34" s="3"/>
      <c r="I34" s="239"/>
      <c r="J34" s="3"/>
      <c r="K34" s="3"/>
      <c r="M34" s="16"/>
      <c r="N34" s="239"/>
      <c r="O34" s="3"/>
      <c r="P34" s="3"/>
      <c r="Q34" s="3"/>
      <c r="R34" s="3"/>
      <c r="S34" s="3"/>
      <c r="T34" s="3"/>
      <c r="U34" s="3"/>
      <c r="V34" s="3"/>
      <c r="W34" s="3"/>
      <c r="X34" s="3"/>
      <c r="Y34" s="3"/>
      <c r="Z34" s="3"/>
      <c r="AA34" s="3"/>
      <c r="AB34" s="3"/>
    </row>
    <row r="35" spans="4:28" ht="13">
      <c r="G35" s="3"/>
      <c r="H35" s="3"/>
      <c r="I35" s="239"/>
      <c r="J35" s="3"/>
      <c r="K35" s="3"/>
      <c r="M35" s="16"/>
      <c r="N35" s="239"/>
      <c r="O35" s="3"/>
      <c r="P35" s="3"/>
      <c r="Q35" s="3"/>
      <c r="R35" s="3"/>
      <c r="S35" s="3"/>
      <c r="T35" s="3"/>
      <c r="U35" s="3"/>
      <c r="V35" s="3"/>
      <c r="W35" s="3"/>
      <c r="X35" s="3"/>
      <c r="Y35" s="3"/>
      <c r="Z35" s="3"/>
      <c r="AA35" s="3"/>
      <c r="AB35" s="3"/>
    </row>
    <row r="36" spans="4:28" ht="13">
      <c r="G36" s="3"/>
      <c r="H36" s="3"/>
      <c r="I36" s="239"/>
      <c r="J36" s="3"/>
      <c r="K36" s="3"/>
      <c r="M36" s="15"/>
      <c r="N36" s="239"/>
      <c r="O36" s="3"/>
      <c r="P36" s="3"/>
      <c r="Q36" s="3"/>
      <c r="R36" s="3"/>
      <c r="S36" s="3"/>
      <c r="T36" s="3"/>
      <c r="U36" s="3"/>
      <c r="V36" s="3"/>
      <c r="W36" s="3"/>
      <c r="X36" s="3"/>
      <c r="Y36" s="3"/>
      <c r="Z36" s="3"/>
      <c r="AA36" s="3"/>
      <c r="AB36" s="3"/>
    </row>
    <row r="37" spans="4:28" ht="13">
      <c r="G37" s="3"/>
      <c r="H37" s="3"/>
      <c r="I37" s="239"/>
      <c r="J37" s="3"/>
      <c r="K37" s="3"/>
      <c r="M37" s="15"/>
      <c r="N37" s="239"/>
      <c r="O37" s="3"/>
      <c r="P37" s="3"/>
      <c r="Q37" s="3"/>
      <c r="R37" s="3"/>
      <c r="S37" s="3"/>
      <c r="T37" s="3"/>
      <c r="U37" s="3"/>
      <c r="V37" s="3"/>
      <c r="W37" s="3"/>
      <c r="X37" s="3"/>
      <c r="Y37" s="3"/>
      <c r="Z37" s="3"/>
      <c r="AA37" s="3"/>
      <c r="AB37" s="3"/>
    </row>
    <row r="38" spans="4:28" ht="13">
      <c r="G38" s="3"/>
      <c r="H38" s="3"/>
      <c r="I38" s="239"/>
      <c r="J38" s="3"/>
      <c r="K38" s="3"/>
      <c r="M38" s="15"/>
      <c r="N38" s="239"/>
      <c r="O38" s="3"/>
      <c r="P38" s="3"/>
      <c r="Q38" s="3"/>
      <c r="R38" s="3"/>
      <c r="S38" s="3"/>
      <c r="T38" s="3"/>
      <c r="U38" s="3"/>
      <c r="V38" s="3"/>
      <c r="W38" s="3"/>
      <c r="X38" s="3"/>
      <c r="Y38" s="3"/>
      <c r="Z38" s="3"/>
      <c r="AA38" s="3"/>
      <c r="AB38" s="3"/>
    </row>
    <row r="39" spans="4:28">
      <c r="G39" s="3"/>
      <c r="H39" s="3"/>
      <c r="I39" s="239"/>
      <c r="J39" s="3"/>
      <c r="K39" s="3"/>
      <c r="N39" s="239"/>
      <c r="O39" s="3"/>
      <c r="P39" s="3"/>
      <c r="Q39" s="3"/>
      <c r="R39" s="3"/>
      <c r="S39" s="3"/>
      <c r="T39" s="3"/>
      <c r="U39" s="3"/>
      <c r="V39" s="3"/>
      <c r="W39" s="3"/>
      <c r="X39" s="3"/>
      <c r="Y39" s="3"/>
      <c r="Z39" s="3"/>
      <c r="AA39" s="3"/>
      <c r="AB39" s="3"/>
    </row>
    <row r="40" spans="4:28">
      <c r="G40" s="3"/>
      <c r="H40" s="3"/>
      <c r="I40" s="239"/>
      <c r="J40" s="3"/>
      <c r="K40" s="3"/>
      <c r="N40" s="239"/>
      <c r="O40" s="3"/>
      <c r="P40" s="3"/>
      <c r="Q40" s="3"/>
      <c r="R40" s="3"/>
      <c r="S40" s="3"/>
      <c r="T40" s="3"/>
      <c r="U40" s="3"/>
      <c r="V40" s="3"/>
      <c r="W40" s="3"/>
      <c r="X40" s="3"/>
      <c r="Y40" s="3"/>
      <c r="Z40" s="3"/>
      <c r="AA40" s="3"/>
      <c r="AB40" s="3"/>
    </row>
    <row r="41" spans="4:28">
      <c r="G41" s="3"/>
      <c r="H41" s="3"/>
      <c r="I41" s="239"/>
      <c r="J41" s="3"/>
      <c r="K41" s="3"/>
      <c r="N41" s="239"/>
      <c r="O41" s="3"/>
      <c r="P41" s="3"/>
      <c r="Q41" s="3"/>
      <c r="R41" s="3"/>
      <c r="S41" s="3"/>
      <c r="T41" s="3"/>
      <c r="U41" s="3"/>
      <c r="V41" s="3"/>
      <c r="W41" s="3"/>
      <c r="X41" s="3"/>
      <c r="Y41" s="3"/>
      <c r="Z41" s="3"/>
      <c r="AA41" s="3"/>
      <c r="AB41" s="3"/>
    </row>
    <row r="42" spans="4:28" ht="13">
      <c r="G42" s="3"/>
      <c r="H42" s="3"/>
      <c r="I42" s="239"/>
      <c r="J42" s="3"/>
      <c r="K42" s="3"/>
      <c r="M42" s="14"/>
      <c r="N42" s="239"/>
      <c r="O42" s="3"/>
      <c r="P42" s="3"/>
      <c r="Q42" s="3"/>
      <c r="R42" s="3"/>
      <c r="S42" s="3"/>
      <c r="T42" s="3"/>
      <c r="U42" s="3"/>
      <c r="V42" s="3"/>
      <c r="W42" s="3"/>
      <c r="X42" s="3"/>
      <c r="Y42" s="3"/>
      <c r="Z42" s="3"/>
      <c r="AA42" s="3"/>
      <c r="AB42" s="3"/>
    </row>
    <row r="43" spans="4:28" ht="13">
      <c r="M43" s="14"/>
      <c r="N43" s="249"/>
      <c r="O43" s="3"/>
      <c r="P43" s="3"/>
      <c r="Q43" s="3"/>
      <c r="R43" s="3"/>
      <c r="S43" s="3"/>
      <c r="T43" s="3"/>
      <c r="U43" s="3"/>
      <c r="V43" s="3"/>
      <c r="W43" s="3"/>
      <c r="X43" s="3"/>
      <c r="Y43" s="3"/>
      <c r="Z43" s="3"/>
      <c r="AA43" s="3"/>
      <c r="AB43" s="3"/>
    </row>
    <row r="44" spans="4:28" ht="13">
      <c r="D44" s="5"/>
      <c r="N44" s="239"/>
      <c r="O44" s="3"/>
      <c r="P44" s="3"/>
      <c r="Q44" s="3"/>
      <c r="R44" s="3"/>
      <c r="S44" s="3"/>
      <c r="T44" s="3"/>
      <c r="U44" s="3"/>
      <c r="V44" s="3"/>
      <c r="W44" s="3"/>
      <c r="X44" s="3"/>
      <c r="Y44" s="3"/>
      <c r="Z44" s="3"/>
      <c r="AA44" s="3"/>
      <c r="AB44" s="3"/>
    </row>
    <row r="45" spans="4:28">
      <c r="N45" s="239"/>
      <c r="O45" s="3"/>
      <c r="P45" s="3"/>
      <c r="Q45" s="3"/>
      <c r="R45" s="3"/>
      <c r="S45" s="3"/>
      <c r="T45" s="3"/>
      <c r="U45" s="3"/>
      <c r="V45" s="3"/>
      <c r="W45" s="3"/>
      <c r="X45" s="3"/>
      <c r="Y45" s="3"/>
      <c r="Z45" s="3"/>
      <c r="AA45" s="3"/>
      <c r="AB45" s="3"/>
    </row>
    <row r="46" spans="4:28">
      <c r="N46" s="239"/>
      <c r="O46" s="3"/>
      <c r="P46" s="3"/>
      <c r="Q46" s="3"/>
      <c r="R46" s="3"/>
      <c r="S46" s="3"/>
      <c r="T46" s="3"/>
      <c r="U46" s="3"/>
      <c r="V46" s="3"/>
      <c r="W46" s="3"/>
      <c r="X46" s="3"/>
      <c r="Y46" s="3"/>
      <c r="Z46" s="3"/>
      <c r="AA46" s="3"/>
      <c r="AB46" s="3"/>
    </row>
    <row r="47" spans="4:28">
      <c r="N47" s="239"/>
      <c r="O47" s="3"/>
      <c r="P47" s="3"/>
      <c r="Q47" s="3"/>
      <c r="R47" s="3"/>
      <c r="S47" s="3"/>
      <c r="T47" s="3"/>
      <c r="U47" s="3"/>
      <c r="V47" s="3"/>
      <c r="W47" s="3"/>
      <c r="X47" s="3"/>
      <c r="Y47" s="3"/>
      <c r="Z47" s="3"/>
      <c r="AA47" s="3"/>
      <c r="AB47" s="3"/>
    </row>
    <row r="48" spans="4:28">
      <c r="N48" s="239"/>
      <c r="O48" s="3"/>
      <c r="P48" s="3"/>
      <c r="Q48" s="3"/>
      <c r="R48" s="3"/>
      <c r="S48" s="3"/>
      <c r="T48" s="3"/>
      <c r="U48" s="3"/>
      <c r="V48" s="3"/>
      <c r="W48" s="3"/>
      <c r="X48" s="3"/>
      <c r="Y48" s="3"/>
      <c r="Z48" s="3"/>
      <c r="AA48" s="3"/>
      <c r="AB48" s="3"/>
    </row>
    <row r="49" spans="14:28">
      <c r="N49" s="239"/>
      <c r="O49" s="3"/>
      <c r="P49" s="3"/>
      <c r="Q49" s="3"/>
      <c r="R49" s="3"/>
      <c r="S49" s="3"/>
      <c r="T49" s="3"/>
      <c r="U49" s="3"/>
      <c r="V49" s="3"/>
      <c r="W49" s="3"/>
      <c r="X49" s="3"/>
      <c r="Y49" s="3"/>
      <c r="Z49" s="3"/>
      <c r="AA49" s="3"/>
      <c r="AB49" s="3"/>
    </row>
    <row r="50" spans="14:28">
      <c r="N50" s="239"/>
      <c r="O50" s="3"/>
      <c r="P50" s="3"/>
      <c r="Q50" s="3"/>
      <c r="R50" s="3"/>
      <c r="S50" s="3"/>
      <c r="T50" s="3"/>
      <c r="U50" s="3"/>
      <c r="V50" s="3"/>
      <c r="W50" s="3"/>
      <c r="X50" s="3"/>
      <c r="Y50" s="3"/>
      <c r="Z50" s="3"/>
      <c r="AA50" s="3"/>
      <c r="AB50" s="3"/>
    </row>
    <row r="51" spans="14:28">
      <c r="N51" s="239"/>
      <c r="O51" s="3"/>
      <c r="P51" s="3"/>
      <c r="Q51" s="3"/>
      <c r="R51" s="3"/>
      <c r="S51" s="3"/>
      <c r="T51" s="3"/>
      <c r="U51" s="3"/>
      <c r="V51" s="3"/>
      <c r="W51" s="3"/>
      <c r="X51" s="3"/>
      <c r="Y51" s="3"/>
      <c r="Z51" s="3"/>
      <c r="AA51" s="3"/>
      <c r="AB51" s="3"/>
    </row>
    <row r="52" spans="14:28">
      <c r="N52" s="239"/>
      <c r="O52" s="3"/>
      <c r="P52" s="3"/>
      <c r="Q52" s="3"/>
      <c r="R52" s="3"/>
      <c r="S52" s="3"/>
      <c r="T52" s="3"/>
      <c r="U52" s="3"/>
      <c r="V52" s="3"/>
      <c r="W52" s="3"/>
      <c r="X52" s="3"/>
      <c r="Y52" s="3"/>
      <c r="Z52" s="3"/>
      <c r="AA52" s="3"/>
      <c r="AB52" s="3"/>
    </row>
    <row r="53" spans="14:28">
      <c r="N53" s="239"/>
      <c r="O53" s="3"/>
      <c r="P53" s="3"/>
      <c r="Q53" s="3"/>
      <c r="R53" s="3"/>
      <c r="S53" s="3"/>
      <c r="T53" s="3"/>
      <c r="U53" s="3"/>
      <c r="V53" s="3"/>
      <c r="W53" s="3"/>
      <c r="X53" s="3"/>
      <c r="Y53" s="3"/>
      <c r="Z53" s="3"/>
      <c r="AA53" s="3"/>
      <c r="AB53" s="3"/>
    </row>
    <row r="54" spans="14:28">
      <c r="N54" s="239"/>
      <c r="O54" s="3"/>
      <c r="P54" s="3"/>
      <c r="Q54" s="3"/>
      <c r="R54" s="3"/>
      <c r="S54" s="3"/>
      <c r="T54" s="3"/>
      <c r="U54" s="3"/>
      <c r="V54" s="3"/>
      <c r="W54" s="3"/>
      <c r="X54" s="3"/>
      <c r="Y54" s="3"/>
      <c r="Z54" s="3"/>
      <c r="AA54" s="3"/>
      <c r="AB54" s="3"/>
    </row>
    <row r="55" spans="14:28">
      <c r="N55" s="239"/>
      <c r="O55" s="3"/>
      <c r="P55" s="3"/>
      <c r="Q55" s="3"/>
      <c r="R55" s="3"/>
      <c r="S55" s="3"/>
      <c r="T55" s="3"/>
      <c r="U55" s="3"/>
      <c r="V55" s="3"/>
      <c r="W55" s="3"/>
      <c r="X55" s="3"/>
      <c r="Y55" s="3"/>
      <c r="Z55" s="3"/>
      <c r="AA55" s="3"/>
      <c r="AB55" s="3"/>
    </row>
    <row r="56" spans="14:28">
      <c r="N56" s="239"/>
      <c r="O56" s="3"/>
      <c r="P56" s="3"/>
      <c r="Q56" s="3"/>
      <c r="R56" s="3"/>
      <c r="S56" s="3"/>
      <c r="T56" s="3"/>
      <c r="U56" s="3"/>
      <c r="V56" s="3"/>
      <c r="W56" s="3"/>
      <c r="X56" s="3"/>
      <c r="Y56" s="3"/>
      <c r="Z56" s="3"/>
      <c r="AA56" s="3"/>
      <c r="AB56" s="3"/>
    </row>
    <row r="57" spans="14:28">
      <c r="N57" s="239"/>
      <c r="O57" s="3"/>
      <c r="P57" s="3"/>
      <c r="Q57" s="3"/>
      <c r="R57" s="3"/>
      <c r="S57" s="3"/>
      <c r="T57" s="3"/>
      <c r="U57" s="3"/>
      <c r="V57" s="3"/>
      <c r="W57" s="3"/>
      <c r="X57" s="3"/>
      <c r="Y57" s="3"/>
      <c r="Z57" s="3"/>
      <c r="AA57" s="3"/>
      <c r="AB57" s="3"/>
    </row>
    <row r="58" spans="14:28">
      <c r="N58" s="239"/>
      <c r="O58" s="3"/>
      <c r="P58" s="3"/>
      <c r="Q58" s="3"/>
      <c r="R58" s="3"/>
      <c r="S58" s="3"/>
      <c r="T58" s="3"/>
      <c r="U58" s="3"/>
      <c r="V58" s="3"/>
      <c r="W58" s="3"/>
      <c r="X58" s="3"/>
      <c r="Y58" s="3"/>
      <c r="Z58" s="3"/>
      <c r="AA58" s="3"/>
      <c r="AB58" s="3"/>
    </row>
    <row r="59" spans="14:28">
      <c r="N59" s="239"/>
      <c r="O59" s="3"/>
      <c r="P59" s="3"/>
      <c r="Q59" s="3"/>
      <c r="R59" s="3"/>
      <c r="S59" s="3"/>
      <c r="T59" s="3"/>
      <c r="U59" s="3"/>
      <c r="V59" s="3"/>
      <c r="W59" s="3"/>
      <c r="X59" s="3"/>
      <c r="Y59" s="3"/>
      <c r="Z59" s="3"/>
      <c r="AA59" s="3"/>
      <c r="AB59" s="3"/>
    </row>
    <row r="60" spans="14:28">
      <c r="N60" s="239"/>
      <c r="O60" s="3"/>
      <c r="P60" s="3"/>
      <c r="Q60" s="3"/>
      <c r="R60" s="3"/>
      <c r="S60" s="3"/>
      <c r="T60" s="3"/>
      <c r="U60" s="3"/>
      <c r="V60" s="3"/>
      <c r="W60" s="3"/>
      <c r="X60" s="3"/>
      <c r="Y60" s="3"/>
      <c r="Z60" s="3"/>
      <c r="AA60" s="3"/>
      <c r="AB60" s="3"/>
    </row>
    <row r="61" spans="14:28">
      <c r="N61" s="239"/>
      <c r="O61" s="3"/>
      <c r="P61" s="3"/>
      <c r="Q61" s="3"/>
      <c r="R61" s="3"/>
      <c r="S61" s="3"/>
      <c r="T61" s="3"/>
      <c r="U61" s="3"/>
      <c r="V61" s="3"/>
      <c r="W61" s="3"/>
      <c r="X61" s="3"/>
      <c r="Y61" s="3"/>
      <c r="Z61" s="3"/>
      <c r="AA61" s="3"/>
      <c r="AB61" s="3"/>
    </row>
  </sheetData>
  <sheetProtection algorithmName="SHA-512" hashValue="YXqvPAZv/EPMT7pmqM/SrOxNJ898QcN2MBaRyUFC3nJvq10K8Ln/VHNjZA+lOJPOMr1tfMtxYZHfgr44kxMeCg==" saltValue="TUWHvZlqwbcFJOinLsZL3A==" spinCount="100000" sheet="1" objects="1" scenarios="1"/>
  <phoneticPr fontId="2" type="noConversion"/>
  <pageMargins left="0.39370078740157483" right="0.39370078740157483" top="0.74803149606299213" bottom="0.74803149606299213" header="0.31496062992125984" footer="0.31496062992125984"/>
  <pageSetup paperSize="9" orientation="landscape" r:id="rId1"/>
  <headerFooter>
    <oddFooter>&amp;L&amp;A
Printed &amp;D</oddFooter>
  </headerFooter>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A1:AB74"/>
  <sheetViews>
    <sheetView zoomScale="70" zoomScaleNormal="70" workbookViewId="0">
      <selection activeCell="A6" sqref="A6"/>
    </sheetView>
  </sheetViews>
  <sheetFormatPr defaultColWidth="8.81640625" defaultRowHeight="12.5"/>
  <cols>
    <col min="1" max="1" width="3" customWidth="1"/>
    <col min="2" max="2" width="6.1796875" customWidth="1"/>
    <col min="3" max="3" width="32.453125" customWidth="1"/>
    <col min="4" max="4" width="7.36328125" customWidth="1"/>
    <col min="5" max="5" width="11" customWidth="1"/>
    <col min="6" max="6" width="12.36328125" customWidth="1"/>
    <col min="7" max="7" width="10.36328125" customWidth="1"/>
    <col min="8" max="8" width="16.81640625" customWidth="1"/>
    <col min="9" max="9" width="12.453125" style="240" customWidth="1"/>
    <col min="10" max="10" width="16" customWidth="1"/>
    <col min="11" max="11" width="11.36328125" customWidth="1"/>
    <col min="12" max="12" width="11.453125" customWidth="1"/>
    <col min="13" max="13" width="10.81640625" style="13" customWidth="1"/>
    <col min="14" max="14" width="9.1796875" style="240"/>
    <col min="15" max="15" width="8" customWidth="1"/>
    <col min="16" max="16" width="5.81640625" customWidth="1"/>
    <col min="17" max="17" width="6" customWidth="1"/>
    <col min="18" max="19" width="7.453125" customWidth="1"/>
    <col min="21" max="21" width="18.453125" customWidth="1"/>
    <col min="22" max="22" width="12.453125" customWidth="1"/>
    <col min="24" max="25" width="9.6328125" customWidth="1"/>
    <col min="26" max="26" width="11.453125" customWidth="1"/>
    <col min="27" max="27" width="18.453125" customWidth="1"/>
    <col min="28" max="28" width="63.453125" customWidth="1"/>
  </cols>
  <sheetData>
    <row r="1" spans="1:28" ht="18">
      <c r="A1" s="1" t="s">
        <v>34</v>
      </c>
      <c r="I1" s="231"/>
      <c r="N1" s="231"/>
    </row>
    <row r="2" spans="1:28" ht="14">
      <c r="A2" s="54" t="s">
        <v>313</v>
      </c>
      <c r="I2" s="231"/>
      <c r="N2" s="231"/>
    </row>
    <row r="3" spans="1:28" s="180" customFormat="1" ht="13">
      <c r="D3" s="181"/>
      <c r="E3" s="181"/>
      <c r="F3" s="181"/>
      <c r="G3" s="181"/>
      <c r="H3" s="181"/>
      <c r="I3" s="258"/>
      <c r="J3" s="181"/>
      <c r="K3" s="181"/>
      <c r="L3" s="181"/>
      <c r="M3" s="182"/>
      <c r="N3" s="258"/>
      <c r="O3" s="181"/>
      <c r="P3" s="111" t="s">
        <v>55</v>
      </c>
      <c r="Q3" s="111"/>
      <c r="R3" s="111"/>
      <c r="S3" s="111"/>
      <c r="T3" s="111"/>
      <c r="U3" s="111"/>
      <c r="V3" s="191" t="s">
        <v>54</v>
      </c>
      <c r="W3" s="56"/>
      <c r="X3" s="56"/>
      <c r="Y3" s="56"/>
      <c r="Z3" s="56"/>
      <c r="AA3" s="56"/>
      <c r="AB3" s="111"/>
    </row>
    <row r="4" spans="1:28" s="186" customFormat="1" ht="52">
      <c r="A4" s="186" t="s">
        <v>52</v>
      </c>
      <c r="B4" s="186" t="s">
        <v>50</v>
      </c>
      <c r="C4" s="136" t="s">
        <v>59</v>
      </c>
      <c r="D4" s="112" t="s">
        <v>153</v>
      </c>
      <c r="E4" s="136" t="s">
        <v>49</v>
      </c>
      <c r="F4" s="139" t="s">
        <v>35</v>
      </c>
      <c r="G4" s="112" t="s">
        <v>37</v>
      </c>
      <c r="H4" s="139" t="s">
        <v>35</v>
      </c>
      <c r="I4" s="245" t="s">
        <v>51</v>
      </c>
      <c r="J4" s="186" t="s">
        <v>35</v>
      </c>
      <c r="K4" s="84" t="s">
        <v>61</v>
      </c>
      <c r="L4" s="139" t="s">
        <v>35</v>
      </c>
      <c r="M4" s="156" t="s">
        <v>280</v>
      </c>
      <c r="N4" s="245" t="s">
        <v>92</v>
      </c>
      <c r="O4" s="139" t="s">
        <v>35</v>
      </c>
      <c r="P4" s="111" t="s">
        <v>38</v>
      </c>
      <c r="Q4" s="111" t="s">
        <v>39</v>
      </c>
      <c r="R4" s="111" t="s">
        <v>40</v>
      </c>
      <c r="S4" s="111" t="s">
        <v>41</v>
      </c>
      <c r="T4" s="112" t="s">
        <v>42</v>
      </c>
      <c r="U4" s="112" t="s">
        <v>228</v>
      </c>
      <c r="V4" s="56" t="s">
        <v>38</v>
      </c>
      <c r="W4" s="56" t="s">
        <v>39</v>
      </c>
      <c r="X4" s="56" t="s">
        <v>40</v>
      </c>
      <c r="Y4" s="56" t="s">
        <v>41</v>
      </c>
      <c r="Z4" s="57" t="s">
        <v>42</v>
      </c>
      <c r="AA4" s="57" t="s">
        <v>228</v>
      </c>
      <c r="AB4" s="111" t="s">
        <v>87</v>
      </c>
    </row>
    <row r="5" spans="1:28" s="129" customFormat="1" ht="39">
      <c r="A5" s="129" t="s">
        <v>274</v>
      </c>
      <c r="C5" s="134" t="s">
        <v>276</v>
      </c>
      <c r="D5" s="111"/>
      <c r="F5" s="128"/>
      <c r="G5" s="76"/>
      <c r="H5" s="128"/>
      <c r="I5" s="247"/>
      <c r="K5" s="189"/>
      <c r="L5" s="128"/>
      <c r="M5" s="135"/>
      <c r="N5" s="247"/>
      <c r="O5" s="128"/>
      <c r="P5" s="127"/>
      <c r="Q5" s="127"/>
      <c r="R5" s="127"/>
      <c r="S5" s="127"/>
      <c r="T5" s="127"/>
      <c r="U5" s="127"/>
      <c r="V5" s="58"/>
      <c r="W5" s="58"/>
      <c r="X5" s="58"/>
      <c r="Y5" s="58"/>
      <c r="Z5" s="58"/>
      <c r="AA5" s="58"/>
      <c r="AB5" s="76"/>
    </row>
    <row r="6" spans="1:28" ht="26">
      <c r="B6" t="s">
        <v>275</v>
      </c>
      <c r="C6" s="12" t="s">
        <v>277</v>
      </c>
      <c r="D6" s="111"/>
      <c r="E6" s="45" t="s">
        <v>273</v>
      </c>
      <c r="F6" s="46" t="s">
        <v>273</v>
      </c>
      <c r="G6" s="188">
        <v>1.0045200000000001</v>
      </c>
      <c r="H6" s="299" t="s">
        <v>432</v>
      </c>
      <c r="I6" s="252">
        <f>'Paso 5-Trat.+recicl. desechos'!C9</f>
        <v>0</v>
      </c>
      <c r="J6" s="299" t="s">
        <v>388</v>
      </c>
      <c r="K6" s="189">
        <f>I6*G6</f>
        <v>0</v>
      </c>
      <c r="L6" s="7" t="s">
        <v>353</v>
      </c>
      <c r="M6" s="39" t="s">
        <v>355</v>
      </c>
      <c r="N6" s="444">
        <f>K6</f>
        <v>0</v>
      </c>
      <c r="O6" s="3" t="s">
        <v>36</v>
      </c>
      <c r="P6" s="131">
        <v>2E-3</v>
      </c>
      <c r="Q6" s="131">
        <v>2.3999999999999998E-3</v>
      </c>
      <c r="R6" s="131"/>
      <c r="S6" s="192" t="s">
        <v>273</v>
      </c>
      <c r="T6" s="131"/>
      <c r="U6" s="131">
        <v>1.2E-4</v>
      </c>
      <c r="V6" s="114">
        <f t="shared" ref="V6:AA6" si="0">$N6*P6</f>
        <v>0</v>
      </c>
      <c r="W6" s="114">
        <f t="shared" si="0"/>
        <v>0</v>
      </c>
      <c r="X6" s="114">
        <f t="shared" si="0"/>
        <v>0</v>
      </c>
      <c r="Y6" s="199" t="s">
        <v>273</v>
      </c>
      <c r="Z6" s="114">
        <f t="shared" si="0"/>
        <v>0</v>
      </c>
      <c r="AA6" s="114">
        <f t="shared" si="0"/>
        <v>0</v>
      </c>
      <c r="AB6" s="76"/>
    </row>
    <row r="7" spans="1:28" s="55" customFormat="1" ht="13">
      <c r="B7" s="104"/>
      <c r="C7" s="136"/>
      <c r="D7" s="76"/>
      <c r="G7" s="76"/>
      <c r="I7" s="247"/>
      <c r="K7" s="189"/>
      <c r="M7" s="107"/>
      <c r="N7" s="248"/>
      <c r="P7" s="127"/>
      <c r="Q7" s="127"/>
      <c r="R7" s="127"/>
      <c r="S7" s="127"/>
      <c r="T7" s="127"/>
      <c r="U7" s="127"/>
      <c r="V7" s="114"/>
      <c r="W7" s="114"/>
      <c r="X7" s="114"/>
      <c r="Y7" s="114"/>
      <c r="Z7" s="114"/>
      <c r="AA7" s="114"/>
      <c r="AB7" s="76"/>
    </row>
    <row r="8" spans="1:28" ht="26">
      <c r="A8" s="3"/>
      <c r="B8" s="3" t="s">
        <v>148</v>
      </c>
      <c r="C8" s="12" t="s">
        <v>278</v>
      </c>
      <c r="D8" s="111"/>
      <c r="E8" s="44" t="s">
        <v>424</v>
      </c>
      <c r="F8" s="44" t="s">
        <v>425</v>
      </c>
      <c r="G8" s="127">
        <v>1.1000000000000001</v>
      </c>
      <c r="H8" s="44" t="s">
        <v>425</v>
      </c>
      <c r="I8" s="252">
        <f>'Paso 5-Trat.+recicl. desechos'!C10</f>
        <v>0</v>
      </c>
      <c r="J8" s="299" t="s">
        <v>426</v>
      </c>
      <c r="K8" s="189">
        <f>I8*G8/1000</f>
        <v>0</v>
      </c>
      <c r="L8" s="3" t="s">
        <v>36</v>
      </c>
      <c r="M8" s="14"/>
      <c r="N8" s="248">
        <f>K8</f>
        <v>0</v>
      </c>
      <c r="O8" s="3" t="s">
        <v>36</v>
      </c>
      <c r="P8" s="284">
        <v>0.33</v>
      </c>
      <c r="Q8" s="284"/>
      <c r="R8" s="284">
        <v>0.34</v>
      </c>
      <c r="S8" s="284"/>
      <c r="T8" s="284">
        <v>0.33</v>
      </c>
      <c r="U8" s="284"/>
      <c r="V8" s="114">
        <f t="shared" ref="V8:AA8" si="1">$N8*P8</f>
        <v>0</v>
      </c>
      <c r="W8" s="114">
        <f t="shared" si="1"/>
        <v>0</v>
      </c>
      <c r="X8" s="114">
        <f t="shared" si="1"/>
        <v>0</v>
      </c>
      <c r="Y8" s="114">
        <f t="shared" si="1"/>
        <v>0</v>
      </c>
      <c r="Z8" s="114">
        <f t="shared" si="1"/>
        <v>0</v>
      </c>
      <c r="AA8" s="114">
        <f t="shared" si="1"/>
        <v>0</v>
      </c>
      <c r="AB8" s="76"/>
    </row>
    <row r="9" spans="1:28" s="55" customFormat="1" ht="13">
      <c r="A9" s="152"/>
      <c r="B9" s="104"/>
      <c r="C9" s="137"/>
      <c r="D9" s="111"/>
      <c r="E9" s="106"/>
      <c r="F9" s="104"/>
      <c r="G9" s="76"/>
      <c r="H9" s="104"/>
      <c r="I9" s="248"/>
      <c r="K9" s="190"/>
      <c r="L9" s="104"/>
      <c r="M9" s="162"/>
      <c r="N9" s="248"/>
      <c r="O9" s="104"/>
      <c r="P9" s="342"/>
      <c r="Q9" s="342"/>
      <c r="R9" s="342"/>
      <c r="S9" s="342"/>
      <c r="T9" s="342"/>
      <c r="U9" s="342"/>
      <c r="V9" s="114"/>
      <c r="W9" s="114"/>
      <c r="X9" s="114"/>
      <c r="Y9" s="114"/>
      <c r="Z9" s="114"/>
      <c r="AA9" s="114"/>
      <c r="AB9" s="76"/>
    </row>
    <row r="10" spans="1:28" s="128" customFormat="1" ht="13">
      <c r="B10" s="128" t="s">
        <v>148</v>
      </c>
      <c r="C10" s="134" t="s">
        <v>279</v>
      </c>
      <c r="D10" s="111"/>
      <c r="E10" s="187" t="s">
        <v>43</v>
      </c>
      <c r="F10" s="187" t="s">
        <v>43</v>
      </c>
      <c r="G10" s="342">
        <v>0.6</v>
      </c>
      <c r="H10" s="187" t="s">
        <v>43</v>
      </c>
      <c r="I10" s="252"/>
      <c r="J10" s="187" t="s">
        <v>43</v>
      </c>
      <c r="K10" s="189">
        <f>I10*G10/1000</f>
        <v>0</v>
      </c>
      <c r="L10" s="128" t="s">
        <v>36</v>
      </c>
      <c r="M10" s="135"/>
      <c r="N10" s="248">
        <f>K10</f>
        <v>0</v>
      </c>
      <c r="O10" s="128" t="s">
        <v>36</v>
      </c>
      <c r="P10" s="284">
        <v>0.3</v>
      </c>
      <c r="Q10" s="284">
        <v>0.1</v>
      </c>
      <c r="R10" s="284"/>
      <c r="S10" s="284"/>
      <c r="T10" s="284">
        <v>0.3</v>
      </c>
      <c r="U10" s="284">
        <v>0.3</v>
      </c>
      <c r="V10" s="114">
        <f t="shared" ref="V10:AA10" si="2">$N10*P10</f>
        <v>0</v>
      </c>
      <c r="W10" s="114">
        <f t="shared" si="2"/>
        <v>0</v>
      </c>
      <c r="X10" s="114">
        <f t="shared" si="2"/>
        <v>0</v>
      </c>
      <c r="Y10" s="114">
        <f t="shared" si="2"/>
        <v>0</v>
      </c>
      <c r="Z10" s="114">
        <f t="shared" si="2"/>
        <v>0</v>
      </c>
      <c r="AA10" s="114">
        <f t="shared" si="2"/>
        <v>0</v>
      </c>
      <c r="AB10" s="76"/>
    </row>
    <row r="11" spans="1:28" s="3" customFormat="1" ht="13">
      <c r="E11" s="11"/>
      <c r="I11" s="249"/>
      <c r="K11" s="21"/>
      <c r="M11" s="29"/>
      <c r="N11" s="256"/>
      <c r="O11" s="28"/>
      <c r="P11" s="23"/>
      <c r="Q11" s="23"/>
      <c r="R11" s="24"/>
      <c r="S11" s="24"/>
      <c r="T11" s="23"/>
      <c r="V11" s="25"/>
      <c r="W11" s="25"/>
      <c r="X11" s="25"/>
      <c r="Y11" s="25"/>
      <c r="Z11" s="25"/>
      <c r="AA11" s="25"/>
    </row>
    <row r="12" spans="1:28" s="3" customFormat="1" ht="13">
      <c r="C12" s="3" t="s">
        <v>281</v>
      </c>
      <c r="D12" s="3" t="s">
        <v>282</v>
      </c>
      <c r="E12" s="11"/>
      <c r="I12" s="249"/>
      <c r="K12" s="21"/>
      <c r="M12" s="28"/>
      <c r="N12" s="256"/>
      <c r="O12" s="28"/>
      <c r="P12" s="23"/>
      <c r="Q12" s="23"/>
      <c r="R12" s="24"/>
      <c r="S12" s="24"/>
      <c r="T12" s="23"/>
      <c r="V12" s="22"/>
      <c r="W12" s="22"/>
      <c r="X12" s="22"/>
      <c r="Y12" s="22"/>
      <c r="Z12" s="22"/>
      <c r="AA12" s="22"/>
    </row>
    <row r="13" spans="1:28" s="3" customFormat="1" ht="13">
      <c r="D13" s="3" t="s">
        <v>347</v>
      </c>
      <c r="E13" s="11"/>
      <c r="I13" s="249"/>
      <c r="K13" s="21"/>
      <c r="M13" s="28"/>
      <c r="N13" s="256"/>
      <c r="O13" s="28"/>
      <c r="P13" s="23"/>
      <c r="Q13" s="23"/>
      <c r="R13" s="24"/>
      <c r="S13" s="24"/>
      <c r="T13" s="23"/>
      <c r="V13" s="22"/>
      <c r="W13" s="22"/>
      <c r="X13" s="22"/>
      <c r="Y13" s="22"/>
      <c r="Z13" s="22"/>
      <c r="AA13" s="22"/>
    </row>
    <row r="14" spans="1:28" s="3" customFormat="1" ht="13">
      <c r="D14" s="36" t="s">
        <v>354</v>
      </c>
      <c r="E14" s="11"/>
      <c r="I14" s="249"/>
      <c r="K14" s="21"/>
      <c r="M14" s="30"/>
      <c r="N14" s="256"/>
      <c r="O14" s="28"/>
      <c r="P14" s="23"/>
      <c r="Q14" s="23"/>
      <c r="R14" s="24"/>
      <c r="S14" s="24"/>
      <c r="T14" s="23"/>
      <c r="V14" s="22"/>
      <c r="W14" s="22"/>
      <c r="X14" s="22"/>
      <c r="Y14" s="22"/>
      <c r="Z14" s="22"/>
      <c r="AA14" s="22"/>
    </row>
    <row r="15" spans="1:28" s="3" customFormat="1" ht="13">
      <c r="E15" s="11"/>
      <c r="I15" s="249"/>
      <c r="K15" s="21"/>
      <c r="M15" s="30"/>
      <c r="N15" s="256"/>
      <c r="O15" s="28"/>
      <c r="P15" s="23"/>
      <c r="Q15" s="23"/>
      <c r="R15" s="24"/>
      <c r="S15" s="24"/>
      <c r="T15" s="23"/>
      <c r="V15" s="22"/>
      <c r="W15" s="22"/>
      <c r="X15" s="22"/>
      <c r="Y15" s="22"/>
      <c r="Z15" s="22"/>
      <c r="AA15" s="22"/>
    </row>
    <row r="16" spans="1:28" s="3" customFormat="1" ht="13">
      <c r="E16" s="11"/>
      <c r="F16" s="445"/>
      <c r="G16" s="445"/>
      <c r="H16" s="447"/>
      <c r="I16" s="249"/>
      <c r="K16" s="21"/>
      <c r="M16" s="31"/>
      <c r="N16" s="256"/>
      <c r="O16" s="28"/>
      <c r="P16" s="23"/>
      <c r="Q16" s="23"/>
      <c r="R16" s="24"/>
      <c r="S16" s="24"/>
      <c r="T16" s="23"/>
      <c r="V16" s="22"/>
      <c r="W16" s="22"/>
      <c r="X16" s="22"/>
      <c r="Y16" s="22"/>
      <c r="Z16" s="22"/>
      <c r="AA16" s="22"/>
    </row>
    <row r="17" spans="3:27" s="3" customFormat="1" ht="13">
      <c r="C17" s="7"/>
      <c r="D17" s="7"/>
      <c r="E17" s="11"/>
      <c r="F17" s="445"/>
      <c r="G17" s="445"/>
      <c r="H17" s="447"/>
      <c r="I17" s="446"/>
      <c r="K17" s="21"/>
      <c r="M17" s="29"/>
      <c r="N17" s="256"/>
      <c r="O17" s="28"/>
      <c r="P17" s="23"/>
      <c r="Q17" s="23"/>
      <c r="R17" s="24"/>
      <c r="S17" s="24"/>
      <c r="T17" s="23"/>
      <c r="V17" s="25"/>
      <c r="W17" s="25"/>
      <c r="X17" s="25"/>
      <c r="Y17" s="25"/>
      <c r="Z17" s="25"/>
      <c r="AA17" s="25"/>
    </row>
    <row r="18" spans="3:27" s="3" customFormat="1" ht="13">
      <c r="C18" s="7"/>
      <c r="D18" s="7"/>
      <c r="E18" s="11"/>
      <c r="F18" s="445"/>
      <c r="G18" s="445"/>
      <c r="H18" s="447"/>
      <c r="I18" s="446"/>
      <c r="K18" s="21"/>
      <c r="M18" s="29"/>
      <c r="N18" s="256"/>
      <c r="O18" s="28"/>
      <c r="P18" s="23"/>
      <c r="Q18" s="23"/>
      <c r="R18" s="24"/>
      <c r="S18" s="24"/>
      <c r="T18" s="23"/>
      <c r="V18" s="22"/>
      <c r="W18" s="22"/>
      <c r="X18" s="22"/>
      <c r="Y18" s="22"/>
      <c r="Z18" s="22"/>
      <c r="AA18" s="22"/>
    </row>
    <row r="19" spans="3:27" s="3" customFormat="1" ht="13">
      <c r="C19" s="7"/>
      <c r="D19" s="7"/>
      <c r="E19" s="11"/>
      <c r="F19" s="445"/>
      <c r="G19" s="445"/>
      <c r="H19" s="447"/>
      <c r="I19" s="446"/>
      <c r="K19" s="22"/>
      <c r="M19" s="29"/>
      <c r="N19" s="256"/>
      <c r="O19" s="28"/>
      <c r="P19" s="23"/>
      <c r="Q19" s="23"/>
      <c r="R19" s="24"/>
      <c r="S19" s="24"/>
      <c r="T19" s="23"/>
      <c r="V19" s="22"/>
      <c r="W19" s="22"/>
      <c r="X19" s="22"/>
      <c r="Y19" s="22"/>
      <c r="Z19" s="22"/>
      <c r="AA19" s="22"/>
    </row>
    <row r="20" spans="3:27" s="3" customFormat="1" ht="13">
      <c r="E20" s="11"/>
      <c r="F20" s="445"/>
      <c r="G20" s="445"/>
      <c r="H20" s="447"/>
      <c r="I20" s="446"/>
      <c r="K20" s="22"/>
      <c r="M20" s="29"/>
      <c r="N20" s="256"/>
      <c r="O20" s="28"/>
      <c r="P20" s="23"/>
      <c r="Q20" s="23"/>
      <c r="R20" s="24"/>
      <c r="S20" s="24"/>
      <c r="T20" s="23"/>
      <c r="V20" s="22"/>
      <c r="W20" s="22"/>
      <c r="X20" s="22"/>
      <c r="Y20" s="22"/>
      <c r="Z20" s="22"/>
      <c r="AA20" s="22"/>
    </row>
    <row r="21" spans="3:27" s="3" customFormat="1" ht="13">
      <c r="E21" s="11"/>
      <c r="F21" s="445"/>
      <c r="G21" s="445"/>
      <c r="H21" s="445"/>
      <c r="I21" s="446"/>
      <c r="K21" s="22"/>
      <c r="M21" s="30"/>
      <c r="N21" s="256"/>
      <c r="O21" s="28"/>
      <c r="P21" s="23"/>
      <c r="Q21" s="23"/>
      <c r="R21" s="24"/>
      <c r="S21" s="24"/>
      <c r="T21" s="23"/>
      <c r="V21" s="22"/>
      <c r="W21" s="22"/>
      <c r="X21" s="22"/>
      <c r="Y21" s="22"/>
      <c r="Z21" s="22"/>
      <c r="AA21" s="22"/>
    </row>
    <row r="22" spans="3:27" s="3" customFormat="1" ht="13">
      <c r="E22" s="11"/>
      <c r="I22" s="249"/>
      <c r="K22" s="22"/>
      <c r="M22" s="30"/>
      <c r="N22" s="256"/>
      <c r="O22" s="28"/>
      <c r="P22" s="23"/>
      <c r="Q22" s="23"/>
      <c r="R22" s="24"/>
      <c r="S22" s="24"/>
      <c r="T22" s="23"/>
      <c r="V22" s="22"/>
      <c r="W22" s="22"/>
      <c r="X22" s="22"/>
      <c r="Y22" s="22"/>
      <c r="Z22" s="22"/>
      <c r="AA22" s="22"/>
    </row>
    <row r="23" spans="3:27" s="3" customFormat="1" ht="13">
      <c r="C23" s="7"/>
      <c r="D23" s="7"/>
      <c r="E23" s="11"/>
      <c r="I23" s="249"/>
      <c r="K23" s="22"/>
      <c r="M23" s="31"/>
      <c r="N23" s="256"/>
      <c r="O23" s="28"/>
      <c r="P23" s="23"/>
      <c r="Q23" s="23"/>
      <c r="R23" s="24"/>
      <c r="S23" s="24"/>
      <c r="T23" s="23"/>
      <c r="V23" s="22"/>
      <c r="W23" s="22"/>
      <c r="X23" s="22"/>
      <c r="Y23" s="22"/>
      <c r="Z23" s="22"/>
      <c r="AA23" s="22"/>
    </row>
    <row r="24" spans="3:27" s="3" customFormat="1" ht="13">
      <c r="C24" s="26"/>
      <c r="D24" s="26"/>
      <c r="E24" s="11"/>
      <c r="I24" s="249"/>
      <c r="K24" s="22"/>
      <c r="M24" s="29"/>
      <c r="N24" s="256"/>
      <c r="O24" s="28"/>
      <c r="P24" s="23"/>
      <c r="Q24" s="23"/>
      <c r="R24" s="24"/>
      <c r="S24" s="24"/>
      <c r="T24" s="23"/>
      <c r="V24" s="22"/>
      <c r="W24" s="22"/>
      <c r="X24" s="22"/>
      <c r="Y24" s="22"/>
      <c r="Z24" s="22"/>
      <c r="AA24" s="22"/>
    </row>
    <row r="25" spans="3:27" s="3" customFormat="1" ht="13">
      <c r="E25" s="11"/>
      <c r="I25" s="249"/>
      <c r="K25" s="22"/>
      <c r="M25" s="29"/>
      <c r="N25" s="256"/>
      <c r="O25" s="28"/>
      <c r="P25" s="23"/>
      <c r="Q25" s="23"/>
      <c r="R25" s="24"/>
      <c r="S25" s="24"/>
      <c r="T25" s="23"/>
      <c r="V25" s="22"/>
      <c r="W25" s="22"/>
      <c r="X25" s="22"/>
      <c r="Y25" s="22"/>
      <c r="Z25" s="22"/>
      <c r="AA25" s="22"/>
    </row>
    <row r="26" spans="3:27" s="3" customFormat="1" ht="13">
      <c r="E26" s="11"/>
      <c r="I26" s="249"/>
      <c r="K26" s="22"/>
      <c r="M26" s="29"/>
      <c r="N26" s="256"/>
      <c r="O26" s="28"/>
      <c r="P26" s="23"/>
      <c r="Q26" s="23"/>
      <c r="R26" s="24"/>
      <c r="S26" s="24"/>
      <c r="T26" s="23"/>
      <c r="V26" s="22"/>
      <c r="W26" s="22"/>
      <c r="X26" s="22"/>
      <c r="Y26" s="22"/>
      <c r="Z26" s="22"/>
      <c r="AA26" s="22"/>
    </row>
    <row r="27" spans="3:27" s="3" customFormat="1" ht="13">
      <c r="E27" s="11"/>
      <c r="I27" s="249"/>
      <c r="K27" s="22"/>
      <c r="M27" s="28"/>
      <c r="N27" s="256"/>
      <c r="O27" s="28"/>
      <c r="P27" s="23"/>
      <c r="Q27" s="23"/>
      <c r="R27" s="24"/>
      <c r="S27" s="24"/>
      <c r="T27" s="23"/>
      <c r="V27" s="22"/>
      <c r="W27" s="22"/>
      <c r="X27" s="22"/>
      <c r="Y27" s="22"/>
      <c r="Z27" s="22"/>
      <c r="AA27" s="22"/>
    </row>
    <row r="28" spans="3:27" s="3" customFormat="1" ht="13">
      <c r="E28" s="11"/>
      <c r="I28" s="249"/>
      <c r="K28" s="21"/>
      <c r="M28" s="29"/>
      <c r="N28" s="256"/>
      <c r="O28" s="28"/>
      <c r="P28" s="23"/>
      <c r="Q28" s="23"/>
      <c r="R28" s="24"/>
      <c r="S28" s="24"/>
      <c r="T28" s="23"/>
      <c r="V28" s="22"/>
      <c r="W28" s="22"/>
      <c r="X28" s="22"/>
      <c r="Y28" s="22"/>
      <c r="Z28" s="22"/>
      <c r="AA28" s="22"/>
    </row>
    <row r="29" spans="3:27" s="3" customFormat="1" ht="13">
      <c r="E29" s="11"/>
      <c r="I29" s="249"/>
      <c r="K29" s="21"/>
      <c r="M29" s="29"/>
      <c r="N29" s="256"/>
      <c r="O29" s="28"/>
      <c r="P29" s="23"/>
      <c r="Q29" s="23"/>
      <c r="R29" s="24"/>
      <c r="S29" s="24"/>
      <c r="T29" s="23"/>
      <c r="V29" s="22"/>
      <c r="W29" s="22"/>
      <c r="X29" s="22"/>
      <c r="Y29" s="22"/>
      <c r="Z29" s="22"/>
      <c r="AA29" s="22"/>
    </row>
    <row r="30" spans="3:27" s="3" customFormat="1" ht="13">
      <c r="C30" s="7"/>
      <c r="D30" s="7"/>
      <c r="E30" s="11"/>
      <c r="I30" s="249"/>
      <c r="K30" s="21"/>
      <c r="M30" s="29"/>
      <c r="N30" s="256"/>
      <c r="O30" s="28"/>
      <c r="P30" s="23"/>
      <c r="Q30" s="23"/>
      <c r="R30" s="24"/>
      <c r="S30" s="24"/>
      <c r="T30" s="23"/>
      <c r="V30" s="25"/>
      <c r="W30" s="25"/>
      <c r="X30" s="25"/>
      <c r="Y30" s="25"/>
      <c r="Z30" s="25"/>
      <c r="AA30" s="25"/>
    </row>
    <row r="31" spans="3:27" s="3" customFormat="1" ht="13">
      <c r="C31" s="7"/>
      <c r="D31" s="7"/>
      <c r="E31" s="11"/>
      <c r="I31" s="249"/>
      <c r="K31" s="21"/>
      <c r="M31" s="30"/>
      <c r="N31" s="256"/>
      <c r="O31" s="28"/>
      <c r="P31" s="23"/>
      <c r="Q31" s="23"/>
      <c r="R31" s="23"/>
      <c r="S31" s="23"/>
      <c r="T31" s="23"/>
      <c r="U31" s="23"/>
      <c r="V31" s="22"/>
      <c r="W31" s="22"/>
      <c r="X31" s="22"/>
      <c r="Y31" s="22"/>
      <c r="Z31" s="22"/>
      <c r="AA31" s="22"/>
    </row>
    <row r="32" spans="3:27" s="3" customFormat="1" ht="13">
      <c r="C32" s="7"/>
      <c r="D32" s="7"/>
      <c r="E32" s="11"/>
      <c r="I32" s="249"/>
      <c r="K32" s="21"/>
      <c r="M32" s="30"/>
      <c r="N32" s="256"/>
      <c r="O32" s="28"/>
      <c r="P32" s="23"/>
      <c r="Q32" s="23"/>
      <c r="R32" s="24"/>
      <c r="S32" s="24"/>
      <c r="T32" s="23"/>
      <c r="V32" s="22"/>
      <c r="W32" s="22"/>
      <c r="X32" s="22"/>
      <c r="Y32" s="22"/>
      <c r="Z32" s="22"/>
      <c r="AA32" s="22"/>
    </row>
    <row r="33" spans="3:27" s="3" customFormat="1" ht="13">
      <c r="C33" s="7"/>
      <c r="D33" s="7"/>
      <c r="E33" s="11"/>
      <c r="I33" s="249"/>
      <c r="K33" s="21"/>
      <c r="M33" s="29"/>
      <c r="N33" s="256"/>
      <c r="O33" s="28"/>
      <c r="P33" s="23"/>
      <c r="Q33" s="23"/>
      <c r="R33" s="24"/>
      <c r="S33" s="24"/>
      <c r="T33" s="23"/>
      <c r="V33" s="22"/>
      <c r="W33" s="22"/>
      <c r="X33" s="22"/>
      <c r="Y33" s="22"/>
      <c r="Z33" s="22"/>
      <c r="AA33" s="22"/>
    </row>
    <row r="34" spans="3:27" s="3" customFormat="1" ht="13">
      <c r="E34" s="11"/>
      <c r="I34" s="249"/>
      <c r="K34" s="21"/>
      <c r="M34" s="29"/>
      <c r="N34" s="256"/>
      <c r="O34" s="28"/>
      <c r="P34" s="23"/>
      <c r="Q34" s="23"/>
      <c r="R34" s="24"/>
      <c r="S34" s="24"/>
      <c r="T34" s="23"/>
      <c r="V34" s="22"/>
      <c r="W34" s="22"/>
      <c r="X34" s="22"/>
      <c r="Y34" s="22"/>
      <c r="Z34" s="22"/>
      <c r="AA34" s="22"/>
    </row>
    <row r="35" spans="3:27" s="3" customFormat="1" ht="13">
      <c r="E35" s="11"/>
      <c r="I35" s="249"/>
      <c r="K35" s="21"/>
      <c r="M35" s="29"/>
      <c r="N35" s="256"/>
      <c r="O35" s="28"/>
      <c r="P35" s="23"/>
      <c r="Q35" s="23"/>
      <c r="R35" s="24"/>
      <c r="S35" s="24"/>
      <c r="T35" s="23"/>
      <c r="V35" s="22"/>
      <c r="W35" s="22"/>
      <c r="X35" s="22"/>
      <c r="Y35" s="22"/>
      <c r="Z35" s="22"/>
      <c r="AA35" s="22"/>
    </row>
    <row r="36" spans="3:27" s="3" customFormat="1" ht="13">
      <c r="C36" s="7"/>
      <c r="D36" s="7"/>
      <c r="E36" s="11"/>
      <c r="I36" s="249"/>
      <c r="K36" s="21"/>
      <c r="M36" s="28"/>
      <c r="N36" s="256"/>
      <c r="O36" s="28"/>
      <c r="P36" s="23"/>
      <c r="Q36" s="23"/>
      <c r="R36" s="24"/>
      <c r="S36" s="24"/>
      <c r="T36" s="23"/>
      <c r="V36" s="25"/>
      <c r="W36" s="25"/>
      <c r="X36" s="25"/>
      <c r="Y36" s="25"/>
      <c r="Z36" s="25"/>
      <c r="AA36" s="25"/>
    </row>
    <row r="37" spans="3:27" s="3" customFormat="1" ht="13">
      <c r="C37" s="7"/>
      <c r="D37" s="7"/>
      <c r="E37" s="11"/>
      <c r="I37" s="249"/>
      <c r="K37" s="21"/>
      <c r="M37" s="28"/>
      <c r="N37" s="256"/>
      <c r="O37" s="28"/>
      <c r="P37" s="23"/>
      <c r="Q37" s="23"/>
      <c r="R37" s="24"/>
      <c r="S37" s="24"/>
      <c r="T37" s="23"/>
      <c r="V37" s="22"/>
      <c r="W37" s="22"/>
      <c r="X37" s="22"/>
      <c r="Y37" s="22"/>
      <c r="Z37" s="22"/>
      <c r="AA37" s="22"/>
    </row>
    <row r="38" spans="3:27" s="3" customFormat="1" ht="13">
      <c r="C38" s="7"/>
      <c r="D38" s="7"/>
      <c r="I38" s="239"/>
      <c r="M38" s="31"/>
      <c r="N38" s="256"/>
      <c r="O38" s="28"/>
      <c r="P38" s="23"/>
      <c r="Q38" s="23"/>
      <c r="R38" s="24"/>
      <c r="S38" s="24"/>
      <c r="T38" s="23"/>
      <c r="V38" s="22"/>
      <c r="W38" s="22"/>
      <c r="X38" s="22"/>
      <c r="Y38" s="22"/>
      <c r="Z38" s="22"/>
      <c r="AA38" s="22"/>
    </row>
    <row r="39" spans="3:27" s="3" customFormat="1" ht="13">
      <c r="C39" s="7"/>
      <c r="D39" s="7"/>
      <c r="I39" s="239"/>
      <c r="M39" s="29"/>
      <c r="N39" s="256"/>
      <c r="O39" s="28"/>
    </row>
    <row r="40" spans="3:27" s="3" customFormat="1" ht="13">
      <c r="I40" s="239"/>
      <c r="M40" s="29"/>
      <c r="N40" s="256"/>
      <c r="O40" s="28"/>
    </row>
    <row r="41" spans="3:27" s="3" customFormat="1" ht="13">
      <c r="I41" s="239"/>
      <c r="M41" s="29"/>
      <c r="N41" s="256"/>
      <c r="O41" s="28"/>
    </row>
    <row r="42" spans="3:27" s="3" customFormat="1" ht="13">
      <c r="C42" s="7"/>
      <c r="D42" s="7"/>
      <c r="I42" s="239"/>
      <c r="M42" s="28"/>
      <c r="N42" s="256"/>
      <c r="O42" s="28"/>
    </row>
    <row r="43" spans="3:27" s="3" customFormat="1">
      <c r="I43" s="239"/>
      <c r="M43" s="28"/>
      <c r="N43" s="256"/>
      <c r="O43" s="28"/>
    </row>
    <row r="44" spans="3:27" s="3" customFormat="1">
      <c r="I44" s="239"/>
      <c r="M44" s="28"/>
      <c r="N44" s="256"/>
      <c r="O44" s="28"/>
    </row>
    <row r="45" spans="3:27" s="3" customFormat="1" ht="13">
      <c r="I45" s="239"/>
      <c r="M45" s="30"/>
      <c r="N45" s="256"/>
      <c r="O45" s="28"/>
    </row>
    <row r="46" spans="3:27" s="3" customFormat="1" ht="13">
      <c r="C46" s="7"/>
      <c r="D46" s="7"/>
      <c r="I46" s="239"/>
      <c r="M46" s="30"/>
      <c r="N46" s="256"/>
      <c r="O46" s="28"/>
    </row>
    <row r="47" spans="3:27" s="3" customFormat="1" ht="13">
      <c r="I47" s="239"/>
      <c r="M47" s="31"/>
      <c r="N47" s="256"/>
      <c r="O47" s="28"/>
    </row>
    <row r="48" spans="3:27" s="3" customFormat="1" ht="13">
      <c r="I48" s="239"/>
      <c r="M48" s="31"/>
      <c r="N48" s="256"/>
      <c r="O48" s="28"/>
    </row>
    <row r="49" spans="9:15" s="3" customFormat="1" ht="13">
      <c r="I49" s="239"/>
      <c r="M49" s="30"/>
      <c r="N49" s="256"/>
      <c r="O49" s="28"/>
    </row>
    <row r="50" spans="9:15" s="3" customFormat="1" ht="13">
      <c r="I50" s="239"/>
      <c r="M50" s="30"/>
      <c r="N50" s="256"/>
      <c r="O50" s="28"/>
    </row>
    <row r="51" spans="9:15" s="3" customFormat="1" ht="13">
      <c r="I51" s="239"/>
      <c r="M51" s="31"/>
      <c r="N51" s="256"/>
      <c r="O51" s="17"/>
    </row>
    <row r="52" spans="9:15" s="3" customFormat="1" ht="13">
      <c r="I52" s="239"/>
      <c r="M52" s="31"/>
      <c r="N52" s="256"/>
      <c r="O52" s="28"/>
    </row>
    <row r="53" spans="9:15" s="3" customFormat="1" ht="13">
      <c r="I53" s="239"/>
      <c r="M53" s="30"/>
      <c r="N53" s="256"/>
      <c r="O53" s="28"/>
    </row>
    <row r="54" spans="9:15" s="3" customFormat="1" ht="13">
      <c r="I54" s="239"/>
      <c r="M54" s="30"/>
      <c r="N54" s="256"/>
      <c r="O54" s="28"/>
    </row>
    <row r="55" spans="9:15" s="3" customFormat="1" ht="13">
      <c r="I55" s="239"/>
      <c r="M55" s="31"/>
      <c r="N55" s="256"/>
      <c r="O55" s="17"/>
    </row>
    <row r="56" spans="9:15" s="3" customFormat="1" ht="13">
      <c r="I56" s="239"/>
      <c r="M56" s="31"/>
      <c r="N56" s="257"/>
      <c r="O56" s="28"/>
    </row>
    <row r="57" spans="9:15" s="3" customFormat="1" ht="13">
      <c r="I57" s="239"/>
      <c r="M57" s="31"/>
      <c r="N57" s="257"/>
      <c r="O57" s="28"/>
    </row>
    <row r="58" spans="9:15" s="3" customFormat="1" ht="13">
      <c r="I58" s="239"/>
      <c r="M58" s="31"/>
      <c r="N58" s="257"/>
      <c r="O58" s="28"/>
    </row>
    <row r="59" spans="9:15" s="3" customFormat="1" ht="13">
      <c r="I59" s="239"/>
      <c r="M59" s="31"/>
      <c r="N59" s="257"/>
      <c r="O59" s="28"/>
    </row>
    <row r="60" spans="9:15" s="3" customFormat="1" ht="13">
      <c r="I60" s="239"/>
      <c r="M60" s="31"/>
      <c r="N60" s="257"/>
      <c r="O60" s="28"/>
    </row>
    <row r="61" spans="9:15" s="3" customFormat="1" ht="13">
      <c r="I61" s="239"/>
      <c r="M61" s="31"/>
      <c r="N61" s="257"/>
      <c r="O61" s="28"/>
    </row>
    <row r="62" spans="9:15" s="3" customFormat="1" ht="13">
      <c r="I62" s="239"/>
      <c r="M62" s="31"/>
      <c r="N62" s="257"/>
      <c r="O62" s="28"/>
    </row>
    <row r="63" spans="9:15" s="3" customFormat="1" ht="13">
      <c r="I63" s="239"/>
      <c r="M63" s="31"/>
      <c r="N63" s="257"/>
      <c r="O63" s="28"/>
    </row>
    <row r="64" spans="9:15" s="3" customFormat="1" ht="13">
      <c r="I64" s="239"/>
      <c r="M64" s="29"/>
      <c r="N64" s="257"/>
      <c r="O64" s="28"/>
    </row>
    <row r="65" spans="3:15" s="3" customFormat="1" ht="13">
      <c r="I65" s="239"/>
      <c r="M65" s="29"/>
      <c r="N65" s="257"/>
      <c r="O65" s="28"/>
    </row>
    <row r="66" spans="3:15" s="3" customFormat="1" ht="13">
      <c r="C66" s="7"/>
      <c r="D66" s="7"/>
      <c r="I66" s="239"/>
      <c r="M66" s="29"/>
      <c r="N66" s="257"/>
      <c r="O66" s="28"/>
    </row>
    <row r="67" spans="3:15" s="3" customFormat="1">
      <c r="I67" s="239"/>
      <c r="M67" s="28"/>
      <c r="N67" s="257"/>
      <c r="O67" s="28"/>
    </row>
    <row r="68" spans="3:15" s="3" customFormat="1">
      <c r="I68" s="239"/>
      <c r="M68" s="28"/>
      <c r="N68" s="257"/>
      <c r="O68" s="28"/>
    </row>
    <row r="69" spans="3:15">
      <c r="M69" s="28"/>
      <c r="N69" s="257"/>
      <c r="O69" s="28"/>
    </row>
    <row r="70" spans="3:15" ht="13">
      <c r="M70" s="30"/>
      <c r="N70" s="257"/>
      <c r="O70" s="28"/>
    </row>
    <row r="71" spans="3:15" ht="13">
      <c r="M71" s="30"/>
      <c r="N71" s="256"/>
      <c r="O71" s="28"/>
    </row>
    <row r="72" spans="3:15">
      <c r="M72" s="28"/>
      <c r="N72" s="257"/>
      <c r="O72" s="28"/>
    </row>
    <row r="73" spans="3:15">
      <c r="M73" s="28"/>
      <c r="N73" s="257"/>
      <c r="O73" s="28"/>
    </row>
    <row r="74" spans="3:15">
      <c r="M74" s="28"/>
      <c r="N74" s="257"/>
      <c r="O74" s="28"/>
    </row>
  </sheetData>
  <sheetProtection algorithmName="SHA-512" hashValue="NratOqEs0+VgItuDDiuiZJRqXmtFML4KH+lYxtPzJsyu3z2e3Vrf0cNmyh6fhkbgCXfA5N39MPziu/pbaZhZQw==" saltValue="sQ/w3hzzDFbWlpAXRs3NAQ==" spinCount="100000" sheet="1" objects="1" scenarios="1"/>
  <phoneticPr fontId="2" type="noConversion"/>
  <pageMargins left="0.39370078740157483" right="0.39370078740157483" top="0.74803149606299213" bottom="0.74803149606299213" header="0.31496062992125984" footer="0.31496062992125984"/>
  <pageSetup paperSize="9" orientation="landscape" r:id="rId1"/>
  <headerFooter>
    <oddFooter>&amp;L&amp;A
Printed &amp;D</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pageSetUpPr fitToPage="1"/>
  </sheetPr>
  <dimension ref="A1:P53"/>
  <sheetViews>
    <sheetView topLeftCell="A4" workbookViewId="0">
      <selection activeCell="B16" sqref="B16"/>
    </sheetView>
  </sheetViews>
  <sheetFormatPr defaultColWidth="9.1796875" defaultRowHeight="12.5"/>
  <cols>
    <col min="1" max="1" width="39.81640625" style="339" customWidth="1"/>
    <col min="2" max="2" width="11.81640625" style="360" customWidth="1"/>
    <col min="3" max="3" width="12.81640625" style="339" customWidth="1"/>
    <col min="4" max="5" width="29.36328125" style="339" customWidth="1"/>
    <col min="6" max="6" width="15" style="405" customWidth="1"/>
    <col min="7" max="7" width="13.1796875" style="339" customWidth="1"/>
    <col min="8" max="8" width="13.36328125" style="339" customWidth="1"/>
    <col min="9" max="9" width="12.81640625" style="339" customWidth="1"/>
    <col min="10" max="11" width="14.453125" style="339" customWidth="1"/>
    <col min="12" max="12" width="16.1796875" style="339" customWidth="1"/>
    <col min="13" max="13" width="8" style="339" customWidth="1"/>
    <col min="14" max="14" width="9.1796875" style="339"/>
    <col min="15" max="15" width="9.1796875" style="339" hidden="1" customWidth="1"/>
    <col min="16" max="16384" width="9.1796875" style="339"/>
  </cols>
  <sheetData>
    <row r="1" spans="1:16" ht="13">
      <c r="A1" s="391" t="s">
        <v>953</v>
      </c>
      <c r="B1" s="493"/>
    </row>
    <row r="2" spans="1:16" ht="30" customHeight="1">
      <c r="A2" s="807" t="str">
        <f>IF(ISNA(MATCH("n",O7:O48,0)),"","
The Estimated Hg input (or equivalent inserted IL2 results) marked in red colour is very high compared to previous observations. Data may be correct, but please confirm your activity rate data (or inserted IL2 data).")</f>
        <v/>
      </c>
      <c r="B2" s="808"/>
      <c r="C2" s="808"/>
      <c r="D2" s="808"/>
      <c r="E2" s="808"/>
      <c r="F2" s="808"/>
      <c r="G2" s="808"/>
      <c r="H2" s="808"/>
      <c r="I2" s="808"/>
      <c r="J2" s="808"/>
      <c r="K2" s="808"/>
      <c r="L2" s="808"/>
      <c r="M2" s="809"/>
    </row>
    <row r="3" spans="1:16" s="361" customFormat="1" ht="25.5" customHeight="1">
      <c r="A3" s="721" t="s">
        <v>837</v>
      </c>
      <c r="B3" s="723" t="s">
        <v>840</v>
      </c>
      <c r="C3" s="723" t="s">
        <v>839</v>
      </c>
      <c r="D3" s="721"/>
      <c r="E3" s="724"/>
      <c r="F3" s="731" t="s">
        <v>854</v>
      </c>
      <c r="G3" s="804" t="s">
        <v>855</v>
      </c>
      <c r="H3" s="805"/>
      <c r="I3" s="805"/>
      <c r="J3" s="805"/>
      <c r="K3" s="805"/>
      <c r="L3" s="806"/>
      <c r="M3" s="721"/>
    </row>
    <row r="4" spans="1:16" ht="65">
      <c r="A4" s="721"/>
      <c r="B4" s="728" t="str">
        <f>quest</f>
        <v>S/N/?</v>
      </c>
      <c r="C4" s="723" t="s">
        <v>954</v>
      </c>
      <c r="D4" s="723" t="s">
        <v>843</v>
      </c>
      <c r="E4" s="726" t="s">
        <v>768</v>
      </c>
      <c r="F4" s="732" t="s">
        <v>856</v>
      </c>
      <c r="G4" s="727" t="s">
        <v>857</v>
      </c>
      <c r="H4" s="727" t="s">
        <v>858</v>
      </c>
      <c r="I4" s="727" t="s">
        <v>859</v>
      </c>
      <c r="J4" s="736" t="s">
        <v>860</v>
      </c>
      <c r="K4" s="736" t="s">
        <v>861</v>
      </c>
      <c r="L4" s="736" t="s">
        <v>862</v>
      </c>
      <c r="M4" s="721" t="s">
        <v>863</v>
      </c>
      <c r="N4" s="323" t="s">
        <v>864</v>
      </c>
    </row>
    <row r="5" spans="1:16" ht="28" customHeight="1">
      <c r="A5" s="265"/>
      <c r="B5" s="344"/>
      <c r="C5" s="264"/>
      <c r="D5" s="712"/>
      <c r="E5" s="272"/>
      <c r="F5" s="813" t="s">
        <v>1219</v>
      </c>
      <c r="G5" s="815" t="str">
        <f>IF('Paso 5-Trat.+recicl. desechos'!B4=yes,trans1,IF('Paso 5-Trat.+recicl. desechos'!B4=no,trans2,trans3))</f>
        <v>Menos de 2/3 (dos tercios: 67 %) de los desechos generales se recogen y depositan en vertederos revestidos o incineran con reducción de la contaminación</v>
      </c>
      <c r="H5" s="816"/>
      <c r="I5" s="816"/>
      <c r="J5" s="816"/>
      <c r="K5" s="816"/>
      <c r="L5" s="816"/>
      <c r="M5" s="816"/>
      <c r="N5" s="794"/>
      <c r="O5" s="232"/>
      <c r="P5" s="232"/>
    </row>
    <row r="6" spans="1:16" ht="29" customHeight="1" thickBot="1">
      <c r="A6" s="265" t="s">
        <v>955</v>
      </c>
      <c r="B6" s="415"/>
      <c r="C6" s="398"/>
      <c r="D6" s="272"/>
      <c r="E6" s="345"/>
      <c r="F6" s="814"/>
      <c r="G6" s="815" t="str">
        <f>IF('Paso 5-Trat.+recicl. desechos'!E4=yes,trans4,IF('Paso 5-Trat.+recicl. desechos'!E4=no,trans5,trans3))</f>
        <v>Menos de 1/3 (un tercio =33%) de los residuos de productos añadidos con mercurio son recolectados de manera segura y tratados de manera separada</v>
      </c>
      <c r="H6" s="816"/>
      <c r="I6" s="816"/>
      <c r="J6" s="816"/>
      <c r="K6" s="816"/>
      <c r="L6" s="816"/>
      <c r="M6" s="817"/>
      <c r="N6" s="463"/>
      <c r="O6" s="323"/>
    </row>
    <row r="7" spans="1:16" ht="26.5" thickBot="1">
      <c r="A7" s="413" t="s">
        <v>956</v>
      </c>
      <c r="B7" s="416"/>
      <c r="C7" s="414"/>
      <c r="D7" s="273"/>
      <c r="E7" s="677"/>
      <c r="F7" s="461" t="str">
        <f>IF(AND($B7&lt;&gt;no,$B7&lt;&gt;yes,$B7&lt;&gt;que),pres,IF($B7=yes,'5-6 Other int use'!K7,IF($B7=no,"-",IF($B7=que,que,pres))))</f>
        <v>¿Presente?</v>
      </c>
      <c r="G7" s="718" t="str">
        <f>IF($F7=pres,pres,IF(OR('Paso 5-Trat.+recicl. desechos'!$B$4=yes,'Paso 5-Trat.+recicl. desechos'!$B$4=no),IF(OR($B7=yes,$B7=yes,$B7=yes,),'5-6 Other int use'!V6, IF(AND($B7=no,$B7=no,$B7=no),"-", IF(OR($B7=que,$B7=que,$B7=que),que, pres))),_SeF4))</f>
        <v>¿Presente?</v>
      </c>
      <c r="H7" s="718" t="str">
        <f>IF($F7=pres,pres,IF(OR('Paso 5-Trat.+recicl. desechos'!$B$4=yes,'Paso 5-Trat.+recicl. desechos'!$B$4=no),IF(OR($B7=yes,$B7=yes,$B7=yes,),'5-6 Other int use'!W6, IF(AND($B7=no,$B7=no,$B7=no),"-", IF(OR($B7=que,$B7=que,$B7=que),que, pres))),_SeF4))</f>
        <v>¿Presente?</v>
      </c>
      <c r="I7" s="718" t="str">
        <f>IF($F7=pres,pres,IF(OR('Paso 5-Trat.+recicl. desechos'!$B$4=yes,'Paso 5-Trat.+recicl. desechos'!$B$4=no),IF(OR($B7=yes,$B7=yes,$B7=yes,),'5-6 Other int use'!X6, IF(AND($B7=no,$B7=no,$B7=no),"-", IF(OR($B7=que,$B7=que,$B7=que),que, pres))),_SeF4))</f>
        <v>¿Presente?</v>
      </c>
      <c r="J7" s="718" t="str">
        <f>IF($F7=pres,pres,IF(OR('Paso 5-Trat.+recicl. desechos'!$B$4=yes,'Paso 5-Trat.+recicl. desechos'!$B$4=no),IF(OR($B7=yes,$B7=yes,$B7=yes,),'5-6 Other int use'!Y6, IF(AND($B7=no,$B7=no,$B7=no),"-", IF(OR($B7=que,$B7=que,$B7=que),que, pres))),_SeF4))</f>
        <v>¿Presente?</v>
      </c>
      <c r="K7" s="718" t="str">
        <f>IF($F7=pres,pres,IF(OR('Paso 5-Trat.+recicl. desechos'!$B$4=yes,'Paso 5-Trat.+recicl. desechos'!$B$4=no),IF(OR($B7=yes,$B7=yes,$B7=yes,),'5-6 Other int use'!Z6, IF(AND($B7=no,$B7=no,$B7=no),"-", IF(OR($B7=que,$B7=que,$B7=que),que, pres))),_SeF4))</f>
        <v>¿Presente?</v>
      </c>
      <c r="L7" s="718" t="str">
        <f>IF($F7=pres,pres,IF(OR('Paso 5-Trat.+recicl. desechos'!$B$4=yes,'Paso 5-Trat.+recicl. desechos'!$B$4=no),IF(OR($B7=yes,$B7=yes,$B7=yes,),'5-6 Other int use'!AA6, IF(AND($B7=no,$B7=no,$B7=no),"-", IF(OR($B7=que,$B7=que,$B7=que),que, pres))),_SeF4))</f>
        <v>¿Presente?</v>
      </c>
      <c r="M7" s="273" t="s">
        <v>212</v>
      </c>
      <c r="N7" s="463"/>
      <c r="O7" s="339" t="str">
        <f>INDEX('Range-thresholds'!$G$6:$G$73,MATCH(A7,'Range-thresholds'!$A$6:$A$73,0))</f>
        <v/>
      </c>
    </row>
    <row r="8" spans="1:16" ht="25">
      <c r="A8" s="368" t="s">
        <v>957</v>
      </c>
      <c r="B8" s="421"/>
      <c r="C8" s="422">
        <f>'Paso 1-Datos del país'!$B$6</f>
        <v>0</v>
      </c>
      <c r="D8" s="752" t="s">
        <v>960</v>
      </c>
      <c r="E8" s="273"/>
      <c r="F8" s="457"/>
      <c r="G8" s="408" t="str">
        <f>IF(OR('Paso 5-Trat.+recicl. desechos'!$B$4=yes,'Paso 5-Trat.+recicl. desechos'!$B$4=no),IF($B$7=yes,'5-6 Other int use'!V7, IF($B$7=no,"-", IF($B$7=que,que, pres))),_SeF4)</f>
        <v>¿Presente?</v>
      </c>
      <c r="H8" s="408" t="str">
        <f>IF(OR('Paso 5-Trat.+recicl. desechos'!$B$4=yes,'Paso 5-Trat.+recicl. desechos'!$B$4=no),IF($B$7=yes,'5-6 Other int use'!W7, IF($B$7=no,"-", IF($B$7=que,que, pres))),_SeF4)</f>
        <v>¿Presente?</v>
      </c>
      <c r="I8" s="408" t="str">
        <f>IF(OR('Paso 5-Trat.+recicl. desechos'!$B$4=yes,'Paso 5-Trat.+recicl. desechos'!$B$4=no),IF($B$7=yes,'5-6 Other int use'!X7, IF($B$7=no,"-", IF($B$7=que,que, pres))),_SeF4)</f>
        <v>¿Presente?</v>
      </c>
      <c r="J8" s="408" t="str">
        <f>IF(OR('Paso 5-Trat.+recicl. desechos'!$B$4=yes,'Paso 5-Trat.+recicl. desechos'!$B$4=no),IF($B$7=yes,'5-6 Other int use'!Y7, IF($B$7=no,"-", IF($B$7=que,que, pres))),_SeF4)</f>
        <v>¿Presente?</v>
      </c>
      <c r="K8" s="408" t="str">
        <f>IF(OR('Paso 5-Trat.+recicl. desechos'!$B$4=yes,'Paso 5-Trat.+recicl. desechos'!$B$4=no),IF($B$7=yes,'5-6 Other int use'!Z7, IF($B$7=no,"-", IF($B$7=que,que, pres))),_SeF4)</f>
        <v>¿Presente?</v>
      </c>
      <c r="L8" s="408" t="str">
        <f>IF(OR('Paso 5-Trat.+recicl. desechos'!$B$4=yes,'Paso 5-Trat.+recicl. desechos'!$B$4=no),IF($B$7=yes,'5-6 Other int use'!AA7, IF($B$7=no,"-", IF($B$7=que,que, pres))),_SeF4)</f>
        <v>¿Presente?</v>
      </c>
      <c r="M8" s="273"/>
      <c r="N8" s="463"/>
    </row>
    <row r="9" spans="1:16">
      <c r="A9" s="368" t="s">
        <v>958</v>
      </c>
      <c r="B9" s="423"/>
      <c r="C9" s="422">
        <f>'Paso 1-Datos del país'!$B$6</f>
        <v>0</v>
      </c>
      <c r="D9" s="752" t="s">
        <v>960</v>
      </c>
      <c r="E9" s="273"/>
      <c r="F9" s="458"/>
      <c r="G9" s="408" t="str">
        <f>IF(OR('Paso 5-Trat.+recicl. desechos'!$B$4=yes,'Paso 5-Trat.+recicl. desechos'!$B$4=no),IF($B7=yes,'5-6 Other int use'!V8, IF($B7=no,"-", IF($B7=que,que, pres))),_SeF4)</f>
        <v>¿Presente?</v>
      </c>
      <c r="H9" s="408" t="str">
        <f>IF(OR('Paso 5-Trat.+recicl. desechos'!$B$4=yes,'Paso 5-Trat.+recicl. desechos'!$B$4=no),IF($B7=yes,'5-6 Other int use'!W8, IF($B7=no,"-", IF($B7=que,que, pres))),_SeF4)</f>
        <v>¿Presente?</v>
      </c>
      <c r="I9" s="408" t="str">
        <f>IF(OR('Paso 5-Trat.+recicl. desechos'!$B$4=yes,'Paso 5-Trat.+recicl. desechos'!$B$4=no),IF($B7=yes,'5-6 Other int use'!X8, IF($B7=no,"-", IF($B7=que,que, pres))),_SeF4)</f>
        <v>¿Presente?</v>
      </c>
      <c r="J9" s="408" t="str">
        <f>IF(OR('Paso 5-Trat.+recicl. desechos'!$B$4=yes,'Paso 5-Trat.+recicl. desechos'!$B$4=no),IF($B7=yes,'5-6 Other int use'!Y8, IF($B7=no,"-", IF($B7=que,que, pres))),_SeF4)</f>
        <v>¿Presente?</v>
      </c>
      <c r="K9" s="408" t="str">
        <f>IF(OR('Paso 5-Trat.+recicl. desechos'!$B$4=yes,'Paso 5-Trat.+recicl. desechos'!$B$4=no),IF($B7=yes,'5-6 Other int use'!Z8, IF($B7=no,"-", IF($B7=que,que, pres))),_SeF4)</f>
        <v>¿Presente?</v>
      </c>
      <c r="L9" s="408" t="str">
        <f>IF(OR('Paso 5-Trat.+recicl. desechos'!$B$4=yes,'Paso 5-Trat.+recicl. desechos'!$B$4=no),IF($B7=yes,'5-6 Other int use'!AA8, IF($B7=no,"-", IF($B7=que,que, pres))),_SeF4)</f>
        <v>¿Presente?</v>
      </c>
      <c r="M9" s="273"/>
      <c r="N9" s="463"/>
    </row>
    <row r="10" spans="1:16">
      <c r="A10" s="674" t="s">
        <v>959</v>
      </c>
      <c r="B10" s="423"/>
      <c r="C10" s="422">
        <f>'Paso 1-Datos del país'!$B$6</f>
        <v>0</v>
      </c>
      <c r="D10" s="752" t="s">
        <v>960</v>
      </c>
      <c r="E10" s="273"/>
      <c r="F10" s="457"/>
      <c r="G10" s="408" t="str">
        <f>IF(OR('Paso 5-Trat.+recicl. desechos'!$B$4=yes,'Paso 5-Trat.+recicl. desechos'!$B$4=no),IF($B7=yes,SUM('5-6 Other int use'!V10,'5-6 Other int use'!V11), IF($B7=no,"-", IF($B7=que,que, pres))),_SeF4)</f>
        <v>¿Presente?</v>
      </c>
      <c r="H10" s="408" t="str">
        <f>IF(OR('Paso 5-Trat.+recicl. desechos'!$B$4=yes,'Paso 5-Trat.+recicl. desechos'!$B$4=no),IF($B7=yes,SUM('5-6 Other int use'!W10,'5-6 Other int use'!W11), IF($B7=no,"-", IF($B7=que,que, pres))),_SeF4)</f>
        <v>¿Presente?</v>
      </c>
      <c r="I10" s="408" t="str">
        <f>IF(OR('Paso 5-Trat.+recicl. desechos'!$B$4=yes,'Paso 5-Trat.+recicl. desechos'!$B$4=no),IF($B7=yes,SUM('5-6 Other int use'!X10,'5-6 Other int use'!X11), IF($B7=no,"-", IF($B7=que,que, pres))),_SeF4)</f>
        <v>¿Presente?</v>
      </c>
      <c r="J10" s="408" t="str">
        <f>IF(OR('Paso 5-Trat.+recicl. desechos'!$B$4=yes,'Paso 5-Trat.+recicl. desechos'!$B$4=no),IF($B7=yes,SUM('5-6 Other int use'!Y10,'5-6 Other int use'!Y11), IF($B7=no,"-", IF($B7=que,que, pres))),_SeF4)</f>
        <v>¿Presente?</v>
      </c>
      <c r="K10" s="408" t="str">
        <f>IF(OR('Paso 5-Trat.+recicl. desechos'!$B$4=yes,'Paso 5-Trat.+recicl. desechos'!$B$4=no),IF($B7=yes,SUM('5-6 Other int use'!Z10,'5-6 Other int use'!Z11), IF($B7=no,"-", IF($B7=que,que, pres))),_SeF4)</f>
        <v>¿Presente?</v>
      </c>
      <c r="L10" s="408" t="str">
        <f>IF(OR('Paso 5-Trat.+recicl. desechos'!$B$4=yes,'Paso 5-Trat.+recicl. desechos'!$B$4=no),IF($B7=yes,SUM('5-6 Other int use'!AA10,'5-6 Other int use'!AA11), IF($B7=no,"-", IF($B7=que,que, pres))),_SeF4)</f>
        <v>¿Presente?</v>
      </c>
      <c r="M10" s="273"/>
      <c r="N10" s="463"/>
    </row>
    <row r="11" spans="1:16">
      <c r="A11" s="368"/>
      <c r="B11" s="423"/>
      <c r="C11" s="495">
        <f>'Paso 1-Datos del país'!C23</f>
        <v>0.82919079065322876</v>
      </c>
      <c r="D11" s="748" t="s">
        <v>961</v>
      </c>
      <c r="E11" s="345"/>
      <c r="F11" s="459"/>
      <c r="G11" s="494"/>
      <c r="H11" s="494"/>
      <c r="I11" s="408"/>
      <c r="J11" s="408"/>
      <c r="K11" s="408"/>
      <c r="L11" s="408"/>
      <c r="M11" s="273"/>
      <c r="N11" s="463"/>
      <c r="O11" s="323"/>
    </row>
    <row r="12" spans="1:16" ht="75">
      <c r="A12" s="368"/>
      <c r="B12" s="423"/>
      <c r="C12" s="495"/>
      <c r="D12" s="345"/>
      <c r="E12" s="685" t="s">
        <v>1176</v>
      </c>
      <c r="F12" s="664"/>
      <c r="G12" s="664" t="s">
        <v>1217</v>
      </c>
      <c r="H12" s="664" t="s">
        <v>1218</v>
      </c>
      <c r="I12" s="280"/>
      <c r="J12" s="280"/>
      <c r="K12" s="280"/>
      <c r="L12" s="280"/>
      <c r="M12" s="273"/>
      <c r="N12" s="463"/>
      <c r="O12" s="323"/>
    </row>
    <row r="13" spans="1:16" ht="25">
      <c r="A13" s="368"/>
      <c r="B13" s="423"/>
      <c r="C13" s="495"/>
      <c r="D13" s="665" t="s">
        <v>766</v>
      </c>
      <c r="E13" s="664" t="s">
        <v>1175</v>
      </c>
      <c r="F13" s="664"/>
      <c r="G13" s="666">
        <f>100-H13-I13-J13-K13-L13</f>
        <v>100</v>
      </c>
      <c r="H13" s="671"/>
      <c r="I13" s="280"/>
      <c r="J13" s="280"/>
      <c r="K13" s="280"/>
      <c r="L13" s="280"/>
      <c r="M13" s="708" t="s">
        <v>1169</v>
      </c>
      <c r="N13" s="464"/>
      <c r="O13" s="323"/>
    </row>
    <row r="14" spans="1:16">
      <c r="A14" s="368"/>
      <c r="B14" s="273"/>
      <c r="C14" s="355"/>
      <c r="D14" s="355"/>
      <c r="E14" s="355"/>
      <c r="F14" s="459"/>
      <c r="G14" s="355"/>
      <c r="H14" s="355"/>
      <c r="I14" s="496"/>
      <c r="J14" s="262"/>
      <c r="K14" s="412"/>
      <c r="L14" s="262"/>
      <c r="M14" s="273"/>
      <c r="N14" s="463"/>
      <c r="O14" s="323"/>
    </row>
    <row r="15" spans="1:16" s="323" customFormat="1" ht="13.5" thickBot="1">
      <c r="A15" s="406" t="s">
        <v>963</v>
      </c>
      <c r="B15" s="410" t="str">
        <f>IF(OR(AND(B16&lt;&gt;no,B16&lt;&gt;yes,B16&lt;&gt;que),AND(B17&lt;&gt;no,B17&lt;&gt;yes,B17&lt;&gt;que),AND(B18&lt;&gt;no,B18&lt;&gt;yes,B18&lt;&gt;que)),pres,IF(OR($B16=yes,$B17=yes,$B18=yes),yes,IF(AND($B16=no,$B17=no,$B18=no),no,IF(OR($B16=que,$B17=que,$B18=que),que,pres))))</f>
        <v>¿Presente?</v>
      </c>
      <c r="C15" s="411">
        <f>SUM(C16:C18)</f>
        <v>0</v>
      </c>
      <c r="D15" s="273"/>
      <c r="E15" s="273"/>
      <c r="F15" s="461" t="str">
        <f>IF(OR(AND(B16&lt;&gt;no,B16&lt;&gt;yes,B16&lt;&gt;que),AND(B17&lt;&gt;no,B17&lt;&gt;yes,B17&lt;&gt;que),AND(B18&lt;&gt;no,B18&lt;&gt;yes,B18&lt;&gt;que)),pres,IF(OR($B16=yes,$B17=yes,$B18=yes),'5-5 Cons prod'!K12,IF(AND($B16=no,$B17=no,$B18=no),"-",IF(OR($B16=que,$B17=que,$B18=que),que,pres))))</f>
        <v>¿Presente?</v>
      </c>
      <c r="G15" s="407" t="str">
        <f>IF($F15=pres,pres,IF(OR('Paso 5-Trat.+recicl. desechos'!$B$4=yes,'Paso 5-Trat.+recicl. desechos'!$B$4=no),IF(OR($B16=yes,$B17=yes,$B18=yes,),SUM('5-5 Cons prod'!V13:V15), IF(AND($B16=no,$B17=no,$B18=no),"-", IF(OR($B16=que,$B17=que,$B18=que),que, pres))),_SeF4))</f>
        <v>¿Presente?</v>
      </c>
      <c r="H15" s="407" t="str">
        <f>IF($F15=pres,pres,IF(OR('Paso 5-Trat.+recicl. desechos'!$B$4=yes,'Paso 5-Trat.+recicl. desechos'!$B$4=no),IF(OR($B16=yes,$B17=yes,$B18=yes,),SUM('5-5 Cons prod'!W13:W15), IF(AND($B16=no,$B17=no,$B18=no),"-", IF(OR($B16=que,$B17=que,$B18=que),que, pres))),_SeF4))</f>
        <v>¿Presente?</v>
      </c>
      <c r="I15" s="407" t="str">
        <f>IF($F15=pres,pres,IF(OR('Paso 5-Trat.+recicl. desechos'!$B$4=yes,'Paso 5-Trat.+recicl. desechos'!$B$4=no),IF(OR($B16=yes,$B17=yes,$B18=yes,),SUM('5-5 Cons prod'!X13:X15), IF(AND($B16=no,$B17=no,$B18=no),"-", IF(OR($B16=que,$B17=que,$B18=que),que, pres))),_SeF4))</f>
        <v>¿Presente?</v>
      </c>
      <c r="J15" s="407" t="str">
        <f>IF($F15=pres,pres,IF(OR('Paso 5-Trat.+recicl. desechos'!$B$4=yes,'Paso 5-Trat.+recicl. desechos'!$B$4=no),IF(OR($B16=yes,$B17=yes,$B18=yes,),SUM('5-5 Cons prod'!Y13:Y15), IF(AND($B16=no,$B17=no,$B18=no),"-", IF(OR($B16=que,$B17=que,$B18=que),que, pres))),_SeF4))</f>
        <v>¿Presente?</v>
      </c>
      <c r="K15" s="407" t="str">
        <f>IF($F15=pres,pres,IF(OR('Paso 5-Trat.+recicl. desechos'!$B$4=yes,'Paso 5-Trat.+recicl. desechos'!$B$4=no),IF(OR($B16=yes,$B17=yes,$B18=yes,),SUM('5-5 Cons prod'!Z13:Z15), IF(AND($B16=no,$B17=no,$B18=no),"-", IF(OR($B16=que,$B17=que,$B18=que),que, pres))),_SeF4))</f>
        <v>¿Presente?</v>
      </c>
      <c r="L15" s="407" t="str">
        <f>IF($F15=pres,pres,IF(OR('Paso 5-Trat.+recicl. desechos'!$B$4=yes,'Paso 5-Trat.+recicl. desechos'!$B$4=no),IF(OR($B16=yes,$B17=yes,$B18=yes,),SUM('5-5 Cons prod'!AA13:AA15), IF(AND($B16=no,$B17=no,$B18=no),"-", IF(OR($B16=que,$B17=que,$B18=que),que, pres))),_SeF4))</f>
        <v>¿Presente?</v>
      </c>
      <c r="M15" s="273" t="s">
        <v>89</v>
      </c>
      <c r="N15" s="463"/>
      <c r="O15" s="339" t="str">
        <f>INDEX('Range-thresholds'!$G$6:$G$73,MATCH(A15,'Range-thresholds'!$A$6:$A$73,0))</f>
        <v/>
      </c>
    </row>
    <row r="16" spans="1:16">
      <c r="A16" s="275" t="s">
        <v>964</v>
      </c>
      <c r="B16" s="383"/>
      <c r="C16" s="378"/>
      <c r="D16" s="748" t="s">
        <v>968</v>
      </c>
      <c r="E16" s="395"/>
      <c r="F16" s="458" t="str">
        <f>IF(OR($B16=yes,$B16=yes),'5-5 Cons prod'!K13, IF(OR($B16=no,$B16=no),"-", IF($B16=que,que, pres)))</f>
        <v>¿Presente?</v>
      </c>
      <c r="G16" s="280"/>
      <c r="H16" s="280"/>
      <c r="I16" s="280"/>
      <c r="J16" s="280"/>
      <c r="K16" s="280"/>
      <c r="L16" s="280"/>
      <c r="M16" s="273"/>
      <c r="N16" s="463"/>
    </row>
    <row r="17" spans="1:15" ht="25">
      <c r="A17" s="275" t="s">
        <v>965</v>
      </c>
      <c r="B17" s="624"/>
      <c r="C17" s="379"/>
      <c r="D17" s="748" t="s">
        <v>968</v>
      </c>
      <c r="E17" s="345"/>
      <c r="F17" s="457" t="str">
        <f>IF(OR($B17=yes,$B17=yes),'5-5 Cons prod'!K14+'5-5 Cons prod'!K16, IF(OR($B17=no,$B17=no),"-", IF($B17=que,que, pres)))</f>
        <v>¿Presente?</v>
      </c>
      <c r="G17" s="280"/>
      <c r="H17" s="280"/>
      <c r="I17" s="280"/>
      <c r="J17" s="280"/>
      <c r="K17" s="280"/>
      <c r="L17" s="280"/>
      <c r="M17" s="273"/>
      <c r="N17" s="463"/>
    </row>
    <row r="18" spans="1:15" ht="38" thickBot="1">
      <c r="A18" s="275" t="s">
        <v>966</v>
      </c>
      <c r="B18" s="381"/>
      <c r="C18" s="401"/>
      <c r="D18" s="748" t="s">
        <v>968</v>
      </c>
      <c r="E18" s="395"/>
      <c r="F18" s="458" t="str">
        <f>IF(OR($B18=yes,$B18=yes),'5-5 Cons prod'!K15, IF(OR($B18=no,$B18=no),"-", IF($B18=que,que, pres)))</f>
        <v>¿Presente?</v>
      </c>
      <c r="G18" s="280"/>
      <c r="H18" s="280"/>
      <c r="I18" s="280"/>
      <c r="J18" s="280"/>
      <c r="K18" s="280"/>
      <c r="L18" s="280"/>
      <c r="M18" s="273" t="s">
        <v>89</v>
      </c>
      <c r="N18" s="463"/>
    </row>
    <row r="19" spans="1:15" ht="13" thickBot="1">
      <c r="A19" s="368"/>
      <c r="B19" s="417"/>
      <c r="C19" s="418"/>
      <c r="D19" s="752" t="s">
        <v>968</v>
      </c>
      <c r="E19" s="273"/>
      <c r="F19" s="457"/>
      <c r="G19" s="280"/>
      <c r="H19" s="280"/>
      <c r="I19" s="280"/>
      <c r="J19" s="280"/>
      <c r="K19" s="280"/>
      <c r="L19" s="280"/>
      <c r="M19" s="273"/>
      <c r="N19" s="463"/>
    </row>
    <row r="20" spans="1:15" ht="13" thickBot="1">
      <c r="A20" s="275" t="s">
        <v>967</v>
      </c>
      <c r="B20" s="436"/>
      <c r="C20" s="422">
        <f>'Paso 1-Datos del país'!$B$6</f>
        <v>0</v>
      </c>
      <c r="D20" s="752"/>
      <c r="E20" s="273"/>
      <c r="F20" s="461" t="str">
        <f>IF(OR($B20=yes,$B20=yes),'5-5 Cons prod'!K20, IF(OR($B20=no,$B20=no),"-", IF($B20=que,que, pres)))</f>
        <v>¿Presente?</v>
      </c>
      <c r="G20" s="408" t="str">
        <f>IF(OR('Paso 5-Trat.+recicl. desechos'!$B$4=yes,'Paso 5-Trat.+recicl. desechos'!$B$4=no),IF($B20=yes,SUM('5-5 Cons prod'!V21:V23), IF($B20=no,"-", IF($B20=que,que, pres))),_SeF4)</f>
        <v>¿Presente?</v>
      </c>
      <c r="H20" s="408" t="str">
        <f>IF(OR('Paso 5-Trat.+recicl. desechos'!$B$4=yes,'Paso 5-Trat.+recicl. desechos'!$B$4=yes,'Paso 5-Trat.+recicl. desechos'!$B$4=no,'Paso 5-Trat.+recicl. desechos'!$B$4=no),IF($B20=yes,SUM('5-5 Cons prod'!W21:W23), IF($B20=no,"-", IF($B20=que,que, pres))),_SeF4)</f>
        <v>¿Presente?</v>
      </c>
      <c r="I20" s="408" t="str">
        <f>IF(OR('Paso 5-Trat.+recicl. desechos'!$B$4=yes,'Paso 5-Trat.+recicl. desechos'!$B$4=yes,'Paso 5-Trat.+recicl. desechos'!$B$4=no,'Paso 5-Trat.+recicl. desechos'!$B$4=no),IF($B20=yes,SUM('5-5 Cons prod'!X21:X23), IF($B20=no,"-", IF($B20=que,que, pres))),_SeF4)</f>
        <v>¿Presente?</v>
      </c>
      <c r="J20" s="408" t="str">
        <f>IF(OR('Paso 5-Trat.+recicl. desechos'!$B$4=yes,'Paso 5-Trat.+recicl. desechos'!$B$4=yes,'Paso 5-Trat.+recicl. desechos'!$B$4=no,'Paso 5-Trat.+recicl. desechos'!$B$4=no),IF($B20=yes,SUM('5-5 Cons prod'!Y21:Y23), IF($B20=no,"-", IF($B20=que,que, pres))),_SeF4)</f>
        <v>¿Presente?</v>
      </c>
      <c r="K20" s="408" t="str">
        <f>IF(OR('Paso 5-Trat.+recicl. desechos'!$B$4=yes,'Paso 5-Trat.+recicl. desechos'!$B$4=yes,'Paso 5-Trat.+recicl. desechos'!$B$4=no,'Paso 5-Trat.+recicl. desechos'!$B$4=no),IF($B20=yes,SUM('5-5 Cons prod'!Z21:Z23), IF($B20=no,"-", IF($B20=que,que, pres))),_SeF4)</f>
        <v>¿Presente?</v>
      </c>
      <c r="L20" s="408" t="str">
        <f>IF(OR('Paso 5-Trat.+recicl. desechos'!$B$4=yes,'Paso 5-Trat.+recicl. desechos'!$B$4=yes,'Paso 5-Trat.+recicl. desechos'!$B$4=no,'Paso 5-Trat.+recicl. desechos'!$B$4=no),IF($B20=yes,SUM('5-5 Cons prod'!AA21:AA23), IF($B20=no,"-", IF($B20=que,que, pres))),_SeF4)</f>
        <v>¿Presente?</v>
      </c>
      <c r="M20" s="273" t="s">
        <v>114</v>
      </c>
      <c r="N20" s="463"/>
      <c r="O20" s="339" t="str">
        <f>INDEX('Range-thresholds'!$G$6:$G$73,MATCH(A20,'Range-thresholds'!$A$6:$A$73,0))</f>
        <v/>
      </c>
    </row>
    <row r="21" spans="1:15">
      <c r="A21" s="275"/>
      <c r="B21" s="275"/>
      <c r="C21" s="497">
        <f>'Paso 1-Datos del país'!$D$23</f>
        <v>100</v>
      </c>
      <c r="D21" s="748" t="s">
        <v>969</v>
      </c>
      <c r="E21" s="345"/>
      <c r="F21" s="460"/>
      <c r="G21" s="408"/>
      <c r="H21" s="408"/>
      <c r="I21" s="408"/>
      <c r="J21" s="408"/>
      <c r="K21" s="408"/>
      <c r="L21" s="408"/>
      <c r="M21" s="273"/>
      <c r="N21" s="463"/>
    </row>
    <row r="22" spans="1:15">
      <c r="A22" s="368"/>
      <c r="B22" s="412"/>
      <c r="C22" s="377"/>
      <c r="D22" s="273" t="s">
        <v>970</v>
      </c>
      <c r="E22" s="273"/>
      <c r="F22" s="457"/>
      <c r="G22" s="280"/>
      <c r="H22" s="280"/>
      <c r="I22" s="280"/>
      <c r="J22" s="280"/>
      <c r="K22" s="280"/>
      <c r="L22" s="280"/>
      <c r="M22" s="273"/>
      <c r="N22" s="463"/>
    </row>
    <row r="23" spans="1:15" ht="13.5" thickBot="1">
      <c r="A23" s="406" t="s">
        <v>977</v>
      </c>
      <c r="B23" s="410" t="str">
        <f>IF(OR(AND(B24&lt;&gt;no,B24&lt;&gt;yes,B24&lt;&gt;que),AND(B25&lt;&gt;no,B25&lt;&gt;yes,B25&lt;&gt;que),AND(B26&lt;&gt;no,B26&lt;&gt;yes,B26&lt;&gt;que)),pres,IF(OR($B24=yes,$B25=yes,$B26=yes),yes,IF(AND($B24=no,$B25=no,$B26=no),no,IF(OR($B24=que,$B25=que,$B26=que),que,pres))))</f>
        <v>¿Presente?</v>
      </c>
      <c r="C23" s="419">
        <f>SUM(C24:C26)</f>
        <v>0</v>
      </c>
      <c r="D23" s="345" t="s">
        <v>970</v>
      </c>
      <c r="E23" s="345"/>
      <c r="F23" s="461" t="str">
        <f>IF(OR(AND(B24&lt;&gt;no,B24&lt;&gt;yes,B24&lt;&gt;que),AND(B25&lt;&gt;no,B25&lt;&gt;yes,B25&lt;&gt;que),AND(B26&lt;&gt;no,B26&lt;&gt;yes,B26&lt;&gt;que)),pres,IF(OR($B24=yes,$B25=yes,$B26=yes),'5-5 Cons prod'!K27,IF(AND($B24=no,$B25=no,$B26=no),"-",IF(OR($B24=que,$B25=que,$B26=que),que,pres))))</f>
        <v>¿Presente?</v>
      </c>
      <c r="G23" s="407" t="str">
        <f>IF($F23=pres,pres,IF(OR('Paso 5-Trat.+recicl. desechos'!$B$4=yes,'Paso 5-Trat.+recicl. desechos'!$B$4=no),IF(OR($B24=yes,$B25=yes,$B26=yes,),SUM('5-5 Cons prod'!V28:V30), IF(AND($B24=no,$B25=no,$B26=no),"-", IF(OR($B24=que,$B25=que,$B26=que),que, pres))),_SeF4))</f>
        <v>¿Presente?</v>
      </c>
      <c r="H23" s="407" t="str">
        <f>IF($F23=pres,pres,IF(OR('Paso 5-Trat.+recicl. desechos'!$B$4=yes,'Paso 5-Trat.+recicl. desechos'!$B$4=no),IF(OR($B24=yes,$B25=yes,$B26=yes,),SUM('5-5 Cons prod'!W28:W30), IF(AND($B24=no,$B25=no,$B26=no),"-", IF(OR($B24=que,$B25=que,$B26=que),que, pres))),_SeF4))</f>
        <v>¿Presente?</v>
      </c>
      <c r="I23" s="407" t="str">
        <f>IF($F23=pres,pres,IF(OR('Paso 5-Trat.+recicl. desechos'!$B$4=yes,'Paso 5-Trat.+recicl. desechos'!$B$4=no),IF(OR($B24=yes,$B25=yes,$B26=yes,),SUM('5-5 Cons prod'!X28:X30), IF(AND($B24=no,$B25=no,$B26=no),"-", IF(OR($B24=que,$B25=que,$B26=que),que, pres))),_SeF4))</f>
        <v>¿Presente?</v>
      </c>
      <c r="J23" s="407" t="str">
        <f>IF($F23=pres,pres,IF(OR('Paso 5-Trat.+recicl. desechos'!$B$4=yes,'Paso 5-Trat.+recicl. desechos'!$B$4=no),IF(OR($B24=yes,$B25=yes,$B26=yes,),SUM('5-5 Cons prod'!Y28:Y30), IF(AND($B24=no,$B25=no,$B26=no),"-", IF(OR($B24=que,$B25=que,$B26=que),que, pres))),_SeF4))</f>
        <v>¿Presente?</v>
      </c>
      <c r="K23" s="407" t="str">
        <f>IF($F23=pres,pres,IF(OR('Paso 5-Trat.+recicl. desechos'!$B$4=yes,'Paso 5-Trat.+recicl. desechos'!$B$4=no),IF(OR($B24=yes,$B25=yes,$B26=yes,),SUM('5-5 Cons prod'!Z28:Z30), IF(AND($B24=no,$B25=no,$B26=no),"-", IF(OR($B24=que,$B25=que,$B26=que),que, pres))),_SeF4))</f>
        <v>¿Presente?</v>
      </c>
      <c r="L23" s="407" t="str">
        <f>IF($F23=pres,pres,IF(OR('Paso 5-Trat.+recicl. desechos'!$B$4=yes,'Paso 5-Trat.+recicl. desechos'!$B$4=no),IF(OR($B24=yes,$B25=yes,$B26=yes,),SUM('5-5 Cons prod'!AA28:AA30), IF(AND($B24=no,$B25=no,$B26=no),"-", IF(OR($B24=que,$B25=que,$B26=que),que, pres))),_SeF4))</f>
        <v>¿Presente?</v>
      </c>
      <c r="M23" s="273" t="s">
        <v>119</v>
      </c>
      <c r="N23" s="463"/>
      <c r="O23" s="339" t="str">
        <f>INDEX('Range-thresholds'!$G$6:$G$73,MATCH(A23,'Range-thresholds'!$A$6:$A$73,0))</f>
        <v/>
      </c>
    </row>
    <row r="24" spans="1:15">
      <c r="A24" s="275" t="s">
        <v>978</v>
      </c>
      <c r="B24" s="678"/>
      <c r="C24" s="378"/>
      <c r="D24" s="345" t="s">
        <v>970</v>
      </c>
      <c r="E24" s="345"/>
      <c r="F24" s="457" t="str">
        <f>IF(OR($B24=yes,$B24=yes),'5-5 Cons prod'!K28, IF(OR($B24=no,$B24=no),"-", IF($B24=que,que, pres)))</f>
        <v>¿Presente?</v>
      </c>
      <c r="G24" s="280"/>
      <c r="H24" s="280"/>
      <c r="I24" s="280"/>
      <c r="J24" s="280"/>
      <c r="K24" s="280"/>
      <c r="L24" s="280"/>
      <c r="M24" s="273"/>
      <c r="N24" s="463"/>
    </row>
    <row r="25" spans="1:15" ht="25">
      <c r="A25" s="275" t="s">
        <v>979</v>
      </c>
      <c r="B25" s="624"/>
      <c r="C25" s="379"/>
      <c r="D25" s="345"/>
      <c r="E25" s="395"/>
      <c r="F25" s="458" t="str">
        <f>IF(OR($B25=yes,$B25=yes),'5-5 Cons prod'!K29, IF(OR($B25=no,$B25=no),"-", IF($B25=que,que, pres)))</f>
        <v>¿Presente?</v>
      </c>
      <c r="G25" s="280"/>
      <c r="H25" s="280"/>
      <c r="I25" s="280"/>
      <c r="J25" s="280"/>
      <c r="K25" s="280"/>
      <c r="L25" s="280"/>
      <c r="M25" s="273"/>
      <c r="N25" s="463"/>
    </row>
    <row r="26" spans="1:15" ht="25.5" thickBot="1">
      <c r="A26" s="275" t="s">
        <v>980</v>
      </c>
      <c r="B26" s="623"/>
      <c r="C26" s="401"/>
      <c r="D26" s="345" t="s">
        <v>971</v>
      </c>
      <c r="E26" s="345"/>
      <c r="F26" s="457" t="str">
        <f>IF(OR($B26=yes,$B26=yes),SUM('5-5 Cons prod'!K30:K33), IF(OR($B26=no,$B26=no),"-", IF($B26=que,que, pres)))</f>
        <v>¿Presente?</v>
      </c>
      <c r="G26" s="280"/>
      <c r="H26" s="280"/>
      <c r="I26" s="280"/>
      <c r="J26" s="280"/>
      <c r="K26" s="280"/>
      <c r="L26" s="280"/>
      <c r="M26" s="273"/>
      <c r="N26" s="463"/>
    </row>
    <row r="27" spans="1:15">
      <c r="A27" s="368"/>
      <c r="B27" s="412"/>
      <c r="C27" s="377"/>
      <c r="D27" s="273" t="s">
        <v>972</v>
      </c>
      <c r="E27" s="273"/>
      <c r="F27" s="457"/>
      <c r="G27" s="280"/>
      <c r="H27" s="280"/>
      <c r="I27" s="280"/>
      <c r="J27" s="280"/>
      <c r="K27" s="280"/>
      <c r="L27" s="280"/>
      <c r="M27" s="273"/>
      <c r="N27" s="463"/>
    </row>
    <row r="28" spans="1:15" ht="13.5" thickBot="1">
      <c r="A28" s="406" t="s">
        <v>981</v>
      </c>
      <c r="B28" s="410" t="str">
        <f>IF(OR(AND(B29&lt;&gt;no,B29&lt;&gt;yes,B29&lt;&gt;que),AND(B30&lt;&gt;no,B30&lt;&gt;yes,B30&lt;&gt;que),AND(B31&lt;&gt;no,B31&lt;&gt;yes,B31&lt;&gt;que)),pres,IF(OR($B29=yes,$B30=yes,$B31=yes),yes,IF(AND($B29=no,$B30=no,$B31=no),no,IF(OR($B29=que,$B30=que,$B31=que),que,pres))))</f>
        <v>¿Presente?</v>
      </c>
      <c r="C28" s="411">
        <f>SUM(C29:C31)</f>
        <v>0</v>
      </c>
      <c r="D28" s="409"/>
      <c r="E28" s="409"/>
      <c r="F28" s="461" t="str">
        <f>IF(OR(AND(B29&lt;&gt;no,B29&lt;&gt;yes,B29&lt;&gt;que),AND(B30&lt;&gt;no,B30&lt;&gt;yes,B30&lt;&gt;que),AND(B31&lt;&gt;no,B31&lt;&gt;yes,B31&lt;&gt;que)),pres,IF(OR($B29=yes,$B30=yes,$B31=yes),'5-5 Cons prod'!K42,IF(AND($B29=no,$B30=no,$B31=no),"-",IF(OR($B29=que,$B30=que,$B31=que),que,pres))))</f>
        <v>¿Presente?</v>
      </c>
      <c r="G28" s="407" t="str">
        <f>IF($F28=pres,pres,IF(OR('Paso 5-Trat.+recicl. desechos'!$B$4=yes,'Paso 5-Trat.+recicl. desechos'!$B$4=no),IF(OR($B29=yes,$B30=yes,$B31=yes,),SUM('5-5 Cons prod'!V43:V45), IF(AND($B29=no,$B30=no,$B31=no),"-", IF(OR($B29=que,$B30=que,$B31=que),que, pres))),_SeF4))</f>
        <v>¿Presente?</v>
      </c>
      <c r="H28" s="407" t="str">
        <f>IF($F28=pres,pres,IF(OR('Paso 5-Trat.+recicl. desechos'!$B$4=yes,'Paso 5-Trat.+recicl. desechos'!$B$4=no),IF(OR($B29=yes,$B30=yes,$B31=yes,),SUM('5-5 Cons prod'!W43:W45), IF(AND($B29=no,$B30=no,$B31=no),"-", IF(OR($B29=que,$B30=que,$B31=que),que, pres))),_SeF4))</f>
        <v>¿Presente?</v>
      </c>
      <c r="I28" s="407" t="str">
        <f>IF($F28=pres,pres,IF(OR('Paso 5-Trat.+recicl. desechos'!$B$4=yes,'Paso 5-Trat.+recicl. desechos'!$B$4=no),IF(OR($B29=yes,$B30=yes,$B31=yes,),SUM('5-5 Cons prod'!X43:X45), IF(AND($B29=no,$B30=no,$B31=no),"-", IF(OR($B29=que,$B30=que,$B31=que),que, pres))),_SeF4))</f>
        <v>¿Presente?</v>
      </c>
      <c r="J28" s="407" t="str">
        <f>IF($F28=pres,pres,IF(OR('Paso 5-Trat.+recicl. desechos'!$B$4=yes,'Paso 5-Trat.+recicl. desechos'!$B$4=no),IF(OR($B29=yes,$B30=yes,$B31=yes,),SUM('5-5 Cons prod'!Y43:Y45), IF(AND($B29=no,$B30=no,$B31=no),"-", IF(OR($B29=que,$B30=que,$B31=que),que, pres))),_SeF4))</f>
        <v>¿Presente?</v>
      </c>
      <c r="K28" s="407" t="str">
        <f>IF($F28=pres,pres,IF(OR('Paso 5-Trat.+recicl. desechos'!$B$4=yes,'Paso 5-Trat.+recicl. desechos'!$B$4=no),IF(OR($B29=yes,$B30=yes,$B31=yes,),SUM('5-5 Cons prod'!Z43:Z45), IF(AND($B29=no,$B30=no,$B31=no),"-", IF(OR($B29=que,$B30=que,$B31=que),que, pres))),_SeF4))</f>
        <v>¿Presente?</v>
      </c>
      <c r="L28" s="407" t="str">
        <f>IF($F28=pres,pres,IF(OR('Paso 5-Trat.+recicl. desechos'!$B$4=yes,'Paso 5-Trat.+recicl. desechos'!$B$4=no),IF(OR($B29=yes,$B30=yes,$B31=yes,),SUM('5-5 Cons prod'!AA43:AA45), IF(AND($B29=no,$B30=no,$B31=no),"-", IF(OR($B29=que,$B30=que,$B31=que),que, pres))),_SeF4))</f>
        <v>¿Presente?</v>
      </c>
      <c r="M28" s="273" t="s">
        <v>131</v>
      </c>
      <c r="N28" s="463"/>
      <c r="O28" s="339" t="str">
        <f>INDEX('Range-thresholds'!$G$6:$G$73,MATCH(A28,'Range-thresholds'!$A$6:$A$73,0))</f>
        <v/>
      </c>
    </row>
    <row r="29" spans="1:15" ht="37.5">
      <c r="A29" s="275" t="s">
        <v>982</v>
      </c>
      <c r="B29" s="678"/>
      <c r="C29" s="378"/>
      <c r="D29" s="345" t="s">
        <v>973</v>
      </c>
      <c r="E29" s="345"/>
      <c r="F29" s="457" t="str">
        <f>IF(OR($B29=yes,$B29=yes),'5-5 Cons prod'!K43, IF(OR($B29=no,$B29=no),"-", IF($B29=que,que, pres)))</f>
        <v>¿Presente?</v>
      </c>
      <c r="G29" s="280"/>
      <c r="H29" s="280"/>
      <c r="I29" s="280"/>
      <c r="J29" s="280"/>
      <c r="K29" s="280"/>
      <c r="L29" s="280"/>
      <c r="M29" s="273"/>
      <c r="N29" s="463"/>
    </row>
    <row r="30" spans="1:15" ht="25">
      <c r="A30" s="275" t="s">
        <v>983</v>
      </c>
      <c r="B30" s="624"/>
      <c r="C30" s="379"/>
      <c r="D30" s="345"/>
      <c r="E30" s="345"/>
      <c r="F30" s="457" t="str">
        <f>IF(OR($B30=yes,$B30=yes),SUM('5-5 Cons prod'!K44:K46), IF(OR($B30=no,$B30=no),"-", IF($B30=que,que, pres)))</f>
        <v>¿Presente?</v>
      </c>
      <c r="G30" s="280"/>
      <c r="H30" s="280"/>
      <c r="I30" s="280"/>
      <c r="J30" s="280"/>
      <c r="K30" s="280"/>
      <c r="L30" s="280"/>
      <c r="M30" s="273"/>
      <c r="N30" s="463"/>
    </row>
    <row r="31" spans="1:15" ht="38" thickBot="1">
      <c r="A31" s="275" t="s">
        <v>984</v>
      </c>
      <c r="B31" s="623"/>
      <c r="C31" s="401"/>
      <c r="D31" s="345" t="s">
        <v>974</v>
      </c>
      <c r="E31" s="345"/>
      <c r="F31" s="457" t="str">
        <f>IF(OR($B31=yes,$B31=yes),SUM('5-5 Cons prod'!K47), IF(OR($B31=no,$B31=no),"-", IF($B31=que,que, pres)))</f>
        <v>¿Presente?</v>
      </c>
      <c r="G31" s="280"/>
      <c r="H31" s="280"/>
      <c r="I31" s="280"/>
      <c r="J31" s="280"/>
      <c r="K31" s="280"/>
      <c r="L31" s="280"/>
      <c r="M31" s="273"/>
      <c r="N31" s="463"/>
    </row>
    <row r="32" spans="1:15" ht="13" thickBot="1">
      <c r="A32" s="368"/>
      <c r="B32" s="402"/>
      <c r="C32" s="420"/>
      <c r="D32" s="395"/>
      <c r="E32" s="395"/>
      <c r="F32" s="457"/>
      <c r="G32" s="280"/>
      <c r="H32" s="280"/>
      <c r="I32" s="280"/>
      <c r="J32" s="280"/>
      <c r="K32" s="280"/>
      <c r="L32" s="280"/>
      <c r="M32" s="273"/>
      <c r="N32" s="463"/>
    </row>
    <row r="33" spans="1:15" ht="25.5" thickBot="1">
      <c r="A33" s="275" t="s">
        <v>985</v>
      </c>
      <c r="B33" s="679"/>
      <c r="C33" s="422">
        <f>'Paso 1-Datos del país'!$B$6</f>
        <v>0</v>
      </c>
      <c r="D33" s="273" t="s">
        <v>968</v>
      </c>
      <c r="E33" s="273"/>
      <c r="F33" s="461" t="str">
        <f>IF(OR($B33=yes,$B33=yes),'5-5 Cons prod'!K51, IF(OR($B33=no,$B33=no),"-", IF($B33=que,que, pres)))</f>
        <v>¿Presente?</v>
      </c>
      <c r="G33" s="408" t="str">
        <f>IF(OR('Paso 5-Trat.+recicl. desechos'!$B$4=yes,'Paso 5-Trat.+recicl. desechos'!$B$4=no),IF($B33=yes,SUM('5-5 Cons prod'!V52:V53), IF($B33=no,"-", IF($B33=que,que, pres))),_SeF4)</f>
        <v>¿Presente?</v>
      </c>
      <c r="H33" s="408" t="str">
        <f>IF(OR('Paso 5-Trat.+recicl. desechos'!$B$4=yes,'Paso 5-Trat.+recicl. desechos'!$B$4=no),IF($B33=yes,SUM('5-5 Cons prod'!W52:W53), IF($B33=no,"-", IF($B33=que,que, pres))),_SeF4)</f>
        <v>¿Presente?</v>
      </c>
      <c r="I33" s="408" t="str">
        <f>IF(OR('Paso 5-Trat.+recicl. desechos'!$B$4=yes,'Paso 5-Trat.+recicl. desechos'!$B$4=no),IF($B33=yes,SUM('5-5 Cons prod'!X52:X53), IF($B33=no,"-", IF($B33=que,que, pres))),_SeF4)</f>
        <v>¿Presente?</v>
      </c>
      <c r="J33" s="408" t="str">
        <f>IF(OR('Paso 5-Trat.+recicl. desechos'!$B$4=yes,'Paso 5-Trat.+recicl. desechos'!$B$4=no),IF($B33=yes,SUM('5-5 Cons prod'!Y52:Y53), IF($B33=no,"-", IF($B33=que,que, pres))),_SeF4)</f>
        <v>¿Presente?</v>
      </c>
      <c r="K33" s="408" t="str">
        <f>IF(OR('Paso 5-Trat.+recicl. desechos'!$B$4=yes,'Paso 5-Trat.+recicl. desechos'!$B$4=no),IF($B33=yes,SUM('5-5 Cons prod'!Z52:Z53), IF($B33=no,"-", IF($B33=que,que, pres))),_SeF4)</f>
        <v>¿Presente?</v>
      </c>
      <c r="L33" s="408" t="str">
        <f>IF(OR('Paso 5-Trat.+recicl. desechos'!$B$4=yes,'Paso 5-Trat.+recicl. desechos'!$B$4=no),IF($B33=yes,SUM('5-5 Cons prod'!AA52:AA53), IF($B33=no,"-", IF($B33=que,que, pres))),_SeF4)</f>
        <v>¿Presente?</v>
      </c>
      <c r="M33" s="273" t="s">
        <v>398</v>
      </c>
      <c r="N33" s="463"/>
      <c r="O33" s="339" t="str">
        <f>INDEX('Range-thresholds'!$G$6:$G$73,MATCH(A33,'Range-thresholds'!$A$6:$A$73,0))</f>
        <v/>
      </c>
    </row>
    <row r="34" spans="1:15">
      <c r="A34" s="275"/>
      <c r="B34" s="275"/>
      <c r="C34" s="497">
        <f>'Paso 1-Datos del país'!$D$23</f>
        <v>100</v>
      </c>
      <c r="D34" s="345" t="s">
        <v>712</v>
      </c>
      <c r="E34" s="345"/>
      <c r="F34" s="460"/>
      <c r="G34" s="408"/>
      <c r="H34" s="408"/>
      <c r="I34" s="408"/>
      <c r="J34" s="408"/>
      <c r="K34" s="408"/>
      <c r="L34" s="408"/>
      <c r="M34" s="273"/>
      <c r="N34" s="463"/>
    </row>
    <row r="35" spans="1:15" ht="13" thickBot="1">
      <c r="A35" s="368"/>
      <c r="B35" s="402"/>
      <c r="C35" s="420"/>
      <c r="D35" s="395"/>
      <c r="E35" s="395"/>
      <c r="F35" s="457"/>
      <c r="G35" s="280"/>
      <c r="H35" s="280"/>
      <c r="I35" s="280"/>
      <c r="J35" s="280"/>
      <c r="K35" s="280"/>
      <c r="L35" s="280"/>
      <c r="M35" s="273"/>
      <c r="N35" s="463"/>
    </row>
    <row r="36" spans="1:15" ht="13" thickBot="1">
      <c r="A36" s="275" t="s">
        <v>986</v>
      </c>
      <c r="B36" s="625"/>
      <c r="C36" s="404"/>
      <c r="D36" s="345" t="s">
        <v>1069</v>
      </c>
      <c r="E36" s="345"/>
      <c r="F36" s="461" t="str">
        <f>IF(OR($B36=yes,$B36=yes),'5-5 Cons prod'!K61, IF(OR($B36=no,$B36=no),"-", IF($B36=que,que, pres)))</f>
        <v>¿Presente?</v>
      </c>
      <c r="G36" s="408" t="str">
        <f>IF(OR('Paso 5-Trat.+recicl. desechos'!$B$4=yes,'Paso 5-Trat.+recicl. desechos'!$B$4=no),IF($B36=yes,'5-5 Cons prod'!V61, IF($B36=no,"-", IF($B36=que,que, pres))),_SeF4)</f>
        <v>¿Presente?</v>
      </c>
      <c r="H36" s="408" t="str">
        <f>IF(OR('Paso 5-Trat.+recicl. desechos'!$B$4=yes,'Paso 5-Trat.+recicl. desechos'!$B$4=no),IF($B36=yes,'5-5 Cons prod'!W61, IF($B36=no,"-", IF($B36=que,que, pres))),_SeF4)</f>
        <v>¿Presente?</v>
      </c>
      <c r="I36" s="408" t="str">
        <f>IF(OR('Paso 5-Trat.+recicl. desechos'!$B$4=yes,'Paso 5-Trat.+recicl. desechos'!$B$4=no),IF($B36=yes,'5-5 Cons prod'!X61, IF($B36=no,"-", IF($B36=que,que, pres))),_SeF4)</f>
        <v>¿Presente?</v>
      </c>
      <c r="J36" s="408" t="str">
        <f>IF(OR('Paso 5-Trat.+recicl. desechos'!$B$4=yes,'Paso 5-Trat.+recicl. desechos'!$B$4=no),IF($B36=yes,'5-5 Cons prod'!Y61, IF($B36=no,"-", IF($B36=que,que, pres))),_SeF4)</f>
        <v>¿Presente?</v>
      </c>
      <c r="K36" s="408" t="str">
        <f>IF(OR('Paso 5-Trat.+recicl. desechos'!$B$4=yes,'Paso 5-Trat.+recicl. desechos'!$B$4=no),IF($B36=yes,'5-5 Cons prod'!Z61, IF($B36=no,"-", IF($B36=que,que, pres))),_SeF4)</f>
        <v>¿Presente?</v>
      </c>
      <c r="L36" s="408" t="str">
        <f>IF(OR('Paso 5-Trat.+recicl. desechos'!$B$4=yes,'Paso 5-Trat.+recicl. desechos'!$B$4=no),IF($B36=yes,'5-5 Cons prod'!AA61, IF($B36=no,"-", IF($B36=que,que, pres))),_SeF4)</f>
        <v>¿Presente?</v>
      </c>
      <c r="M36" s="273" t="s">
        <v>370</v>
      </c>
      <c r="N36" s="463"/>
      <c r="O36" s="339" t="str">
        <f>INDEX('Range-thresholds'!$G$6:$G$73,MATCH(A36,'Range-thresholds'!$A$6:$A$73,0))</f>
        <v/>
      </c>
    </row>
    <row r="37" spans="1:15" ht="13" thickBot="1">
      <c r="A37" s="368"/>
      <c r="B37" s="402"/>
      <c r="C37" s="420"/>
      <c r="D37" s="273"/>
      <c r="E37" s="273"/>
      <c r="F37" s="457"/>
      <c r="G37" s="280"/>
      <c r="H37" s="280"/>
      <c r="I37" s="280"/>
      <c r="J37" s="280"/>
      <c r="K37" s="280"/>
      <c r="L37" s="280"/>
      <c r="M37" s="273"/>
      <c r="N37" s="463"/>
    </row>
    <row r="38" spans="1:15" ht="25.5" thickBot="1">
      <c r="A38" s="275" t="s">
        <v>987</v>
      </c>
      <c r="B38" s="625"/>
      <c r="C38" s="597"/>
      <c r="D38" s="274" t="s">
        <v>1070</v>
      </c>
      <c r="E38" s="274"/>
      <c r="F38" s="461" t="str">
        <f>IF(OR($B38=yes,$B38=yes),'5-5 Cons prod'!K65, IF(OR($B38=no,$B38=no),"-", IF($B38=que,que, pres)))</f>
        <v>¿Presente?</v>
      </c>
      <c r="G38" s="408" t="str">
        <f>IF(OR('Paso 5-Trat.+recicl. desechos'!$B$4=yes,'Paso 5-Trat.+recicl. desechos'!$B$4=no),IF($B38=yes,'5-5 Cons prod'!V65, IF($B38=no,"-", IF($B38=que,que, pres))),_SeF4)</f>
        <v>¿Presente?</v>
      </c>
      <c r="H38" s="408" t="str">
        <f>IF(OR('Paso 5-Trat.+recicl. desechos'!$B$4=yes,'Paso 5-Trat.+recicl. desechos'!$B$4=no),IF($B38=yes,'5-5 Cons prod'!W65, IF($B38=no,"-", IF($B38=que,que, pres))),_SeF4)</f>
        <v>¿Presente?</v>
      </c>
      <c r="I38" s="408" t="str">
        <f>IF(OR('Paso 5-Trat.+recicl. desechos'!$B$4=yes,'Paso 5-Trat.+recicl. desechos'!$B$4=no),IF($B38=yes,'5-5 Cons prod'!X65, IF($B38=no,"-", IF($B38=que,que, pres))),_SeF4)</f>
        <v>¿Presente?</v>
      </c>
      <c r="J38" s="408" t="str">
        <f>IF(OR('Paso 5-Trat.+recicl. desechos'!$B$4=yes,'Paso 5-Trat.+recicl. desechos'!$B$4=no),IF($B38=yes,'5-5 Cons prod'!Y65, IF($B38=no,"-", IF($B38=que,que, pres))),_SeF4)</f>
        <v>¿Presente?</v>
      </c>
      <c r="K38" s="408" t="str">
        <f>IF(OR('Paso 5-Trat.+recicl. desechos'!$B$4=yes,'Paso 5-Trat.+recicl. desechos'!$B$4=no),IF($B38=yes,'5-5 Cons prod'!Z65, IF($B38=no,"-", IF($B38=que,que, pres))),_SeF4)</f>
        <v>¿Presente?</v>
      </c>
      <c r="L38" s="408" t="str">
        <f>IF(OR('Paso 5-Trat.+recicl. desechos'!$B$4=yes,'Paso 5-Trat.+recicl. desechos'!$B$4=no),IF($B38=yes,'5-5 Cons prod'!AA65, IF($B38=no,"-", IF($B38=que,que, pres))),_SeF4)</f>
        <v>¿Presente?</v>
      </c>
      <c r="M38" s="273" t="s">
        <v>397</v>
      </c>
      <c r="N38" s="463"/>
      <c r="O38" s="339" t="str">
        <f>INDEX('Range-thresholds'!$G$6:$G$73,MATCH(A38,'Range-thresholds'!$A$6:$A$73,0))</f>
        <v/>
      </c>
    </row>
    <row r="39" spans="1:15" ht="13" thickBot="1">
      <c r="A39" s="368"/>
      <c r="B39" s="402"/>
      <c r="C39" s="420"/>
      <c r="D39" s="273"/>
      <c r="E39" s="273"/>
      <c r="F39" s="457"/>
      <c r="G39" s="280"/>
      <c r="H39" s="280"/>
      <c r="I39" s="280"/>
      <c r="J39" s="280"/>
      <c r="K39" s="280"/>
      <c r="L39" s="280"/>
      <c r="M39" s="273"/>
      <c r="N39" s="463"/>
    </row>
    <row r="40" spans="1:15" ht="25.5" thickBot="1">
      <c r="A40" s="275" t="s">
        <v>988</v>
      </c>
      <c r="B40" s="625"/>
      <c r="C40" s="404"/>
      <c r="D40" s="345" t="s">
        <v>1071</v>
      </c>
      <c r="E40" s="345"/>
      <c r="F40" s="461" t="str">
        <f>IF(OR($B40=yes,$B40=yes),'5-6 Other int use'!K15, IF(OR($B40=no,$B40=no),"-", IF($B40=que,que, pres)))</f>
        <v>¿Presente?</v>
      </c>
      <c r="G40" s="408" t="str">
        <f>IF(OR('Paso 5-Trat.+recicl. desechos'!$B$4=yes,'Paso 5-Trat.+recicl. desechos'!$B$4=no),IF($B40=yes,'5-6 Other int use'!V15, IF($B40=no,"-", IF($B40=que,que, pres))),_SeF4)</f>
        <v>¿Presente?</v>
      </c>
      <c r="H40" s="408" t="str">
        <f>IF(OR('Paso 5-Trat.+recicl. desechos'!$B$4=yes,'Paso 5-Trat.+recicl. desechos'!$B$4=no),IF($B40=yes,'5-6 Other int use'!W15, IF($B40=no,"-", IF($B40=que,que, pres))),_SeF4)</f>
        <v>¿Presente?</v>
      </c>
      <c r="I40" s="408" t="str">
        <f>IF(OR('Paso 5-Trat.+recicl. desechos'!$B$4=yes,'Paso 5-Trat.+recicl. desechos'!$B$4=no),IF($B40=yes,'5-6 Other int use'!X15, IF($B40=no,"-", IF($B40=que,que, pres))),_SeF4)</f>
        <v>¿Presente?</v>
      </c>
      <c r="J40" s="408" t="str">
        <f>IF(OR('Paso 5-Trat.+recicl. desechos'!$B$4=yes,'Paso 5-Trat.+recicl. desechos'!$B$4=no),IF($B40=yes,'5-6 Other int use'!Y15, IF($B40=no,"-", IF($B40=que,que, pres))),_SeF4)</f>
        <v>¿Presente?</v>
      </c>
      <c r="K40" s="408" t="str">
        <f>IF(OR('Paso 5-Trat.+recicl. desechos'!$B$4=yes,'Paso 5-Trat.+recicl. desechos'!$B$4=no),IF($B40=yes,'5-6 Other int use'!Z15, IF($B40=no,"-", IF($B40=que,que, pres))),_SeF4)</f>
        <v>¿Presente?</v>
      </c>
      <c r="L40" s="408" t="str">
        <f>IF(OR('Paso 5-Trat.+recicl. desechos'!$B$4=yes,'Paso 5-Trat.+recicl. desechos'!$B$4=no),IF($B40=yes,'5-6 Other int use'!AA15, IF($B40=no,"-", IF($B40=que,que, pres))),_SeF4)</f>
        <v>¿Presente?</v>
      </c>
      <c r="M40" s="273" t="s">
        <v>226</v>
      </c>
      <c r="N40" s="463"/>
      <c r="O40" s="339" t="str">
        <f>INDEX('Range-thresholds'!$G$6:$G$73,MATCH(A40,'Range-thresholds'!$A$6:$A$73,0))</f>
        <v/>
      </c>
    </row>
    <row r="41" spans="1:15" ht="13" thickBot="1">
      <c r="A41" s="368"/>
      <c r="B41" s="402"/>
      <c r="C41" s="420"/>
      <c r="D41" s="273"/>
      <c r="E41" s="273"/>
      <c r="F41" s="457"/>
      <c r="G41" s="280"/>
      <c r="H41" s="280"/>
      <c r="I41" s="280"/>
      <c r="J41" s="280"/>
      <c r="K41" s="280"/>
      <c r="L41" s="280"/>
      <c r="M41" s="273"/>
      <c r="N41" s="463"/>
    </row>
    <row r="42" spans="1:15" ht="13" thickBot="1">
      <c r="A42" s="275" t="s">
        <v>989</v>
      </c>
      <c r="B42" s="675"/>
      <c r="C42" s="422">
        <f>'Paso 1-Datos del país'!$B$6</f>
        <v>0</v>
      </c>
      <c r="D42" s="273" t="s">
        <v>971</v>
      </c>
      <c r="E42" s="273"/>
      <c r="F42" s="461" t="str">
        <f>IF(OR($B42=yes,$B42=yes),'5-6 Other int use'!K24, IF(OR($B42=no,$B42=no),"-", IF($B42=que,que, pres)))</f>
        <v>¿Presente?</v>
      </c>
      <c r="G42" s="408" t="str">
        <f>IF(OR('Paso 5-Trat.+recicl. desechos'!$B$4=yes,'Paso 5-Trat.+recicl. desechos'!$B$4=no),IF($B42=yes,'5-6 Other int use'!V24, IF($B42=no,"-", IF($B42=que,que, pres))),_SeF4)</f>
        <v>¿Presente?</v>
      </c>
      <c r="H42" s="408" t="str">
        <f>IF(OR('Paso 5-Trat.+recicl. desechos'!$B$4=yes,'Paso 5-Trat.+recicl. desechos'!$B$4=no),IF($B42=yes,'5-6 Other int use'!W24, IF($B42=no,"-", IF($B42=que,que, pres))),_SeF4)</f>
        <v>¿Presente?</v>
      </c>
      <c r="I42" s="408" t="str">
        <f>IF(OR('Paso 5-Trat.+recicl. desechos'!$B$4=yes,'Paso 5-Trat.+recicl. desechos'!$B$4=no),IF($B42=yes,'5-6 Other int use'!X24, IF($B42=no,"-", IF($B42=que,que, pres))),_SeF4)</f>
        <v>¿Presente?</v>
      </c>
      <c r="J42" s="408" t="str">
        <f>IF(OR('Paso 5-Trat.+recicl. desechos'!$B$4=yes,'Paso 5-Trat.+recicl. desechos'!$B$4=no),IF($B42=yes,'5-6 Other int use'!Y24, IF($B42=no,"-", IF($B42=que,que, pres))),_SeF4)</f>
        <v>¿Presente?</v>
      </c>
      <c r="K42" s="408" t="str">
        <f>IF(OR('Paso 5-Trat.+recicl. desechos'!$B$4=yes,'Paso 5-Trat.+recicl. desechos'!$B$4=no),IF($B42=yes,'5-6 Other int use'!Z24, IF($B42=no,"-", IF($B42=que,que, pres))),_SeF4)</f>
        <v>¿Presente?</v>
      </c>
      <c r="L42" s="408" t="str">
        <f>IF(OR('Paso 5-Trat.+recicl. desechos'!$B$4=yes,'Paso 5-Trat.+recicl. desechos'!$B$4=no),IF($B42=yes,'5-6 Other int use'!AA24, IF($B42=no,"-", IF($B42=que,que, pres))),_SeF4)</f>
        <v>¿Presente?</v>
      </c>
      <c r="M42" s="273" t="s">
        <v>226</v>
      </c>
      <c r="N42" s="463"/>
      <c r="O42" s="339" t="str">
        <f>INDEX('Range-thresholds'!$G$6:$G$73,MATCH(A42,'Range-thresholds'!$A$6:$A$73,0))</f>
        <v/>
      </c>
    </row>
    <row r="43" spans="1:15">
      <c r="A43" s="275"/>
      <c r="B43" s="275"/>
      <c r="C43" s="497">
        <f>'Paso 1-Datos del país'!$D$23</f>
        <v>100</v>
      </c>
      <c r="D43" s="345" t="s">
        <v>972</v>
      </c>
      <c r="E43" s="345"/>
      <c r="F43" s="460"/>
      <c r="G43" s="408"/>
      <c r="H43" s="408"/>
      <c r="I43" s="408"/>
      <c r="J43" s="408"/>
      <c r="K43" s="408"/>
      <c r="L43" s="408"/>
      <c r="M43" s="273"/>
      <c r="N43" s="463"/>
    </row>
    <row r="44" spans="1:15" ht="13" thickBot="1">
      <c r="A44" s="275"/>
      <c r="B44" s="499"/>
      <c r="C44" s="497"/>
      <c r="D44" s="345"/>
      <c r="E44" s="345"/>
      <c r="F44" s="460"/>
      <c r="G44" s="408"/>
      <c r="H44" s="408"/>
      <c r="I44" s="408"/>
      <c r="J44" s="408"/>
      <c r="K44" s="408"/>
      <c r="L44" s="408"/>
      <c r="M44" s="273"/>
      <c r="N44" s="463"/>
    </row>
    <row r="45" spans="1:15" ht="13" thickBot="1">
      <c r="A45" s="275" t="s">
        <v>990</v>
      </c>
      <c r="B45" s="675"/>
      <c r="C45" s="422">
        <f>'Paso 1-Datos del país'!$B$6</f>
        <v>0</v>
      </c>
      <c r="D45" s="273" t="s">
        <v>971</v>
      </c>
      <c r="E45" s="273"/>
      <c r="F45" s="461" t="str">
        <f>IF(OR($B45=yes,$B45=yes),'5-6 Other int use'!K37, IF(OR($B45=no,$B45=no),"-", IF($B45=que,que, pres)))</f>
        <v>¿Presente?</v>
      </c>
      <c r="G45" s="408" t="str">
        <f>IF(OR('Paso 5-Trat.+recicl. desechos'!$B$4=yes,'Paso 5-Trat.+recicl. desechos'!$B$4=no),IF($B45=yes,'5-6 Other int use'!V37, IF($B45=no,"-", IF($B45=que,que, pres))),_SeF4)</f>
        <v>¿Presente?</v>
      </c>
      <c r="H45" s="408" t="str">
        <f>IF(OR('Paso 5-Trat.+recicl. desechos'!$B$4=yes,'Paso 5-Trat.+recicl. desechos'!$B$4=no),IF($B45=yes,'5-6 Other int use'!W37, IF($B45=no,"-", IF($B45=que,que, pres))),_SeF4)</f>
        <v>¿Presente?</v>
      </c>
      <c r="I45" s="408" t="str">
        <f>IF(OR('Paso 5-Trat.+recicl. desechos'!$B$4=yes,'Paso 5-Trat.+recicl. desechos'!$B$4=no),IF($B45=yes,'5-6 Other int use'!X37, IF($B45=no,"-", IF($B45=que,que, pres))),_SeF4)</f>
        <v>¿Presente?</v>
      </c>
      <c r="J45" s="408" t="str">
        <f>IF(OR('Paso 5-Trat.+recicl. desechos'!$B$4=yes,'Paso 5-Trat.+recicl. desechos'!$B$4=no),IF($B45=yes,'5-6 Other int use'!Y37, IF($B45=no,"-", IF($B45=que,que, pres))),_SeF4)</f>
        <v>¿Presente?</v>
      </c>
      <c r="K45" s="408" t="str">
        <f>IF(OR('Paso 5-Trat.+recicl. desechos'!$B$4=yes,'Paso 5-Trat.+recicl. desechos'!$B$4=no),IF($B45=yes,'5-6 Other int use'!Z37, IF($B45=no,"-", IF($B45=que,que, pres))),_SeF4)</f>
        <v>¿Presente?</v>
      </c>
      <c r="L45" s="408" t="str">
        <f>IF(OR('Paso 5-Trat.+recicl. desechos'!$B$4=yes,'Paso 5-Trat.+recicl. desechos'!$B$4=no),IF($B45=yes,'5-6 Other int use'!AA37, IF($B45=no,"-", IF($B45=que,que, pres))),_SeF4)</f>
        <v>¿Presente?</v>
      </c>
      <c r="M45" s="273" t="s">
        <v>230</v>
      </c>
      <c r="N45" s="463"/>
      <c r="O45" s="339" t="str">
        <f>INDEX('Range-thresholds'!$G$6:$G$73,MATCH(A45,'Range-thresholds'!$A$6:$A$73,0))</f>
        <v/>
      </c>
    </row>
    <row r="46" spans="1:15">
      <c r="A46" s="275"/>
      <c r="B46" s="275"/>
      <c r="C46" s="497">
        <f>'Paso 1-Datos del país'!$D$23</f>
        <v>100</v>
      </c>
      <c r="D46" s="345" t="s">
        <v>972</v>
      </c>
      <c r="E46" s="345"/>
      <c r="F46" s="460"/>
      <c r="G46" s="408"/>
      <c r="H46" s="408"/>
      <c r="I46" s="408"/>
      <c r="J46" s="408"/>
      <c r="K46" s="408"/>
      <c r="L46" s="408"/>
      <c r="M46" s="273"/>
      <c r="N46" s="463"/>
    </row>
    <row r="47" spans="1:15" ht="13" thickBot="1">
      <c r="A47" s="275"/>
      <c r="B47" s="499"/>
      <c r="C47" s="497"/>
      <c r="D47" s="345"/>
      <c r="E47" s="345"/>
      <c r="F47" s="460"/>
      <c r="G47" s="408"/>
      <c r="H47" s="408"/>
      <c r="I47" s="408"/>
      <c r="J47" s="408"/>
      <c r="K47" s="408"/>
      <c r="L47" s="408"/>
      <c r="M47" s="273"/>
      <c r="N47" s="463"/>
    </row>
    <row r="48" spans="1:15" ht="25.5" thickBot="1">
      <c r="A48" s="275" t="s">
        <v>991</v>
      </c>
      <c r="B48" s="675"/>
      <c r="C48" s="422">
        <f>'Paso 1-Datos del país'!$B$6</f>
        <v>0</v>
      </c>
      <c r="D48" s="273" t="s">
        <v>971</v>
      </c>
      <c r="E48" s="273"/>
      <c r="F48" s="461" t="str">
        <f>IF(OR($B48=yes,$B48=yes),'5-6 Other int use'!K38, IF(OR($B48=no,$B48=no),"-", IF($B48=que,que, pres)))</f>
        <v>¿Presente?</v>
      </c>
      <c r="G48" s="408" t="str">
        <f>IF(OR('Paso 5-Trat.+recicl. desechos'!$B$4=yes,'Paso 5-Trat.+recicl. desechos'!$B$4=no),IF($B48=yes,'5-6 Other int use'!V38, IF($B48=no,"-", IF($B48=que,que, pres))),_SeF4)</f>
        <v>¿Presente?</v>
      </c>
      <c r="H48" s="408" t="str">
        <f>IF(OR('Paso 5-Trat.+recicl. desechos'!$B$4=yes,'Paso 5-Trat.+recicl. desechos'!$B$4=no),IF($B48=yes,'5-6 Other int use'!W38, IF($B48=no,"-", IF($B48=que,que, pres))),_SeF4)</f>
        <v>¿Presente?</v>
      </c>
      <c r="I48" s="408" t="str">
        <f>IF(OR('Paso 5-Trat.+recicl. desechos'!$B$4=yes,'Paso 5-Trat.+recicl. desechos'!$B$4=no),IF($B48=yes,'5-6 Other int use'!X38, IF($B48=no,"-", IF($B48=que,que, pres))),_SeF4)</f>
        <v>¿Presente?</v>
      </c>
      <c r="J48" s="408" t="str">
        <f>IF(OR('Paso 5-Trat.+recicl. desechos'!$B$4=yes,'Paso 5-Trat.+recicl. desechos'!$B$4=no),IF($B48=yes,'5-6 Other int use'!Y38, IF($B48=no,"-", IF($B48=que,que, pres))),_SeF4)</f>
        <v>¿Presente?</v>
      </c>
      <c r="K48" s="408" t="str">
        <f>IF(OR('Paso 5-Trat.+recicl. desechos'!$B$4=yes,'Paso 5-Trat.+recicl. desechos'!$B$4=no),IF($B48=yes,'5-6 Other int use'!Z38, IF($B48=no,"-", IF($B48=que,que, pres))),_SeF4)</f>
        <v>¿Presente?</v>
      </c>
      <c r="L48" s="408" t="str">
        <f>IF(OR('Paso 5-Trat.+recicl. desechos'!$B$4=yes,'Paso 5-Trat.+recicl. desechos'!$B$4=no),IF($B48=yes,'5-6 Other int use'!AA38, IF($B48=no,"-", IF($B48=que,que, pres))),_SeF4)</f>
        <v>¿Presente?</v>
      </c>
      <c r="M48" s="368" t="s">
        <v>371</v>
      </c>
      <c r="N48" s="463"/>
      <c r="O48" s="339" t="str">
        <f>INDEX('Range-thresholds'!$G$6:$G$73,MATCH(A48,'Range-thresholds'!$A$6:$A$73,0))</f>
        <v/>
      </c>
    </row>
    <row r="49" spans="1:14">
      <c r="A49" s="275"/>
      <c r="B49" s="275"/>
      <c r="C49" s="497">
        <f>'Paso 1-Datos del país'!$D$23</f>
        <v>100</v>
      </c>
      <c r="D49" s="345" t="s">
        <v>972</v>
      </c>
      <c r="E49" s="345"/>
      <c r="F49" s="460"/>
      <c r="G49" s="408"/>
      <c r="H49" s="408"/>
      <c r="I49" s="408"/>
      <c r="J49" s="408"/>
      <c r="K49" s="408"/>
      <c r="L49" s="408"/>
      <c r="M49" s="273"/>
      <c r="N49" s="463"/>
    </row>
    <row r="51" spans="1:14">
      <c r="A51" s="602"/>
    </row>
    <row r="52" spans="1:14">
      <c r="A52" s="796"/>
    </row>
    <row r="53" spans="1:14">
      <c r="A53" s="600"/>
    </row>
  </sheetData>
  <sheetProtection algorithmName="SHA-512" hashValue="vkX/NX4hluOBObjoa9cD8OGuMmsgCCahxqe9SNGwQU7pWd70xmD4GmQwRdRy9MZI7YZZA/8FMCX3g9zcP0QZmQ==" saltValue="LAb5E/n6t+7iGGnCfV/UfQ==" spinCount="100000" sheet="1" objects="1" scenarios="1"/>
  <mergeCells count="5">
    <mergeCell ref="G3:L3"/>
    <mergeCell ref="A2:M2"/>
    <mergeCell ref="F5:F6"/>
    <mergeCell ref="G5:M5"/>
    <mergeCell ref="G6:M6"/>
  </mergeCells>
  <conditionalFormatting sqref="F7 F15 F20 F23 F28 F33 F36 F38 F40 F42 F45 F48">
    <cfRule type="expression" dxfId="15" priority="13" stopIfTrue="1">
      <formula>AND(B7="y",O7="n")</formula>
    </cfRule>
  </conditionalFormatting>
  <conditionalFormatting sqref="A2">
    <cfRule type="expression" dxfId="14" priority="12" stopIfTrue="1">
      <formula>$A$2&lt;&gt;""</formula>
    </cfRule>
  </conditionalFormatting>
  <conditionalFormatting sqref="E13:G13 E12:H12">
    <cfRule type="expression" dxfId="13" priority="5">
      <formula>OR($E$7="y", $E$7="s", $E$7="o", $E$7="da")</formula>
    </cfRule>
  </conditionalFormatting>
  <conditionalFormatting sqref="H13">
    <cfRule type="expression" dxfId="12" priority="4">
      <formula>OR($E$7="y", $E$7="s", $E$7="o", $E$7="da")</formula>
    </cfRule>
  </conditionalFormatting>
  <conditionalFormatting sqref="G13">
    <cfRule type="expression" dxfId="11" priority="3">
      <formula>$G$9&lt;0</formula>
    </cfRule>
  </conditionalFormatting>
  <conditionalFormatting sqref="D13">
    <cfRule type="expression" dxfId="10" priority="2">
      <formula>$G$13&lt;0</formula>
    </cfRule>
  </conditionalFormatting>
  <dataValidations count="8">
    <dataValidation type="list" allowBlank="1" showDropDown="1" showInputMessage="1" showErrorMessage="1" errorTitle="Input error" error="Enter only y, n or ? (or translation of these)" sqref="B19 B32 B34:B35 B37 B39 B41 B43:B44 B46:B47" xr:uid="{00000000-0002-0000-0C00-000001000000}">
      <formula1>yn?</formula1>
    </dataValidation>
    <dataValidation type="list" allowBlank="1" showInputMessage="1" showErrorMessage="1" errorTitle="Input error" error="Enter only y, n or ? (or translation of these)" sqref="B15 B28 B23" xr:uid="{00000000-0002-0000-0C00-000002000000}">
      <formula1>yn?</formula1>
    </dataValidation>
    <dataValidation type="list" allowBlank="1" showInputMessage="1" showErrorMessage="1" sqref="E7" xr:uid="{00000000-0002-0000-0C00-000003000000}">
      <formula1>yn</formula1>
    </dataValidation>
    <dataValidation allowBlank="1" showInputMessage="1" showErrorMessage="1" prompt="La celda es azul y se lee &quot;sin empleo de controles default&quot;, si usted ha cambiado la selección de controles default originales. Para restaurarlo (no incluir controles), ingrese la selección de controles default mostrados en el tab &quot;controles default&quot; para" sqref="M13" xr:uid="{00000000-0002-0000-0C00-000004000000}"/>
    <dataValidation allowBlank="1" showInputMessage="1" showErrorMessage="1" prompt="Introduzca el porcentaje de tasas de actividad total que es empleado en instalaciones con los mecanismos de control mencionados arriba" sqref="H13" xr:uid="{00000000-0002-0000-0C00-000005000000}"/>
    <dataValidation allowBlank="1" showErrorMessage="1" promptTitle="Controls" prompt="Clinics with only chair strainers (automatically calculated)" sqref="G13" xr:uid="{00000000-0002-0000-0C00-000006000000}"/>
    <dataValidation type="decimal" allowBlank="1" showInputMessage="1" showErrorMessage="1" errorTitle="Input error" error="Use digits and decimal mark only." prompt="Use sólo dígitos y decimales" sqref="E18 C16:C18 C24:C26 C29:C31 C36 C38 C40" xr:uid="{6CD7B75D-5DE6-EA44-8BB9-281E01A74823}">
      <formula1>-9.99999999999999E+22</formula1>
      <formula2>9.99999999999999E+22</formula2>
    </dataValidation>
    <dataValidation type="list" allowBlank="1" showInputMessage="1" showErrorMessage="1" errorTitle="Input error" error="Enter only y, n or ? (or translation of these)" prompt="Ingrese sólo s, n ó ?" sqref="B7 B16:B18 B20 B24:B26 B29:B31 B33 B36 B38 B40 B42 B45 B48" xr:uid="{0872A668-17A5-6F43-8D0B-F97A0409F483}">
      <formula1>yn?</formula1>
    </dataValidation>
  </dataValidations>
  <pageMargins left="0.39370078740157483" right="0.39370078740157483" top="0.74803149606299213" bottom="0.74803149606299213" header="0.31496062992125984" footer="0.31496062992125984"/>
  <pageSetup paperSize="9" scale="53" orientation="landscape" r:id="rId1"/>
  <headerFooter>
    <oddFooter>&amp;L&amp;A
Printed &amp;D</oddFooter>
  </headerFooter>
  <extLst>
    <ext xmlns:x14="http://schemas.microsoft.com/office/spreadsheetml/2009/9/main" uri="{78C0D931-6437-407d-A8EE-F0AAD7539E65}">
      <x14:conditionalFormattings>
        <x14:conditionalFormatting xmlns:xm="http://schemas.microsoft.com/office/excel/2006/main">
          <x14:cfRule type="expression" priority="7" id="{93A2D4A2-7FB4-4F36-8536-C9BBE7D0CD0D}">
            <xm:f>'Inserte resultados de NI2'!$K$51&lt;&gt;""</xm:f>
            <x14:dxf>
              <font>
                <color rgb="FFFF0000"/>
              </font>
            </x14:dxf>
          </x14:cfRule>
          <xm:sqref>A52</xm:sqref>
        </x14:conditionalFormatting>
        <x14:conditionalFormatting xmlns:xm="http://schemas.microsoft.com/office/excel/2006/main">
          <x14:cfRule type="expression" priority="1" id="{6D437C2E-AF25-4CE9-B5CF-BB145D0507B3}">
            <xm:f>OR($G$13&lt;&gt;'Controles defaults'!$C$56)</xm:f>
            <x14:dxf>
              <font>
                <color theme="1"/>
              </font>
              <fill>
                <patternFill>
                  <bgColor theme="8" tint="0.39994506668294322"/>
                </patternFill>
              </fill>
            </x14:dxf>
          </x14:cfRule>
          <xm:sqref>M13</xm:sqref>
        </x14:conditionalFormatting>
      </x14:conditionalFormattings>
    </ext>
  </extLs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dimension ref="A1:K237"/>
  <sheetViews>
    <sheetView zoomScaleNormal="100" workbookViewId="0">
      <selection activeCell="A9" sqref="A9:F206"/>
    </sheetView>
  </sheetViews>
  <sheetFormatPr defaultColWidth="8.81640625" defaultRowHeight="12.5"/>
  <cols>
    <col min="1" max="1" width="26" customWidth="1"/>
    <col min="2" max="2" width="14" customWidth="1"/>
    <col min="3" max="3" width="9.1796875" style="8"/>
    <col min="4" max="5" width="11.1796875" customWidth="1"/>
    <col min="6" max="6" width="10.1796875" customWidth="1"/>
    <col min="7" max="7" width="9.1796875" style="3"/>
    <col min="8" max="8" width="14.453125" customWidth="1"/>
    <col min="9" max="9" width="22.1796875" style="502" customWidth="1"/>
    <col min="10" max="10" width="18.453125" customWidth="1"/>
  </cols>
  <sheetData>
    <row r="1" spans="1:11" ht="13">
      <c r="A1" s="307" t="s">
        <v>678</v>
      </c>
      <c r="B1" s="8"/>
    </row>
    <row r="2" spans="1:11" ht="13">
      <c r="A2" s="5" t="s">
        <v>445</v>
      </c>
      <c r="B2" s="8"/>
    </row>
    <row r="3" spans="1:11" ht="13">
      <c r="A3" s="5" t="s">
        <v>446</v>
      </c>
      <c r="B3" s="8"/>
    </row>
    <row r="4" spans="1:11" ht="13">
      <c r="A4" s="5" t="s">
        <v>447</v>
      </c>
      <c r="B4" s="8"/>
    </row>
    <row r="6" spans="1:11">
      <c r="D6" s="3"/>
      <c r="E6" s="3"/>
      <c r="F6" s="3"/>
    </row>
    <row r="7" spans="1:11" ht="88">
      <c r="A7" s="123" t="s">
        <v>448</v>
      </c>
      <c r="B7" s="124" t="s">
        <v>1162</v>
      </c>
      <c r="C7" s="124" t="s">
        <v>576</v>
      </c>
      <c r="D7" s="124" t="s">
        <v>660</v>
      </c>
      <c r="E7" s="124" t="s">
        <v>661</v>
      </c>
      <c r="F7" s="124" t="s">
        <v>662</v>
      </c>
      <c r="G7" s="66" t="s">
        <v>663</v>
      </c>
      <c r="K7" s="509"/>
    </row>
    <row r="8" spans="1:11" s="517" customFormat="1" ht="13">
      <c r="A8" s="766" t="s">
        <v>1166</v>
      </c>
      <c r="B8" s="767">
        <v>0</v>
      </c>
      <c r="C8" s="768">
        <v>100</v>
      </c>
      <c r="D8" s="769">
        <v>0.82919079065322876</v>
      </c>
      <c r="E8" s="769"/>
      <c r="F8" s="770"/>
      <c r="G8" s="3"/>
      <c r="H8" s="518"/>
    </row>
    <row r="9" spans="1:11" s="517" customFormat="1" ht="13">
      <c r="A9" s="766" t="s">
        <v>449</v>
      </c>
      <c r="B9" s="771">
        <v>33736494</v>
      </c>
      <c r="C9" s="768">
        <v>15.5</v>
      </c>
      <c r="D9" s="769">
        <f t="shared" ref="D9:D16" si="0">IF(E9&lt;$B$211,$B$211,E9)</f>
        <v>2.8528733178973198E-2</v>
      </c>
      <c r="E9" s="769">
        <v>2.8528733178973198E-2</v>
      </c>
      <c r="F9" s="770">
        <v>2001</v>
      </c>
      <c r="G9" s="3" t="s">
        <v>574</v>
      </c>
      <c r="H9" s="518"/>
    </row>
    <row r="10" spans="1:11">
      <c r="A10" s="772" t="s">
        <v>577</v>
      </c>
      <c r="B10" s="771">
        <v>2923352</v>
      </c>
      <c r="C10" s="768">
        <v>100</v>
      </c>
      <c r="D10" s="769">
        <f t="shared" si="0"/>
        <v>0.44522741436958313</v>
      </c>
      <c r="E10" s="769">
        <v>0.44522741436958313</v>
      </c>
      <c r="F10" s="770">
        <v>1998</v>
      </c>
      <c r="K10" s="48"/>
    </row>
    <row r="11" spans="1:11" ht="14.5">
      <c r="A11" s="766" t="s">
        <v>450</v>
      </c>
      <c r="B11" s="503">
        <v>39871528</v>
      </c>
      <c r="C11" s="768">
        <v>99.3</v>
      </c>
      <c r="D11" s="769">
        <f t="shared" si="0"/>
        <v>0.3055395781993866</v>
      </c>
      <c r="E11" s="769">
        <v>0.3055395781993866</v>
      </c>
      <c r="F11" s="770">
        <v>2002</v>
      </c>
      <c r="G11" s="3" t="s">
        <v>574</v>
      </c>
      <c r="K11" s="48"/>
    </row>
    <row r="12" spans="1:11" ht="14.5">
      <c r="A12" s="766" t="s">
        <v>578</v>
      </c>
      <c r="B12" s="503">
        <v>78014</v>
      </c>
      <c r="C12" s="768">
        <v>99.8</v>
      </c>
      <c r="D12" s="769">
        <f t="shared" si="0"/>
        <v>0.66666668653488159</v>
      </c>
      <c r="E12" s="769">
        <v>0.66666668653488159</v>
      </c>
      <c r="F12" s="770">
        <v>2003</v>
      </c>
      <c r="K12" s="48"/>
    </row>
    <row r="13" spans="1:11" ht="14.5">
      <c r="A13" s="772" t="s">
        <v>451</v>
      </c>
      <c r="B13" s="503">
        <v>27859305</v>
      </c>
      <c r="C13" s="768">
        <v>26.2</v>
      </c>
      <c r="D13" s="769">
        <f t="shared" si="0"/>
        <v>1.6919938474893571E-2</v>
      </c>
      <c r="E13" s="769">
        <v>1.7471826868131757E-4</v>
      </c>
      <c r="F13" s="770">
        <v>1997</v>
      </c>
      <c r="G13" s="3" t="s">
        <v>574</v>
      </c>
      <c r="K13" s="519"/>
    </row>
    <row r="14" spans="1:11" ht="14.5">
      <c r="A14" s="766" t="s">
        <v>579</v>
      </c>
      <c r="B14" s="503">
        <v>99923</v>
      </c>
      <c r="C14" s="768">
        <v>99.8</v>
      </c>
      <c r="D14" s="769">
        <f t="shared" si="0"/>
        <v>0.18840579688549042</v>
      </c>
      <c r="E14" s="769">
        <v>0.18840579688549042</v>
      </c>
      <c r="F14" s="770">
        <v>1997</v>
      </c>
      <c r="I14" s="504"/>
    </row>
    <row r="15" spans="1:11" ht="14.5">
      <c r="A15" s="766" t="s">
        <v>452</v>
      </c>
      <c r="B15" s="503">
        <v>43417765</v>
      </c>
      <c r="C15" s="768">
        <v>97.2</v>
      </c>
      <c r="D15" s="769">
        <f t="shared" si="0"/>
        <v>0.79938042163848877</v>
      </c>
      <c r="E15" s="769">
        <v>0.79938042163848877</v>
      </c>
      <c r="F15" s="770">
        <v>1998</v>
      </c>
      <c r="G15" s="36" t="s">
        <v>574</v>
      </c>
      <c r="I15" s="504"/>
    </row>
    <row r="16" spans="1:11" ht="14.5">
      <c r="A16" s="766" t="s">
        <v>453</v>
      </c>
      <c r="B16" s="503">
        <v>2916950</v>
      </c>
      <c r="C16" s="768">
        <v>99.8</v>
      </c>
      <c r="D16" s="769">
        <f t="shared" si="0"/>
        <v>0.26200586557388306</v>
      </c>
      <c r="E16" s="769">
        <v>0.26200586557388306</v>
      </c>
      <c r="F16" s="770">
        <v>2003</v>
      </c>
      <c r="I16" s="504"/>
    </row>
    <row r="17" spans="1:9" ht="14.5">
      <c r="A17" s="766" t="s">
        <v>580</v>
      </c>
      <c r="B17" s="503">
        <v>23799556</v>
      </c>
      <c r="C17" s="768">
        <v>99.8</v>
      </c>
      <c r="D17" s="769">
        <f>IF(E17&lt;$B$209,$B$209,E17)</f>
        <v>1.1004546880722046</v>
      </c>
      <c r="E17" s="769">
        <v>1.1004546880722046</v>
      </c>
      <c r="F17" s="770">
        <v>2001</v>
      </c>
      <c r="G17" s="36" t="s">
        <v>564</v>
      </c>
      <c r="I17" s="504"/>
    </row>
    <row r="18" spans="1:9" ht="14.5">
      <c r="A18" s="766" t="s">
        <v>454</v>
      </c>
      <c r="B18" s="503">
        <v>8678657</v>
      </c>
      <c r="C18" s="768">
        <v>100</v>
      </c>
      <c r="D18" s="769">
        <v>0.49741253256797791</v>
      </c>
      <c r="E18" s="769">
        <v>0.49741253256797791</v>
      </c>
      <c r="F18" s="770">
        <v>2003</v>
      </c>
      <c r="G18" s="36" t="s">
        <v>564</v>
      </c>
      <c r="I18" s="504"/>
    </row>
    <row r="19" spans="1:9" ht="14.5">
      <c r="A19" s="766" t="s">
        <v>581</v>
      </c>
      <c r="B19" s="503">
        <v>9617484</v>
      </c>
      <c r="C19" s="768">
        <v>100</v>
      </c>
      <c r="D19" s="769">
        <f t="shared" ref="D19:D24" si="1">IF(E19&lt;$B$211,$B$211,E19)</f>
        <v>0.271445631980896</v>
      </c>
      <c r="E19" s="769">
        <v>0.271445631980896</v>
      </c>
      <c r="F19" s="770">
        <v>2003</v>
      </c>
      <c r="I19" s="504"/>
    </row>
    <row r="20" spans="1:9" ht="14.5">
      <c r="A20" s="766" t="s">
        <v>582</v>
      </c>
      <c r="B20" s="503">
        <v>386838</v>
      </c>
      <c r="C20" s="768">
        <v>100</v>
      </c>
      <c r="D20" s="769">
        <f t="shared" si="1"/>
        <v>7.0945948362350464E-2</v>
      </c>
      <c r="E20" s="769">
        <v>7.0945948362350464E-2</v>
      </c>
      <c r="F20" s="770">
        <v>1998</v>
      </c>
      <c r="I20" s="504"/>
    </row>
    <row r="21" spans="1:9" ht="14.5">
      <c r="A21" s="766" t="s">
        <v>455</v>
      </c>
      <c r="B21" s="503">
        <v>1371855</v>
      </c>
      <c r="C21" s="768">
        <v>99.4</v>
      </c>
      <c r="D21" s="769">
        <f t="shared" si="1"/>
        <v>0.46278753876686096</v>
      </c>
      <c r="E21" s="769">
        <v>0.46278753876686096</v>
      </c>
      <c r="F21" s="770">
        <v>2004</v>
      </c>
      <c r="G21" s="36" t="s">
        <v>574</v>
      </c>
      <c r="I21" s="504"/>
    </row>
    <row r="22" spans="1:9" ht="14.5">
      <c r="A22" s="766" t="s">
        <v>456</v>
      </c>
      <c r="B22" s="503">
        <v>161200886</v>
      </c>
      <c r="C22" s="768">
        <v>41</v>
      </c>
      <c r="D22" s="769">
        <f t="shared" si="1"/>
        <v>1.69513039290905E-2</v>
      </c>
      <c r="E22" s="769">
        <v>1.69513039290905E-2</v>
      </c>
      <c r="F22" s="770">
        <v>2004</v>
      </c>
      <c r="G22" s="36" t="s">
        <v>574</v>
      </c>
      <c r="I22" s="504"/>
    </row>
    <row r="23" spans="1:9" ht="14.5">
      <c r="A23" s="766" t="s">
        <v>583</v>
      </c>
      <c r="B23" s="503">
        <v>284217</v>
      </c>
      <c r="C23" s="768">
        <v>100</v>
      </c>
      <c r="D23" s="769">
        <f t="shared" si="1"/>
        <v>0.23595505952835083</v>
      </c>
      <c r="E23" s="769">
        <v>0.23595505952835083</v>
      </c>
      <c r="F23" s="770">
        <v>1999</v>
      </c>
      <c r="I23" s="504"/>
    </row>
    <row r="24" spans="1:9" ht="14.5">
      <c r="A24" s="766" t="s">
        <v>584</v>
      </c>
      <c r="B24" s="503">
        <v>9485772</v>
      </c>
      <c r="C24" s="768">
        <v>78.3</v>
      </c>
      <c r="D24" s="769">
        <f t="shared" si="1"/>
        <v>0.43607881665229797</v>
      </c>
      <c r="E24" s="769">
        <v>0.43607881665229797</v>
      </c>
      <c r="F24" s="770">
        <v>2003</v>
      </c>
      <c r="I24" s="504"/>
    </row>
    <row r="25" spans="1:9" ht="14.5">
      <c r="A25" s="766" t="s">
        <v>457</v>
      </c>
      <c r="B25" s="503">
        <v>11287940</v>
      </c>
      <c r="C25" s="768">
        <v>100</v>
      </c>
      <c r="D25" s="769">
        <v>0.80827504396438599</v>
      </c>
      <c r="E25" s="769">
        <v>0.80827504396438599</v>
      </c>
      <c r="F25" s="770">
        <v>2002</v>
      </c>
      <c r="G25" s="36" t="s">
        <v>564</v>
      </c>
      <c r="I25" s="504"/>
    </row>
    <row r="26" spans="1:9" ht="14.5">
      <c r="A26" s="766" t="s">
        <v>585</v>
      </c>
      <c r="B26" s="503">
        <v>359288</v>
      </c>
      <c r="C26" s="768">
        <v>85</v>
      </c>
      <c r="D26" s="769">
        <f t="shared" ref="D26:D38" si="2">IF(E26&lt;$B$211,$B$211,E26)</f>
        <v>0.13333334028720856</v>
      </c>
      <c r="E26" s="769">
        <v>0.13333334028720856</v>
      </c>
      <c r="F26" s="770">
        <v>2000</v>
      </c>
      <c r="I26" s="504"/>
    </row>
    <row r="27" spans="1:9" ht="14.5">
      <c r="A27" s="766" t="s">
        <v>458</v>
      </c>
      <c r="B27" s="503">
        <v>10575952</v>
      </c>
      <c r="C27" s="768">
        <v>24.8</v>
      </c>
      <c r="D27" s="769">
        <f t="shared" si="2"/>
        <v>1.6919938474893571E-2</v>
      </c>
      <c r="E27" s="769">
        <v>1.7346054082736373E-3</v>
      </c>
      <c r="F27" s="770">
        <v>2004</v>
      </c>
      <c r="G27" s="3" t="s">
        <v>574</v>
      </c>
      <c r="I27" s="504"/>
    </row>
    <row r="28" spans="1:9" ht="14.5">
      <c r="A28" s="766" t="s">
        <v>586</v>
      </c>
      <c r="B28" s="503">
        <v>787386</v>
      </c>
      <c r="C28" s="768">
        <v>72</v>
      </c>
      <c r="D28" s="769">
        <f t="shared" si="2"/>
        <v>2.4946236982941628E-2</v>
      </c>
      <c r="E28" s="769">
        <v>2.4946236982941628E-2</v>
      </c>
      <c r="F28" s="770">
        <v>2004</v>
      </c>
      <c r="I28" s="504"/>
    </row>
    <row r="29" spans="1:9" ht="14.5">
      <c r="A29" s="766" t="s">
        <v>459</v>
      </c>
      <c r="B29" s="503">
        <v>10724705</v>
      </c>
      <c r="C29" s="768">
        <v>77.5</v>
      </c>
      <c r="D29" s="769">
        <f t="shared" si="2"/>
        <v>0.70710998773574829</v>
      </c>
      <c r="E29" s="769">
        <v>0.70710998773574829</v>
      </c>
      <c r="F29" s="770">
        <v>2001</v>
      </c>
      <c r="G29" s="3" t="s">
        <v>574</v>
      </c>
      <c r="I29" s="504"/>
    </row>
    <row r="30" spans="1:9" ht="14.5">
      <c r="A30" s="766" t="s">
        <v>587</v>
      </c>
      <c r="B30" s="503">
        <v>3535961</v>
      </c>
      <c r="C30" s="768">
        <v>98.5</v>
      </c>
      <c r="D30" s="769">
        <f t="shared" si="2"/>
        <v>0.16582551598548889</v>
      </c>
      <c r="E30" s="769">
        <v>0.16582551598548889</v>
      </c>
      <c r="F30" s="770">
        <v>2003</v>
      </c>
      <c r="I30" s="504"/>
    </row>
    <row r="31" spans="1:9" ht="14.5">
      <c r="A31" s="766" t="s">
        <v>460</v>
      </c>
      <c r="B31" s="503">
        <v>2209197</v>
      </c>
      <c r="C31" s="768">
        <v>45.4</v>
      </c>
      <c r="D31" s="769">
        <f t="shared" si="2"/>
        <v>2.1169915795326233E-2</v>
      </c>
      <c r="E31" s="769">
        <v>2.1169915795326233E-2</v>
      </c>
      <c r="F31" s="770">
        <v>2004</v>
      </c>
      <c r="G31" s="3" t="s">
        <v>574</v>
      </c>
      <c r="I31" s="504"/>
    </row>
    <row r="32" spans="1:9" ht="14.5">
      <c r="A32" s="766" t="s">
        <v>461</v>
      </c>
      <c r="B32" s="503">
        <v>205962108</v>
      </c>
      <c r="C32" s="768">
        <v>98.3</v>
      </c>
      <c r="D32" s="769">
        <f t="shared" si="2"/>
        <v>1.1085705757141113</v>
      </c>
      <c r="E32" s="769">
        <v>1.1085705757141113</v>
      </c>
      <c r="F32" s="770">
        <v>2000</v>
      </c>
      <c r="G32" s="3" t="s">
        <v>574</v>
      </c>
      <c r="I32" s="504"/>
    </row>
    <row r="33" spans="1:9" ht="14.5">
      <c r="A33" s="772" t="s">
        <v>462</v>
      </c>
      <c r="B33" s="503">
        <v>417542</v>
      </c>
      <c r="C33" s="768">
        <v>99.7</v>
      </c>
      <c r="D33" s="769">
        <f t="shared" si="2"/>
        <v>0.14371258020401001</v>
      </c>
      <c r="E33" s="769">
        <v>0.14371258020401001</v>
      </c>
      <c r="F33" s="770">
        <v>2000</v>
      </c>
      <c r="G33" s="3" t="s">
        <v>574</v>
      </c>
      <c r="I33" s="504"/>
    </row>
    <row r="34" spans="1:9" ht="14.5">
      <c r="A34" s="766" t="s">
        <v>588</v>
      </c>
      <c r="B34" s="503">
        <v>7177396</v>
      </c>
      <c r="C34" s="768">
        <v>99</v>
      </c>
      <c r="D34" s="769">
        <f t="shared" si="2"/>
        <v>0.81993162631988525</v>
      </c>
      <c r="E34" s="769">
        <v>0.81993162631988525</v>
      </c>
      <c r="F34" s="770">
        <v>2003</v>
      </c>
      <c r="G34" s="36"/>
      <c r="I34" s="504"/>
    </row>
    <row r="35" spans="1:9" ht="14.5">
      <c r="A35" s="766" t="s">
        <v>463</v>
      </c>
      <c r="B35" s="503">
        <v>18110624</v>
      </c>
      <c r="C35" s="768">
        <v>14.6</v>
      </c>
      <c r="D35" s="769">
        <f t="shared" si="2"/>
        <v>1.6919938474893571E-2</v>
      </c>
      <c r="E35" s="769">
        <v>4.3306206353008747E-3</v>
      </c>
      <c r="F35" s="770">
        <v>2004</v>
      </c>
      <c r="G35" s="36" t="s">
        <v>574</v>
      </c>
      <c r="I35" s="504"/>
    </row>
    <row r="36" spans="1:9" ht="14.5">
      <c r="A36" s="766" t="s">
        <v>589</v>
      </c>
      <c r="B36" s="503">
        <v>10199270</v>
      </c>
      <c r="C36" s="768">
        <v>3.9</v>
      </c>
      <c r="D36" s="769">
        <f t="shared" si="2"/>
        <v>1.6919938474893571E-2</v>
      </c>
      <c r="E36" s="769">
        <v>1.9807582721114159E-3</v>
      </c>
      <c r="F36" s="770">
        <v>2004</v>
      </c>
      <c r="I36" s="504"/>
    </row>
    <row r="37" spans="1:9" ht="14.5">
      <c r="A37" s="766" t="s">
        <v>464</v>
      </c>
      <c r="B37" s="503">
        <v>15517635</v>
      </c>
      <c r="C37" s="768">
        <v>24</v>
      </c>
      <c r="D37" s="769">
        <f t="shared" si="2"/>
        <v>1.6919938474893571E-2</v>
      </c>
      <c r="E37" s="769">
        <v>1.5897162258625031E-2</v>
      </c>
      <c r="F37" s="770">
        <v>2000</v>
      </c>
      <c r="G37" s="3" t="s">
        <v>574</v>
      </c>
      <c r="I37" s="504"/>
    </row>
    <row r="38" spans="1:9" ht="14.5">
      <c r="A38" s="766" t="s">
        <v>465</v>
      </c>
      <c r="B38" s="503">
        <v>22834522</v>
      </c>
      <c r="C38" s="768">
        <v>48.7</v>
      </c>
      <c r="D38" s="769">
        <f t="shared" si="2"/>
        <v>1.6919938474893571E-2</v>
      </c>
      <c r="E38" s="769">
        <v>9.020618163049221E-3</v>
      </c>
      <c r="F38" s="770">
        <v>2004</v>
      </c>
      <c r="G38" s="3" t="s">
        <v>574</v>
      </c>
      <c r="I38" s="504"/>
    </row>
    <row r="39" spans="1:9" ht="14.5">
      <c r="A39" s="766" t="s">
        <v>590</v>
      </c>
      <c r="B39" s="503">
        <v>35949709</v>
      </c>
      <c r="C39" s="768">
        <v>97.3</v>
      </c>
      <c r="D39" s="769">
        <v>0.58680844306945801</v>
      </c>
      <c r="E39" s="769">
        <v>0.58680844306945801</v>
      </c>
      <c r="F39" s="770">
        <v>2003</v>
      </c>
      <c r="G39" s="36" t="s">
        <v>564</v>
      </c>
      <c r="I39" s="504"/>
    </row>
    <row r="40" spans="1:9" ht="14.5">
      <c r="A40" s="766" t="s">
        <v>591</v>
      </c>
      <c r="B40" s="503">
        <v>532913</v>
      </c>
      <c r="C40" s="768">
        <v>67</v>
      </c>
      <c r="D40" s="769">
        <f>IF(E40&lt;$B$211,$B$211,E40)</f>
        <v>2.3255813866853714E-2</v>
      </c>
      <c r="E40" s="769">
        <v>2.3255813866853714E-2</v>
      </c>
      <c r="F40" s="770">
        <v>2004</v>
      </c>
      <c r="I40" s="504"/>
    </row>
    <row r="41" spans="1:9" ht="14.5">
      <c r="A41" s="772" t="s">
        <v>592</v>
      </c>
      <c r="B41" s="503">
        <v>4546100</v>
      </c>
      <c r="C41" s="768">
        <v>6</v>
      </c>
      <c r="D41" s="769">
        <f>IF(E41&lt;$B$211,$B$211,E41)</f>
        <v>1.6919938474893571E-2</v>
      </c>
      <c r="E41" s="769">
        <v>3.3231084235012531E-3</v>
      </c>
      <c r="F41" s="770">
        <v>2004</v>
      </c>
      <c r="I41" s="504"/>
    </row>
    <row r="42" spans="1:9" ht="14.5">
      <c r="A42" s="772" t="s">
        <v>593</v>
      </c>
      <c r="B42" s="503">
        <v>14009413</v>
      </c>
      <c r="C42" s="768">
        <v>3.5</v>
      </c>
      <c r="D42" s="769">
        <f>IF(E42&lt;$B$211,$B$211,E42)</f>
        <v>1.6919938474893571E-2</v>
      </c>
      <c r="E42" s="769">
        <v>1.6941495705395937E-3</v>
      </c>
      <c r="F42" s="770">
        <v>2004</v>
      </c>
      <c r="I42" s="504"/>
    </row>
    <row r="43" spans="1:9" ht="14.5">
      <c r="A43" s="766" t="s">
        <v>466</v>
      </c>
      <c r="B43" s="503">
        <v>17762681</v>
      </c>
      <c r="C43" s="768">
        <v>98.5</v>
      </c>
      <c r="D43" s="769">
        <v>0.42705300450325012</v>
      </c>
      <c r="E43" s="769">
        <v>0.42705300450325012</v>
      </c>
      <c r="F43" s="770">
        <v>2003</v>
      </c>
      <c r="G43" s="36" t="s">
        <v>575</v>
      </c>
      <c r="I43" s="504"/>
    </row>
    <row r="44" spans="1:9" ht="14.5">
      <c r="A44" s="766" t="s">
        <v>467</v>
      </c>
      <c r="B44" s="503">
        <v>1397028553</v>
      </c>
      <c r="C44" s="768">
        <v>99.4</v>
      </c>
      <c r="D44" s="769">
        <f t="shared" ref="D44:D53" si="3">IF(E44&lt;$B$211,$B$211,E44)</f>
        <v>0.10561773180961609</v>
      </c>
      <c r="E44" s="769">
        <v>0.10561773180961609</v>
      </c>
      <c r="F44" s="770">
        <v>2001</v>
      </c>
      <c r="G44" s="3" t="s">
        <v>574</v>
      </c>
    </row>
    <row r="45" spans="1:9" ht="14.5">
      <c r="A45" s="766" t="s">
        <v>665</v>
      </c>
      <c r="B45" s="503">
        <v>23485755</v>
      </c>
      <c r="C45" s="768">
        <v>99</v>
      </c>
      <c r="D45" s="769">
        <f t="shared" si="3"/>
        <v>0.40781129896640778</v>
      </c>
      <c r="E45" s="769">
        <f>($E$44+$E$95)/2</f>
        <v>0.40781129896640778</v>
      </c>
      <c r="F45" s="773"/>
    </row>
    <row r="46" spans="1:9" ht="14.5">
      <c r="A46" s="766" t="s">
        <v>468</v>
      </c>
      <c r="B46" s="503">
        <v>48228697</v>
      </c>
      <c r="C46" s="768">
        <v>93.6</v>
      </c>
      <c r="D46" s="769">
        <f t="shared" si="3"/>
        <v>0.78001654148101807</v>
      </c>
      <c r="E46" s="769">
        <v>0.78001654148101807</v>
      </c>
      <c r="F46" s="770">
        <v>2002</v>
      </c>
      <c r="G46" s="36" t="s">
        <v>574</v>
      </c>
    </row>
    <row r="47" spans="1:9" ht="14.5">
      <c r="A47" s="766" t="s">
        <v>594</v>
      </c>
      <c r="B47" s="503">
        <v>777424</v>
      </c>
      <c r="C47" s="768">
        <v>44.8</v>
      </c>
      <c r="D47" s="769">
        <f t="shared" si="3"/>
        <v>3.6708861589431763E-2</v>
      </c>
      <c r="E47" s="769">
        <v>3.6708861589431763E-2</v>
      </c>
      <c r="F47" s="770">
        <v>2004</v>
      </c>
    </row>
    <row r="48" spans="1:9" ht="14.5">
      <c r="A48" s="766" t="s">
        <v>596</v>
      </c>
      <c r="B48" s="503">
        <v>17449</v>
      </c>
      <c r="C48" s="768">
        <v>99</v>
      </c>
      <c r="D48" s="769">
        <f t="shared" si="3"/>
        <v>0.55555558204650879</v>
      </c>
      <c r="E48" s="769">
        <v>0.55555558204650879</v>
      </c>
      <c r="F48" s="770">
        <v>2001</v>
      </c>
    </row>
    <row r="49" spans="1:11" ht="14.5">
      <c r="A49" s="766" t="s">
        <v>469</v>
      </c>
      <c r="B49" s="503">
        <v>4807852</v>
      </c>
      <c r="C49" s="768">
        <v>99.3</v>
      </c>
      <c r="D49" s="769">
        <f t="shared" si="3"/>
        <v>0.48485618829727173</v>
      </c>
      <c r="E49" s="769">
        <v>0.48485618829727173</v>
      </c>
      <c r="F49" s="770">
        <v>2000</v>
      </c>
      <c r="G49" s="3" t="s">
        <v>574</v>
      </c>
    </row>
    <row r="50" spans="1:11" ht="14.5">
      <c r="A50" s="772" t="s">
        <v>470</v>
      </c>
      <c r="B50" s="503">
        <v>23108472</v>
      </c>
      <c r="C50" s="768">
        <v>47.3</v>
      </c>
      <c r="D50" s="769">
        <f t="shared" si="3"/>
        <v>2.0062733441591263E-2</v>
      </c>
      <c r="E50" s="769">
        <v>2.0062733441591263E-2</v>
      </c>
      <c r="F50" s="770">
        <v>2004</v>
      </c>
      <c r="G50" s="3" t="s">
        <v>574</v>
      </c>
    </row>
    <row r="51" spans="1:11" ht="14.5">
      <c r="A51" s="766" t="s">
        <v>597</v>
      </c>
      <c r="B51" s="503">
        <v>4236016</v>
      </c>
      <c r="C51" s="768">
        <v>99</v>
      </c>
      <c r="D51" s="769">
        <f t="shared" si="3"/>
        <v>0.69670277833938599</v>
      </c>
      <c r="E51" s="769">
        <v>0.69670277833938599</v>
      </c>
      <c r="F51" s="770">
        <v>2003</v>
      </c>
      <c r="G51" s="36"/>
      <c r="J51" s="505"/>
      <c r="K51" s="504"/>
    </row>
    <row r="52" spans="1:11" ht="14.5">
      <c r="A52" s="766" t="s">
        <v>471</v>
      </c>
      <c r="B52" s="503">
        <v>11461432</v>
      </c>
      <c r="C52" s="768">
        <v>97</v>
      </c>
      <c r="D52" s="769">
        <f t="shared" si="3"/>
        <v>0.87312573194503784</v>
      </c>
      <c r="E52" s="769">
        <v>0.87312573194503784</v>
      </c>
      <c r="F52" s="770">
        <v>2002</v>
      </c>
      <c r="G52" s="36" t="s">
        <v>574</v>
      </c>
      <c r="J52" s="505"/>
      <c r="K52" s="506"/>
    </row>
    <row r="53" spans="1:11" ht="14.5">
      <c r="A53" s="766" t="s">
        <v>598</v>
      </c>
      <c r="B53" s="503">
        <v>1160985</v>
      </c>
      <c r="C53" s="768">
        <v>99.5</v>
      </c>
      <c r="D53" s="769">
        <f t="shared" si="3"/>
        <v>0.81658291816711426</v>
      </c>
      <c r="E53" s="769">
        <v>0.81658291816711426</v>
      </c>
      <c r="F53" s="770">
        <v>2002</v>
      </c>
      <c r="J53" s="505"/>
      <c r="K53" s="506"/>
    </row>
    <row r="54" spans="1:11" ht="14.5">
      <c r="A54" s="766" t="s">
        <v>599</v>
      </c>
      <c r="B54" s="503">
        <v>10603762</v>
      </c>
      <c r="C54" s="768">
        <v>99</v>
      </c>
      <c r="D54" s="769">
        <v>0.65816724300384521</v>
      </c>
      <c r="E54" s="769">
        <v>0.65816724300384521</v>
      </c>
      <c r="F54" s="770">
        <v>2003</v>
      </c>
      <c r="G54" s="36" t="s">
        <v>564</v>
      </c>
      <c r="J54" s="505"/>
      <c r="K54" s="506"/>
    </row>
    <row r="55" spans="1:11" ht="14.5">
      <c r="A55" s="772" t="s">
        <v>472</v>
      </c>
      <c r="B55" s="503">
        <v>25243917</v>
      </c>
      <c r="C55" s="768">
        <v>26</v>
      </c>
      <c r="D55" s="769">
        <f>IF(E55&lt;$B$211,$B$211,E55)</f>
        <v>0.36688140034675598</v>
      </c>
      <c r="E55" s="769">
        <v>0.36688140034675598</v>
      </c>
      <c r="F55" s="770">
        <v>2003</v>
      </c>
      <c r="G55" s="36" t="s">
        <v>574</v>
      </c>
      <c r="J55" s="505"/>
      <c r="K55" s="504"/>
    </row>
    <row r="56" spans="1:11" ht="14.5">
      <c r="A56" s="772" t="s">
        <v>473</v>
      </c>
      <c r="B56" s="503">
        <v>76196619</v>
      </c>
      <c r="C56" s="768">
        <v>11.1</v>
      </c>
      <c r="D56" s="769">
        <f>IF(E56&lt;$B$211,$B$211,E56)</f>
        <v>1.6919938474893571E-2</v>
      </c>
      <c r="E56" s="769">
        <v>2.9218809213489294E-3</v>
      </c>
      <c r="F56" s="770">
        <v>2004</v>
      </c>
      <c r="G56" s="36" t="s">
        <v>574</v>
      </c>
      <c r="J56" s="505"/>
      <c r="K56" s="506"/>
    </row>
    <row r="57" spans="1:11">
      <c r="A57" s="766" t="s">
        <v>474</v>
      </c>
      <c r="B57" s="771">
        <v>5688695</v>
      </c>
      <c r="C57" s="768">
        <v>100</v>
      </c>
      <c r="D57" s="769">
        <v>0.82919079065322876</v>
      </c>
      <c r="E57" s="769">
        <v>0.82919079065322876</v>
      </c>
      <c r="F57" s="770">
        <v>2002</v>
      </c>
      <c r="G57" s="36" t="s">
        <v>564</v>
      </c>
      <c r="J57" s="505"/>
      <c r="K57" s="504"/>
    </row>
    <row r="58" spans="1:11">
      <c r="A58" s="772" t="s">
        <v>600</v>
      </c>
      <c r="B58" s="771">
        <v>927414</v>
      </c>
      <c r="C58" s="768">
        <v>62.2</v>
      </c>
      <c r="D58" s="769">
        <f t="shared" ref="D58:D69" si="4">IF(E58&lt;$B$211,$B$211,E58)</f>
        <v>1.6919938474893571E-2</v>
      </c>
      <c r="E58" s="769">
        <v>1.4044944196939468E-2</v>
      </c>
      <c r="F58" s="770">
        <v>2004</v>
      </c>
      <c r="G58" s="36"/>
      <c r="J58" s="505"/>
      <c r="K58" s="506"/>
    </row>
    <row r="59" spans="1:11">
      <c r="A59" s="772" t="s">
        <v>601</v>
      </c>
      <c r="B59" s="771">
        <v>73162</v>
      </c>
      <c r="C59" s="768">
        <v>87.7</v>
      </c>
      <c r="D59" s="769">
        <f t="shared" si="4"/>
        <v>5.2631579339504242E-2</v>
      </c>
      <c r="E59" s="769">
        <v>5.2631579339504242E-2</v>
      </c>
      <c r="F59" s="770">
        <v>1997</v>
      </c>
      <c r="G59" s="36"/>
      <c r="J59" s="505"/>
      <c r="K59" s="504"/>
    </row>
    <row r="60" spans="1:11" ht="14.5">
      <c r="A60" s="766" t="s">
        <v>475</v>
      </c>
      <c r="B60" s="503">
        <v>10528394</v>
      </c>
      <c r="C60" s="768">
        <v>95.9</v>
      </c>
      <c r="D60" s="769">
        <f t="shared" si="4"/>
        <v>0.83802229166030884</v>
      </c>
      <c r="E60" s="769">
        <v>0.83802229166030884</v>
      </c>
      <c r="F60" s="770">
        <v>2000</v>
      </c>
      <c r="G60" s="36" t="s">
        <v>574</v>
      </c>
      <c r="J60" s="505"/>
      <c r="K60" s="506"/>
    </row>
    <row r="61" spans="1:11" ht="14.5">
      <c r="A61" s="766" t="s">
        <v>476</v>
      </c>
      <c r="B61" s="503">
        <v>16144368</v>
      </c>
      <c r="C61" s="768">
        <v>92.2</v>
      </c>
      <c r="D61" s="769">
        <f t="shared" si="4"/>
        <v>0.16602253913879395</v>
      </c>
      <c r="E61" s="769">
        <v>0.16602253913879395</v>
      </c>
      <c r="F61" s="770">
        <v>2000</v>
      </c>
      <c r="G61" s="36" t="s">
        <v>574</v>
      </c>
      <c r="J61" s="505"/>
      <c r="K61" s="506"/>
    </row>
    <row r="62" spans="1:11" ht="14.5">
      <c r="A62" s="766" t="s">
        <v>477</v>
      </c>
      <c r="B62" s="503">
        <v>93778172</v>
      </c>
      <c r="C62" s="768">
        <v>99.6</v>
      </c>
      <c r="D62" s="769">
        <f t="shared" si="4"/>
        <v>0.13512739539146423</v>
      </c>
      <c r="E62" s="769">
        <v>0.13512739539146423</v>
      </c>
      <c r="F62" s="770">
        <v>2004</v>
      </c>
      <c r="G62" s="36" t="s">
        <v>574</v>
      </c>
      <c r="J62" s="505"/>
      <c r="K62" s="506"/>
    </row>
    <row r="63" spans="1:11" ht="14.5">
      <c r="A63" s="766" t="s">
        <v>478</v>
      </c>
      <c r="B63" s="503">
        <v>6312478</v>
      </c>
      <c r="C63" s="768">
        <v>86.4</v>
      </c>
      <c r="D63" s="769">
        <f t="shared" si="4"/>
        <v>0.54014027118682861</v>
      </c>
      <c r="E63" s="769">
        <v>0.54014027118682861</v>
      </c>
      <c r="F63" s="770">
        <v>2002</v>
      </c>
      <c r="G63" s="36" t="s">
        <v>574</v>
      </c>
      <c r="J63" s="505"/>
      <c r="K63" s="504"/>
    </row>
    <row r="64" spans="1:11" ht="14.5">
      <c r="A64" s="772" t="s">
        <v>667</v>
      </c>
      <c r="B64" s="503">
        <v>1175389</v>
      </c>
      <c r="C64" s="768">
        <f>C73</f>
        <v>34.299999999999997</v>
      </c>
      <c r="D64" s="769">
        <f t="shared" si="4"/>
        <v>2.958579920232296E-2</v>
      </c>
      <c r="E64" s="769">
        <v>2.958579920232296E-2</v>
      </c>
      <c r="F64" s="770">
        <v>2004</v>
      </c>
      <c r="J64" s="505"/>
      <c r="K64" s="504"/>
    </row>
    <row r="65" spans="1:11" ht="14.5">
      <c r="A65" s="772" t="s">
        <v>479</v>
      </c>
      <c r="B65" s="503">
        <v>4846976</v>
      </c>
      <c r="C65" s="768">
        <v>32</v>
      </c>
      <c r="D65" s="769">
        <f t="shared" si="4"/>
        <v>1.6919938474893571E-2</v>
      </c>
      <c r="E65" s="769">
        <v>3.7235280033200979E-3</v>
      </c>
      <c r="F65" s="770">
        <v>2004</v>
      </c>
      <c r="G65" s="3" t="s">
        <v>574</v>
      </c>
      <c r="J65" s="505"/>
      <c r="K65" s="506"/>
    </row>
    <row r="66" spans="1:11" ht="14.5">
      <c r="A66" s="766" t="s">
        <v>602</v>
      </c>
      <c r="B66" s="503">
        <v>1315321</v>
      </c>
      <c r="C66" s="768">
        <v>99</v>
      </c>
      <c r="D66" s="769">
        <f t="shared" si="4"/>
        <v>1.2779809236526489</v>
      </c>
      <c r="E66" s="769">
        <v>1.2779809236526489</v>
      </c>
      <c r="F66" s="770">
        <v>2000</v>
      </c>
      <c r="G66" s="36" t="s">
        <v>564</v>
      </c>
      <c r="J66" s="505"/>
      <c r="K66" s="506"/>
    </row>
    <row r="67" spans="1:11" ht="14.5">
      <c r="A67" s="766" t="s">
        <v>1163</v>
      </c>
      <c r="B67" s="503">
        <v>1319011</v>
      </c>
      <c r="C67" s="768">
        <v>27</v>
      </c>
      <c r="D67" s="769">
        <f t="shared" si="4"/>
        <v>2.9547553509473801E-2</v>
      </c>
      <c r="E67" s="769">
        <v>2.9547553509473801E-2</v>
      </c>
      <c r="F67" s="770">
        <v>2004</v>
      </c>
      <c r="G67" s="36"/>
      <c r="J67" s="505"/>
      <c r="K67" s="504"/>
    </row>
    <row r="68" spans="1:11" ht="14.5">
      <c r="A68" s="766" t="s">
        <v>670</v>
      </c>
      <c r="B68" s="774">
        <v>99873033</v>
      </c>
      <c r="C68" s="768">
        <v>41</v>
      </c>
      <c r="D68" s="769">
        <f t="shared" si="4"/>
        <v>1.6919938474893571E-2</v>
      </c>
      <c r="E68" s="769">
        <f>($E$65+$E$169)/2</f>
        <v>2.8280098340474069E-3</v>
      </c>
      <c r="F68" s="770"/>
      <c r="J68" s="505"/>
      <c r="K68" s="504"/>
    </row>
    <row r="69" spans="1:11" ht="14.5">
      <c r="A69" s="766" t="s">
        <v>480</v>
      </c>
      <c r="B69" s="503">
        <v>892149</v>
      </c>
      <c r="C69" s="768">
        <v>87</v>
      </c>
      <c r="D69" s="769">
        <f t="shared" si="4"/>
        <v>3.9751552045345306E-2</v>
      </c>
      <c r="E69" s="769">
        <v>3.9751552045345306E-2</v>
      </c>
      <c r="F69" s="770">
        <v>1999</v>
      </c>
      <c r="G69" s="36" t="s">
        <v>564</v>
      </c>
    </row>
    <row r="70" spans="1:11" ht="14.5">
      <c r="A70" s="766" t="s">
        <v>481</v>
      </c>
      <c r="B70" s="503">
        <v>5481966</v>
      </c>
      <c r="C70" s="768">
        <v>100</v>
      </c>
      <c r="D70" s="769">
        <v>1.2842024564743042</v>
      </c>
      <c r="E70" s="769">
        <v>1.2842024564743042</v>
      </c>
      <c r="F70" s="770">
        <v>2002</v>
      </c>
      <c r="G70" s="36" t="s">
        <v>564</v>
      </c>
    </row>
    <row r="71" spans="1:11" ht="14.5">
      <c r="A71" s="766" t="s">
        <v>482</v>
      </c>
      <c r="B71" s="503">
        <v>64457201</v>
      </c>
      <c r="C71" s="768">
        <v>100</v>
      </c>
      <c r="D71" s="769">
        <v>0.67683756351470947</v>
      </c>
      <c r="E71" s="769">
        <v>0.67683756351470947</v>
      </c>
      <c r="F71" s="770">
        <v>2004</v>
      </c>
      <c r="G71" s="36" t="s">
        <v>574</v>
      </c>
    </row>
    <row r="72" spans="1:11" ht="14.5">
      <c r="A72" s="772" t="s">
        <v>483</v>
      </c>
      <c r="B72" s="503">
        <v>1930175</v>
      </c>
      <c r="C72" s="768">
        <v>36.700000000000003</v>
      </c>
      <c r="D72" s="769">
        <f>IF(E72&lt;$B$211,$B$211,E72)</f>
        <v>4.8852700740098953E-2</v>
      </c>
      <c r="E72" s="769">
        <v>4.8852700740098953E-2</v>
      </c>
      <c r="F72" s="770">
        <v>2004</v>
      </c>
    </row>
    <row r="73" spans="1:11" ht="14.5">
      <c r="A73" s="772" t="s">
        <v>603</v>
      </c>
      <c r="B73" s="503">
        <v>1977590</v>
      </c>
      <c r="C73" s="768">
        <v>34.299999999999997</v>
      </c>
      <c r="D73" s="769">
        <f>IF(E73&lt;$B$211,$B$211,E73)</f>
        <v>3.0154278501868248E-2</v>
      </c>
      <c r="E73" s="769">
        <v>3.0154278501868248E-2</v>
      </c>
      <c r="F73" s="770">
        <v>2003</v>
      </c>
      <c r="G73" s="36"/>
    </row>
    <row r="74" spans="1:11" ht="14.5">
      <c r="A74" s="766" t="s">
        <v>604</v>
      </c>
      <c r="B74" s="503">
        <v>3951524</v>
      </c>
      <c r="C74" s="768">
        <v>99.9</v>
      </c>
      <c r="D74" s="769">
        <f>IF(E74&lt;$B$211,$B$211,E74)</f>
        <v>0.28053063154220581</v>
      </c>
      <c r="E74" s="769">
        <v>0.28053063154220581</v>
      </c>
      <c r="F74" s="770">
        <v>2003</v>
      </c>
      <c r="G74" s="36" t="s">
        <v>564</v>
      </c>
    </row>
    <row r="75" spans="1:11" ht="14.5">
      <c r="A75" s="766" t="s">
        <v>484</v>
      </c>
      <c r="B75" s="503">
        <v>81707789</v>
      </c>
      <c r="C75" s="768">
        <v>100</v>
      </c>
      <c r="D75" s="769">
        <v>0.78336727619171143</v>
      </c>
      <c r="E75" s="769">
        <v>0.78336727619171143</v>
      </c>
      <c r="F75" s="770">
        <v>2003</v>
      </c>
      <c r="G75" s="36" t="s">
        <v>574</v>
      </c>
    </row>
    <row r="76" spans="1:11" ht="14.5">
      <c r="A76" s="766" t="s">
        <v>485</v>
      </c>
      <c r="B76" s="503">
        <v>27582821</v>
      </c>
      <c r="C76" s="768">
        <v>60.5</v>
      </c>
      <c r="D76" s="769">
        <f>IF(E76&lt;$B$211,$B$211,E76)</f>
        <v>1.8384244292974472E-2</v>
      </c>
      <c r="E76" s="769">
        <v>1.8384244292974472E-2</v>
      </c>
      <c r="F76" s="770">
        <v>2004</v>
      </c>
      <c r="G76" s="36" t="s">
        <v>564</v>
      </c>
    </row>
    <row r="77" spans="1:11" ht="14.5">
      <c r="A77" s="766" t="s">
        <v>486</v>
      </c>
      <c r="B77" s="503">
        <v>11217800</v>
      </c>
      <c r="C77" s="768">
        <v>100</v>
      </c>
      <c r="D77" s="769">
        <v>1.1321823596954346</v>
      </c>
      <c r="E77" s="769">
        <v>1.1321823596954346</v>
      </c>
      <c r="F77" s="770">
        <v>2001</v>
      </c>
    </row>
    <row r="78" spans="1:11" ht="14.5">
      <c r="A78" s="772" t="s">
        <v>605</v>
      </c>
      <c r="B78" s="503">
        <v>106823</v>
      </c>
      <c r="C78" s="768">
        <v>99.5</v>
      </c>
      <c r="D78" s="769">
        <f t="shared" ref="D78:D84" si="5">IF(E78&lt;$B$211,$B$211,E78)</f>
        <v>8.5365854203701019E-2</v>
      </c>
      <c r="E78" s="769">
        <v>8.5365854203701019E-2</v>
      </c>
      <c r="F78" s="770">
        <v>1997</v>
      </c>
      <c r="G78" s="3" t="s">
        <v>574</v>
      </c>
    </row>
    <row r="79" spans="1:11" ht="14.5">
      <c r="A79" s="766" t="s">
        <v>487</v>
      </c>
      <c r="B79" s="503">
        <v>16252429</v>
      </c>
      <c r="C79" s="768">
        <v>80.5</v>
      </c>
      <c r="D79" s="769">
        <f t="shared" si="5"/>
        <v>0.18397626280784607</v>
      </c>
      <c r="E79" s="769">
        <v>0.18397626280784607</v>
      </c>
      <c r="F79" s="770">
        <v>1999</v>
      </c>
    </row>
    <row r="80" spans="1:11" ht="14.5">
      <c r="A80" s="766" t="s">
        <v>606</v>
      </c>
      <c r="B80" s="503">
        <v>12091533</v>
      </c>
      <c r="C80" s="768">
        <v>20.2</v>
      </c>
      <c r="D80" s="769">
        <f t="shared" si="5"/>
        <v>1.6919938474893571E-2</v>
      </c>
      <c r="E80" s="769">
        <v>6.9605568423867226E-3</v>
      </c>
      <c r="F80" s="770">
        <v>2004</v>
      </c>
    </row>
    <row r="81" spans="1:7" ht="14.5">
      <c r="A81" s="766" t="s">
        <v>607</v>
      </c>
      <c r="B81" s="503">
        <v>1770526</v>
      </c>
      <c r="C81" s="768">
        <v>53.5</v>
      </c>
      <c r="D81" s="769">
        <f t="shared" si="5"/>
        <v>1.6919938474893571E-2</v>
      </c>
      <c r="E81" s="769">
        <v>1.430429145693779E-2</v>
      </c>
      <c r="F81" s="770">
        <v>2004</v>
      </c>
    </row>
    <row r="82" spans="1:7" ht="14.5">
      <c r="A82" s="766" t="s">
        <v>608</v>
      </c>
      <c r="B82" s="503">
        <v>768514</v>
      </c>
      <c r="C82" s="768">
        <v>77.5</v>
      </c>
      <c r="D82" s="769">
        <f t="shared" si="5"/>
        <v>3.9525691419839859E-2</v>
      </c>
      <c r="E82" s="769">
        <v>3.9525691419839859E-2</v>
      </c>
      <c r="F82" s="770">
        <v>2000</v>
      </c>
      <c r="G82" s="3" t="s">
        <v>574</v>
      </c>
    </row>
    <row r="83" spans="1:7" ht="14.5">
      <c r="A83" s="766" t="s">
        <v>488</v>
      </c>
      <c r="B83" s="503">
        <v>10711061</v>
      </c>
      <c r="C83" s="768">
        <v>38.5</v>
      </c>
      <c r="D83" s="769">
        <f t="shared" si="5"/>
        <v>1.6919938474893571E-2</v>
      </c>
      <c r="E83" s="769">
        <v>1.2055918574333191E-2</v>
      </c>
      <c r="F83" s="770">
        <v>1998</v>
      </c>
      <c r="G83" s="3" t="s">
        <v>574</v>
      </c>
    </row>
    <row r="84" spans="1:7" ht="14.5">
      <c r="A84" s="766" t="s">
        <v>489</v>
      </c>
      <c r="B84" s="503">
        <v>8960829</v>
      </c>
      <c r="C84" s="768">
        <v>70.3</v>
      </c>
      <c r="D84" s="769">
        <f t="shared" si="5"/>
        <v>0.21232770383358002</v>
      </c>
      <c r="E84" s="769">
        <v>0.21232770383358002</v>
      </c>
      <c r="F84" s="770">
        <v>2000</v>
      </c>
      <c r="G84" s="36" t="s">
        <v>564</v>
      </c>
    </row>
    <row r="85" spans="1:7" ht="14.5">
      <c r="A85" s="766" t="s">
        <v>609</v>
      </c>
      <c r="B85" s="503">
        <v>9783925</v>
      </c>
      <c r="C85" s="768">
        <v>99</v>
      </c>
      <c r="D85" s="769">
        <v>0.54307985305786133</v>
      </c>
      <c r="E85" s="769">
        <v>0.54307985305786133</v>
      </c>
      <c r="F85" s="770">
        <v>2003</v>
      </c>
      <c r="G85" s="36" t="s">
        <v>564</v>
      </c>
    </row>
    <row r="86" spans="1:7" ht="14.5">
      <c r="A86" s="766" t="s">
        <v>490</v>
      </c>
      <c r="B86" s="503">
        <v>330243</v>
      </c>
      <c r="C86" s="768">
        <v>100</v>
      </c>
      <c r="D86" s="769">
        <v>1.0035461187362671</v>
      </c>
      <c r="E86" s="769">
        <v>1.0035461187362671</v>
      </c>
      <c r="F86" s="770">
        <v>2000</v>
      </c>
      <c r="G86" s="36" t="s">
        <v>574</v>
      </c>
    </row>
    <row r="87" spans="1:7" ht="14.5">
      <c r="A87" s="766" t="s">
        <v>491</v>
      </c>
      <c r="B87" s="503">
        <v>1309053980</v>
      </c>
      <c r="C87" s="768">
        <v>75</v>
      </c>
      <c r="D87" s="769">
        <f>IF(E87&lt;$B$211,$B$211,E87)</f>
        <v>5.6809425354003906E-2</v>
      </c>
      <c r="E87" s="769">
        <v>5.6809425354003906E-2</v>
      </c>
      <c r="F87" s="770">
        <v>2004</v>
      </c>
      <c r="G87" s="36" t="s">
        <v>574</v>
      </c>
    </row>
    <row r="88" spans="1:7" ht="14.5">
      <c r="A88" s="766" t="s">
        <v>492</v>
      </c>
      <c r="B88" s="503">
        <v>258162113</v>
      </c>
      <c r="C88" s="768">
        <v>64.5</v>
      </c>
      <c r="D88" s="769">
        <f>IF(E88&lt;$B$211,$B$211,E88)</f>
        <v>3.1362134963274002E-2</v>
      </c>
      <c r="E88" s="769">
        <v>3.1362134963274002E-2</v>
      </c>
      <c r="F88" s="770">
        <v>2003</v>
      </c>
      <c r="G88" s="36" t="s">
        <v>574</v>
      </c>
    </row>
    <row r="89" spans="1:7" ht="14.5">
      <c r="A89" s="766" t="s">
        <v>493</v>
      </c>
      <c r="B89" s="503">
        <v>79360487</v>
      </c>
      <c r="C89" s="768">
        <v>98.4</v>
      </c>
      <c r="D89" s="769">
        <f>IF(E89&lt;$B$211,$B$211,E89)</f>
        <v>9.438449889421463E-2</v>
      </c>
      <c r="E89" s="769">
        <v>9.438449889421463E-2</v>
      </c>
      <c r="F89" s="770">
        <v>2004</v>
      </c>
      <c r="G89" s="36" t="s">
        <v>574</v>
      </c>
    </row>
    <row r="90" spans="1:7" ht="14.5">
      <c r="A90" s="772" t="s">
        <v>494</v>
      </c>
      <c r="B90" s="503">
        <v>36115649</v>
      </c>
      <c r="C90" s="768">
        <v>86</v>
      </c>
      <c r="D90" s="769">
        <f>IF(E90&lt;$B$211,$B$211,E90)</f>
        <v>0.44434559345245361</v>
      </c>
      <c r="E90" s="769">
        <v>0.44434559345245361</v>
      </c>
      <c r="F90" s="770">
        <v>2004</v>
      </c>
      <c r="G90" s="36" t="s">
        <v>564</v>
      </c>
    </row>
    <row r="91" spans="1:7" ht="14.5">
      <c r="A91" s="766" t="s">
        <v>495</v>
      </c>
      <c r="B91" s="503">
        <v>4700107</v>
      </c>
      <c r="C91" s="768">
        <v>100</v>
      </c>
      <c r="D91" s="769">
        <v>0.55938982963562012</v>
      </c>
      <c r="E91" s="769">
        <v>0.55938982963562012</v>
      </c>
      <c r="F91" s="770">
        <v>2004</v>
      </c>
      <c r="G91" s="36" t="s">
        <v>575</v>
      </c>
    </row>
    <row r="92" spans="1:7" ht="14.5">
      <c r="A92" s="766" t="s">
        <v>496</v>
      </c>
      <c r="B92" s="503">
        <v>8064547</v>
      </c>
      <c r="C92" s="768">
        <v>99.7</v>
      </c>
      <c r="D92" s="769">
        <v>1.1674180030822754</v>
      </c>
      <c r="E92" s="769">
        <v>1.1674180030822754</v>
      </c>
      <c r="F92" s="770">
        <v>2003</v>
      </c>
      <c r="G92" s="36" t="s">
        <v>564</v>
      </c>
    </row>
    <row r="93" spans="1:7" ht="14.5">
      <c r="A93" s="766" t="s">
        <v>497</v>
      </c>
      <c r="B93" s="503">
        <v>59504212</v>
      </c>
      <c r="C93" s="768">
        <v>100</v>
      </c>
      <c r="D93" s="769">
        <v>0.5754542350769043</v>
      </c>
      <c r="E93" s="769">
        <v>0.5754542350769043</v>
      </c>
      <c r="F93" s="770">
        <v>2004</v>
      </c>
      <c r="G93" s="36" t="s">
        <v>574</v>
      </c>
    </row>
    <row r="94" spans="1:7" ht="14.5">
      <c r="A94" s="766" t="s">
        <v>498</v>
      </c>
      <c r="B94" s="503">
        <v>2871934</v>
      </c>
      <c r="C94" s="768">
        <v>92</v>
      </c>
      <c r="D94" s="769">
        <f>IF(E94&lt;$B$211,$B$211,E94)</f>
        <v>7.9969823360443115E-2</v>
      </c>
      <c r="E94" s="769">
        <v>7.9969823360443115E-2</v>
      </c>
      <c r="F94" s="770">
        <v>2003</v>
      </c>
      <c r="G94" s="36" t="s">
        <v>564</v>
      </c>
    </row>
    <row r="95" spans="1:7" ht="14.5">
      <c r="A95" s="766" t="s">
        <v>610</v>
      </c>
      <c r="B95" s="503">
        <v>127974958</v>
      </c>
      <c r="C95" s="768">
        <v>100</v>
      </c>
      <c r="D95" s="769">
        <v>0.71000486612319946</v>
      </c>
      <c r="E95" s="769">
        <v>0.71000486612319946</v>
      </c>
      <c r="F95" s="770">
        <v>2002</v>
      </c>
      <c r="G95" s="36" t="s">
        <v>574</v>
      </c>
    </row>
    <row r="96" spans="1:7" ht="14.5">
      <c r="A96" s="766" t="s">
        <v>499</v>
      </c>
      <c r="B96" s="503">
        <v>9159302</v>
      </c>
      <c r="C96" s="768">
        <v>99.9</v>
      </c>
      <c r="D96" s="769">
        <f t="shared" ref="D96:D108" si="6">IF(E96&lt;$B$211,$B$211,E96)</f>
        <v>1.2949768304824829</v>
      </c>
      <c r="E96" s="769">
        <v>1.2949768304824829</v>
      </c>
      <c r="F96" s="770">
        <v>2004</v>
      </c>
    </row>
    <row r="97" spans="1:7" ht="14.5">
      <c r="A97" s="766" t="s">
        <v>611</v>
      </c>
      <c r="B97" s="503">
        <v>17749648</v>
      </c>
      <c r="C97" s="768">
        <v>72.7</v>
      </c>
      <c r="D97" s="769">
        <f t="shared" si="6"/>
        <v>0.33791226148605347</v>
      </c>
      <c r="E97" s="769">
        <v>0.33791226148605347</v>
      </c>
      <c r="F97" s="770">
        <v>2003</v>
      </c>
      <c r="G97" s="3" t="s">
        <v>574</v>
      </c>
    </row>
    <row r="98" spans="1:7" ht="14.5">
      <c r="A98" s="766" t="s">
        <v>500</v>
      </c>
      <c r="B98" s="503">
        <v>47236259</v>
      </c>
      <c r="C98" s="768">
        <v>16.100000000000001</v>
      </c>
      <c r="D98" s="769">
        <f t="shared" si="6"/>
        <v>4.1332509368658066E-2</v>
      </c>
      <c r="E98" s="769">
        <v>4.1332509368658066E-2</v>
      </c>
      <c r="F98" s="770">
        <v>2004</v>
      </c>
    </row>
    <row r="99" spans="1:7" ht="14.5">
      <c r="A99" s="772" t="s">
        <v>668</v>
      </c>
      <c r="B99" s="503">
        <v>112407</v>
      </c>
      <c r="C99" s="768">
        <f>C120</f>
        <v>95</v>
      </c>
      <c r="D99" s="769">
        <f t="shared" si="6"/>
        <v>4.9382716417312622E-2</v>
      </c>
      <c r="E99" s="769">
        <v>4.9382716417312622E-2</v>
      </c>
      <c r="F99" s="770">
        <v>1998</v>
      </c>
      <c r="G99" s="36" t="s">
        <v>574</v>
      </c>
    </row>
    <row r="100" spans="1:7" ht="14.5">
      <c r="A100" s="766" t="s">
        <v>501</v>
      </c>
      <c r="B100" s="503">
        <v>3935794</v>
      </c>
      <c r="C100" s="768">
        <v>100</v>
      </c>
      <c r="D100" s="769">
        <f t="shared" si="6"/>
        <v>0.28601783514022827</v>
      </c>
      <c r="E100" s="769">
        <v>0.28601783514022827</v>
      </c>
      <c r="F100" s="770">
        <v>2001</v>
      </c>
    </row>
    <row r="101" spans="1:7" ht="14.5">
      <c r="A101" s="766" t="s">
        <v>502</v>
      </c>
      <c r="B101" s="503">
        <v>5865401</v>
      </c>
      <c r="C101" s="768">
        <v>100</v>
      </c>
      <c r="D101" s="769">
        <f t="shared" si="6"/>
        <v>0.19307123124599457</v>
      </c>
      <c r="E101" s="769">
        <v>0.19307123124599457</v>
      </c>
      <c r="F101" s="770">
        <v>2003</v>
      </c>
      <c r="G101" s="3" t="s">
        <v>574</v>
      </c>
    </row>
    <row r="102" spans="1:7" ht="14.5">
      <c r="A102" s="766" t="s">
        <v>503</v>
      </c>
      <c r="B102" s="503">
        <v>6663967</v>
      </c>
      <c r="C102" s="768">
        <v>55</v>
      </c>
      <c r="D102" s="769">
        <f t="shared" si="6"/>
        <v>4.0824826806783676E-2</v>
      </c>
      <c r="E102" s="769">
        <v>4.0824826806783676E-2</v>
      </c>
      <c r="F102" s="770">
        <v>1996</v>
      </c>
      <c r="G102" s="36"/>
    </row>
    <row r="103" spans="1:7" ht="14.5">
      <c r="A103" s="766" t="s">
        <v>612</v>
      </c>
      <c r="B103" s="503">
        <v>1992663</v>
      </c>
      <c r="C103" s="768">
        <v>98</v>
      </c>
      <c r="D103" s="769">
        <f t="shared" si="6"/>
        <v>0.55786734819412231</v>
      </c>
      <c r="E103" s="769">
        <v>0.55786734819412231</v>
      </c>
      <c r="F103" s="770">
        <v>2003</v>
      </c>
      <c r="G103" s="3" t="s">
        <v>574</v>
      </c>
    </row>
    <row r="104" spans="1:7" ht="14.5">
      <c r="A104" s="772" t="s">
        <v>504</v>
      </c>
      <c r="B104" s="503">
        <v>5851479</v>
      </c>
      <c r="C104" s="768">
        <v>99.9</v>
      </c>
      <c r="D104" s="769">
        <f t="shared" si="6"/>
        <v>1.2109131813049316</v>
      </c>
      <c r="E104" s="769">
        <v>1.2109131813049316</v>
      </c>
      <c r="F104" s="770">
        <v>2001</v>
      </c>
      <c r="G104" s="3" t="s">
        <v>574</v>
      </c>
    </row>
    <row r="105" spans="1:7" ht="14.5">
      <c r="A105" s="766" t="s">
        <v>505</v>
      </c>
      <c r="B105" s="503">
        <v>2174645</v>
      </c>
      <c r="C105" s="768">
        <v>16</v>
      </c>
      <c r="D105" s="769">
        <f t="shared" si="6"/>
        <v>1.6919938474893571E-2</v>
      </c>
      <c r="E105" s="769">
        <v>8.8790236040949821E-3</v>
      </c>
      <c r="F105" s="770">
        <v>2003</v>
      </c>
    </row>
    <row r="106" spans="1:7" ht="14.5">
      <c r="A106" s="772" t="s">
        <v>613</v>
      </c>
      <c r="B106" s="503">
        <v>4499621</v>
      </c>
      <c r="C106" s="768">
        <v>1.9</v>
      </c>
      <c r="D106" s="769">
        <f t="shared" si="6"/>
        <v>1.6919938474893571E-2</v>
      </c>
      <c r="E106" s="769">
        <v>3.7281331606209278E-3</v>
      </c>
      <c r="F106" s="770">
        <v>2004</v>
      </c>
      <c r="G106" s="3" t="s">
        <v>574</v>
      </c>
    </row>
    <row r="107" spans="1:7" ht="14.5">
      <c r="A107" s="772" t="s">
        <v>506</v>
      </c>
      <c r="B107" s="503">
        <v>6234955</v>
      </c>
      <c r="C107" s="768">
        <v>99.8</v>
      </c>
      <c r="D107" s="769">
        <f t="shared" si="6"/>
        <v>0.14031180739402771</v>
      </c>
      <c r="E107" s="769">
        <v>0.14031180739402771</v>
      </c>
      <c r="F107" s="770">
        <v>1997</v>
      </c>
      <c r="G107" s="36"/>
    </row>
    <row r="108" spans="1:7" ht="14.5">
      <c r="A108" s="766" t="s">
        <v>614</v>
      </c>
      <c r="B108" s="503">
        <v>2931926</v>
      </c>
      <c r="C108" s="768">
        <v>99</v>
      </c>
      <c r="D108" s="769">
        <f t="shared" si="6"/>
        <v>0.68873405456542969</v>
      </c>
      <c r="E108" s="769">
        <v>0.68873405456542969</v>
      </c>
      <c r="F108" s="770">
        <v>2003</v>
      </c>
      <c r="G108" s="36" t="s">
        <v>564</v>
      </c>
    </row>
    <row r="109" spans="1:7" ht="14.5">
      <c r="A109" s="766" t="s">
        <v>507</v>
      </c>
      <c r="B109" s="503">
        <v>566741</v>
      </c>
      <c r="C109" s="768">
        <v>100</v>
      </c>
      <c r="D109" s="769">
        <v>0.71302425861358643</v>
      </c>
      <c r="E109" s="769">
        <v>0.71302425861358643</v>
      </c>
      <c r="F109" s="770">
        <v>2003</v>
      </c>
      <c r="G109" s="36" t="s">
        <v>574</v>
      </c>
    </row>
    <row r="110" spans="1:7" ht="14.5">
      <c r="A110" s="766" t="s">
        <v>508</v>
      </c>
      <c r="B110" s="503">
        <v>24234088</v>
      </c>
      <c r="C110" s="768">
        <v>19</v>
      </c>
      <c r="D110" s="769">
        <f t="shared" ref="D110:D118" si="7">IF(E110&lt;$B$211,$B$211,E110)</f>
        <v>2.2903747856616974E-2</v>
      </c>
      <c r="E110" s="769">
        <v>2.2903747856616974E-2</v>
      </c>
      <c r="F110" s="770">
        <v>2004</v>
      </c>
      <c r="G110" s="36" t="s">
        <v>574</v>
      </c>
    </row>
    <row r="111" spans="1:7" ht="14.5">
      <c r="A111" s="766" t="s">
        <v>675</v>
      </c>
      <c r="B111" s="503">
        <v>17573607</v>
      </c>
      <c r="C111" s="768">
        <v>9</v>
      </c>
      <c r="D111" s="769">
        <f t="shared" si="7"/>
        <v>1.6919938474893571E-2</v>
      </c>
      <c r="E111" s="769">
        <f>$E$125</f>
        <v>8.2890205085277557E-3</v>
      </c>
      <c r="F111" s="767"/>
      <c r="G111" s="36" t="s">
        <v>574</v>
      </c>
    </row>
    <row r="112" spans="1:7" ht="14.5">
      <c r="A112" s="766" t="s">
        <v>509</v>
      </c>
      <c r="B112" s="503">
        <v>30723155</v>
      </c>
      <c r="C112" s="768">
        <v>99.4</v>
      </c>
      <c r="D112" s="769">
        <f t="shared" si="7"/>
        <v>9.3213342130184174E-2</v>
      </c>
      <c r="E112" s="769">
        <v>9.3213342130184174E-2</v>
      </c>
      <c r="F112" s="770">
        <v>2000</v>
      </c>
    </row>
    <row r="113" spans="1:11" ht="14.5">
      <c r="A113" s="766" t="s">
        <v>615</v>
      </c>
      <c r="B113" s="503">
        <v>418403</v>
      </c>
      <c r="C113" s="768">
        <v>99.8</v>
      </c>
      <c r="D113" s="769">
        <f t="shared" si="7"/>
        <v>4.268292710185051E-2</v>
      </c>
      <c r="E113" s="769">
        <v>4.268292710185051E-2</v>
      </c>
      <c r="F113" s="770">
        <v>2004</v>
      </c>
    </row>
    <row r="114" spans="1:11" ht="14.5">
      <c r="A114" s="772" t="s">
        <v>616</v>
      </c>
      <c r="B114" s="503">
        <v>17467905</v>
      </c>
      <c r="C114" s="768">
        <v>16.600000000000001</v>
      </c>
      <c r="D114" s="769">
        <f t="shared" si="7"/>
        <v>1.6919938474893571E-2</v>
      </c>
      <c r="E114" s="769">
        <v>6.2644490972161293E-3</v>
      </c>
      <c r="F114" s="770">
        <v>2004</v>
      </c>
      <c r="G114" s="36"/>
      <c r="J114" s="505"/>
      <c r="K114" s="506"/>
    </row>
    <row r="115" spans="1:11" ht="14.5">
      <c r="A115" s="766" t="s">
        <v>510</v>
      </c>
      <c r="B115" s="503">
        <v>427616</v>
      </c>
      <c r="C115" s="768">
        <v>100</v>
      </c>
      <c r="D115" s="769">
        <f t="shared" si="7"/>
        <v>0.42385786771774292</v>
      </c>
      <c r="E115" s="769">
        <v>0.42385786771774292</v>
      </c>
      <c r="F115" s="770">
        <v>2003</v>
      </c>
      <c r="J115" s="505"/>
      <c r="K115" s="506"/>
    </row>
    <row r="116" spans="1:11" ht="14.5">
      <c r="A116" s="766" t="s">
        <v>617</v>
      </c>
      <c r="B116" s="503">
        <v>52994</v>
      </c>
      <c r="C116" s="768">
        <v>68.5</v>
      </c>
      <c r="D116" s="769">
        <f t="shared" si="7"/>
        <v>7.8431375324726105E-2</v>
      </c>
      <c r="E116" s="769">
        <v>7.8431375324726105E-2</v>
      </c>
      <c r="F116" s="770">
        <v>2000</v>
      </c>
      <c r="J116" s="505"/>
      <c r="K116" s="506"/>
    </row>
    <row r="117" spans="1:11" ht="14.5">
      <c r="A117" s="766" t="s">
        <v>618</v>
      </c>
      <c r="B117" s="503">
        <v>4182341.0000000005</v>
      </c>
      <c r="C117" s="768">
        <v>19</v>
      </c>
      <c r="D117" s="769">
        <f t="shared" si="7"/>
        <v>2.1476510912179947E-2</v>
      </c>
      <c r="E117" s="769">
        <v>2.1476510912179947E-2</v>
      </c>
      <c r="F117" s="770">
        <v>2004</v>
      </c>
      <c r="G117" s="3" t="s">
        <v>574</v>
      </c>
      <c r="J117" s="505"/>
      <c r="K117" s="504"/>
    </row>
    <row r="118" spans="1:11" ht="14.5">
      <c r="A118" s="766" t="s">
        <v>511</v>
      </c>
      <c r="B118" s="503">
        <v>1259456</v>
      </c>
      <c r="C118" s="768">
        <v>99.4</v>
      </c>
      <c r="D118" s="769">
        <f t="shared" si="7"/>
        <v>0.18896998465061188</v>
      </c>
      <c r="E118" s="769">
        <v>0.18896998465061188</v>
      </c>
      <c r="F118" s="770">
        <v>2004</v>
      </c>
      <c r="G118" s="36" t="s">
        <v>564</v>
      </c>
      <c r="J118" s="505"/>
      <c r="K118" s="506"/>
    </row>
    <row r="119" spans="1:11" ht="14.5">
      <c r="A119" s="766" t="s">
        <v>619</v>
      </c>
      <c r="B119" s="503">
        <v>125890949</v>
      </c>
      <c r="C119" s="768">
        <v>97</v>
      </c>
      <c r="D119" s="769">
        <v>0.79125267267227173</v>
      </c>
      <c r="E119" s="769">
        <v>0.79125267267227173</v>
      </c>
      <c r="F119" s="770">
        <v>2000</v>
      </c>
      <c r="J119" s="505"/>
      <c r="K119" s="504"/>
    </row>
    <row r="120" spans="1:11" ht="14.5">
      <c r="A120" s="766" t="s">
        <v>620</v>
      </c>
      <c r="B120" s="503">
        <v>104433</v>
      </c>
      <c r="C120" s="768">
        <v>95</v>
      </c>
      <c r="D120" s="769">
        <f t="shared" ref="D120:D129" si="8">IF(E120&lt;$B$211,$B$211,E120)</f>
        <v>0.13084112107753754</v>
      </c>
      <c r="E120" s="769">
        <v>0.13084112107753754</v>
      </c>
      <c r="F120" s="770">
        <v>2000</v>
      </c>
      <c r="G120" s="36"/>
      <c r="J120" s="505"/>
      <c r="K120" s="504"/>
    </row>
    <row r="121" spans="1:11" ht="14.5">
      <c r="A121" s="772" t="s">
        <v>512</v>
      </c>
      <c r="B121" s="503">
        <v>38307</v>
      </c>
      <c r="C121" s="768">
        <v>100</v>
      </c>
      <c r="D121" s="769">
        <f t="shared" si="8"/>
        <v>1.0625</v>
      </c>
      <c r="E121" s="769">
        <v>1.0625</v>
      </c>
      <c r="F121" s="770">
        <v>1995</v>
      </c>
      <c r="G121" s="3" t="s">
        <v>574</v>
      </c>
      <c r="J121" s="505"/>
      <c r="K121" s="506"/>
    </row>
    <row r="122" spans="1:11" ht="14.5">
      <c r="A122" s="766" t="s">
        <v>621</v>
      </c>
      <c r="B122" s="503">
        <v>2976877</v>
      </c>
      <c r="C122" s="768">
        <v>87.5</v>
      </c>
      <c r="D122" s="769">
        <f t="shared" si="8"/>
        <v>0.1316920667886734</v>
      </c>
      <c r="E122" s="769">
        <v>0.1316920667886734</v>
      </c>
      <c r="F122" s="770">
        <v>2002</v>
      </c>
      <c r="J122" s="505"/>
      <c r="K122" s="506"/>
    </row>
    <row r="123" spans="1:11" ht="14.5">
      <c r="A123" s="766" t="s">
        <v>571</v>
      </c>
      <c r="B123" s="503">
        <v>628178</v>
      </c>
      <c r="C123" s="768">
        <v>100</v>
      </c>
      <c r="D123" s="769">
        <f t="shared" si="8"/>
        <v>0.35994303226470947</v>
      </c>
      <c r="E123" s="769">
        <v>0.35994303226470947</v>
      </c>
      <c r="F123" s="770">
        <v>2002</v>
      </c>
      <c r="G123" s="3" t="s">
        <v>574</v>
      </c>
      <c r="J123" s="505"/>
      <c r="K123" s="506"/>
    </row>
    <row r="124" spans="1:11" ht="14.5">
      <c r="A124" s="766" t="s">
        <v>513</v>
      </c>
      <c r="B124" s="503">
        <v>34803322</v>
      </c>
      <c r="C124" s="768">
        <v>97</v>
      </c>
      <c r="D124" s="769">
        <f t="shared" si="8"/>
        <v>9.9504247307777405E-2</v>
      </c>
      <c r="E124" s="769">
        <v>9.9504247307777405E-2</v>
      </c>
      <c r="F124" s="770">
        <v>2004</v>
      </c>
      <c r="G124" s="3" t="s">
        <v>574</v>
      </c>
      <c r="J124" s="505"/>
      <c r="K124" s="504"/>
    </row>
    <row r="125" spans="1:11" ht="14.5">
      <c r="A125" s="766" t="s">
        <v>514</v>
      </c>
      <c r="B125" s="503">
        <v>28010691</v>
      </c>
      <c r="C125" s="768">
        <v>11.7</v>
      </c>
      <c r="D125" s="769">
        <f t="shared" si="8"/>
        <v>1.6919938474893571E-2</v>
      </c>
      <c r="E125" s="769">
        <v>8.2890205085277557E-3</v>
      </c>
      <c r="F125" s="770">
        <v>2004</v>
      </c>
      <c r="G125" s="3" t="s">
        <v>574</v>
      </c>
    </row>
    <row r="126" spans="1:11" ht="14.5">
      <c r="A126" s="772" t="s">
        <v>515</v>
      </c>
      <c r="B126" s="503">
        <v>52403669</v>
      </c>
      <c r="C126" s="768">
        <v>13</v>
      </c>
      <c r="D126" s="769">
        <f t="shared" si="8"/>
        <v>2.7863714843988419E-2</v>
      </c>
      <c r="E126" s="769">
        <v>2.7863714843988419E-2</v>
      </c>
      <c r="F126" s="770">
        <v>2004</v>
      </c>
      <c r="G126" s="3" t="s">
        <v>574</v>
      </c>
    </row>
    <row r="127" spans="1:11" ht="14.5">
      <c r="A127" s="766" t="s">
        <v>516</v>
      </c>
      <c r="B127" s="503">
        <v>2425561</v>
      </c>
      <c r="C127" s="768">
        <v>34</v>
      </c>
      <c r="D127" s="769">
        <f t="shared" si="8"/>
        <v>5.6190948933362961E-2</v>
      </c>
      <c r="E127" s="769">
        <v>5.6190948933362961E-2</v>
      </c>
      <c r="F127" s="770">
        <v>2004</v>
      </c>
    </row>
    <row r="128" spans="1:11" ht="14.5">
      <c r="A128" s="772" t="s">
        <v>674</v>
      </c>
      <c r="B128" s="503">
        <v>11260</v>
      </c>
      <c r="C128" s="768">
        <v>100</v>
      </c>
      <c r="D128" s="769">
        <f t="shared" si="8"/>
        <v>0.13084112107753754</v>
      </c>
      <c r="E128" s="769">
        <f>$E$120</f>
        <v>0.13084112107753754</v>
      </c>
      <c r="F128" s="767"/>
      <c r="G128" s="3" t="s">
        <v>574</v>
      </c>
    </row>
    <row r="129" spans="1:7" ht="14.5">
      <c r="A129" s="766" t="s">
        <v>517</v>
      </c>
      <c r="B129" s="503">
        <v>28656282</v>
      </c>
      <c r="C129" s="768">
        <v>43.6</v>
      </c>
      <c r="D129" s="769">
        <f t="shared" si="8"/>
        <v>1.6919938474893571E-2</v>
      </c>
      <c r="E129" s="769">
        <v>1.3955296017229557E-2</v>
      </c>
      <c r="F129" s="770">
        <v>2004</v>
      </c>
      <c r="G129" s="36" t="s">
        <v>564</v>
      </c>
    </row>
    <row r="130" spans="1:7" ht="14.5">
      <c r="A130" s="766" t="s">
        <v>518</v>
      </c>
      <c r="B130" s="503">
        <v>16938499</v>
      </c>
      <c r="C130" s="768">
        <v>100</v>
      </c>
      <c r="D130" s="769">
        <v>0.4804631769657135</v>
      </c>
      <c r="E130" s="769">
        <v>0.4804631769657135</v>
      </c>
      <c r="F130" s="770">
        <v>2003</v>
      </c>
      <c r="G130" s="36" t="s">
        <v>564</v>
      </c>
    </row>
    <row r="131" spans="1:7" ht="14.5">
      <c r="A131" s="766" t="s">
        <v>622</v>
      </c>
      <c r="B131" s="503">
        <v>4614532</v>
      </c>
      <c r="C131" s="768">
        <v>87</v>
      </c>
      <c r="D131" s="769">
        <v>0.67785060405731201</v>
      </c>
      <c r="E131" s="769">
        <v>0.67785060405731201</v>
      </c>
      <c r="F131" s="770">
        <v>2001</v>
      </c>
      <c r="G131" s="36" t="s">
        <v>574</v>
      </c>
    </row>
    <row r="132" spans="1:7" ht="14.5">
      <c r="A132" s="766" t="s">
        <v>519</v>
      </c>
      <c r="B132" s="503">
        <v>6082035</v>
      </c>
      <c r="C132" s="768">
        <v>72.099999999999994</v>
      </c>
      <c r="D132" s="769">
        <f>IF(E132&lt;$B$211,$B$211,E132)</f>
        <v>4.4456642121076584E-2</v>
      </c>
      <c r="E132" s="769">
        <v>4.4456642121076584E-2</v>
      </c>
      <c r="F132" s="770">
        <v>2003</v>
      </c>
    </row>
    <row r="133" spans="1:7" ht="14.5">
      <c r="A133" s="766" t="s">
        <v>623</v>
      </c>
      <c r="B133" s="503">
        <v>19896965</v>
      </c>
      <c r="C133" s="768">
        <v>9.3000000000000007</v>
      </c>
      <c r="D133" s="769">
        <f>IF(E133&lt;$B$211,$B$211,E133)</f>
        <v>1.6919938474893571E-2</v>
      </c>
      <c r="E133" s="769">
        <v>1.2082158355042338E-3</v>
      </c>
      <c r="F133" s="770">
        <v>2004</v>
      </c>
      <c r="G133" s="3" t="s">
        <v>574</v>
      </c>
    </row>
    <row r="134" spans="1:7" ht="14.5">
      <c r="A134" s="772" t="s">
        <v>520</v>
      </c>
      <c r="B134" s="503">
        <v>181181744</v>
      </c>
      <c r="C134" s="768">
        <v>50.6</v>
      </c>
      <c r="D134" s="769">
        <f>IF(E134&lt;$B$211,$B$211,E134)</f>
        <v>2.0014677196741104E-2</v>
      </c>
      <c r="E134" s="769">
        <v>2.0014677196741104E-2</v>
      </c>
      <c r="F134" s="770">
        <v>2003</v>
      </c>
    </row>
    <row r="135" spans="1:7" ht="14.5">
      <c r="A135" s="766" t="s">
        <v>624</v>
      </c>
      <c r="B135" s="503">
        <v>1629</v>
      </c>
      <c r="C135" s="768">
        <v>97</v>
      </c>
      <c r="D135" s="769">
        <f>IF(E135&lt;$B$211,$B$211,E135)</f>
        <v>1</v>
      </c>
      <c r="E135" s="769">
        <v>1</v>
      </c>
      <c r="F135" s="770">
        <v>1996</v>
      </c>
      <c r="G135" s="36" t="s">
        <v>564</v>
      </c>
    </row>
    <row r="136" spans="1:7" ht="14.5">
      <c r="A136" s="766" t="s">
        <v>521</v>
      </c>
      <c r="B136" s="503">
        <v>5199836</v>
      </c>
      <c r="C136" s="768">
        <v>100</v>
      </c>
      <c r="D136" s="769">
        <v>0.82351642847061157</v>
      </c>
      <c r="E136" s="769">
        <v>0.82351642847061157</v>
      </c>
      <c r="F136" s="770">
        <v>2003</v>
      </c>
      <c r="G136" s="36" t="s">
        <v>574</v>
      </c>
    </row>
    <row r="137" spans="1:7" ht="14.5">
      <c r="A137" s="766" t="s">
        <v>522</v>
      </c>
      <c r="B137" s="503">
        <v>4199810</v>
      </c>
      <c r="C137" s="768">
        <v>98</v>
      </c>
      <c r="D137" s="769">
        <f t="shared" ref="D137:D144" si="9">IF(E137&lt;$B$211,$B$211,E137)</f>
        <v>0.1853492259979248</v>
      </c>
      <c r="E137" s="769">
        <v>0.1853492259979248</v>
      </c>
      <c r="F137" s="770">
        <v>2004</v>
      </c>
      <c r="G137" s="36" t="s">
        <v>574</v>
      </c>
    </row>
    <row r="138" spans="1:7" ht="14.5">
      <c r="A138" s="772" t="s">
        <v>523</v>
      </c>
      <c r="B138" s="503">
        <v>189380513</v>
      </c>
      <c r="C138" s="768">
        <v>62.4</v>
      </c>
      <c r="D138" s="769">
        <f t="shared" si="9"/>
        <v>4.9976162612438202E-2</v>
      </c>
      <c r="E138" s="769">
        <v>4.9976162612438202E-2</v>
      </c>
      <c r="F138" s="770">
        <v>2004</v>
      </c>
    </row>
    <row r="139" spans="1:7" ht="14.5">
      <c r="A139" s="772" t="s">
        <v>625</v>
      </c>
      <c r="B139" s="503">
        <v>21288</v>
      </c>
      <c r="C139" s="768">
        <v>97</v>
      </c>
      <c r="D139" s="769">
        <f t="shared" si="9"/>
        <v>0.1111111119389534</v>
      </c>
      <c r="E139" s="769">
        <v>0.1111111119389534</v>
      </c>
      <c r="F139" s="770">
        <v>1998</v>
      </c>
      <c r="G139" s="36" t="s">
        <v>574</v>
      </c>
    </row>
    <row r="140" spans="1:7" ht="14.5">
      <c r="A140" s="766" t="s">
        <v>524</v>
      </c>
      <c r="B140" s="503">
        <v>3969249</v>
      </c>
      <c r="C140" s="768">
        <v>88.1</v>
      </c>
      <c r="D140" s="769">
        <f t="shared" si="9"/>
        <v>0.75627118349075317</v>
      </c>
      <c r="E140" s="769">
        <v>0.75627118349075317</v>
      </c>
      <c r="F140" s="770">
        <v>2000</v>
      </c>
    </row>
    <row r="141" spans="1:7" ht="14.5">
      <c r="A141" s="772" t="s">
        <v>626</v>
      </c>
      <c r="B141" s="503">
        <v>7919825</v>
      </c>
      <c r="C141" s="768">
        <v>11</v>
      </c>
      <c r="D141" s="769">
        <f t="shared" si="9"/>
        <v>1.6919938474893571E-2</v>
      </c>
      <c r="E141" s="769">
        <v>1.6872890293598175E-2</v>
      </c>
      <c r="F141" s="770">
        <v>2000</v>
      </c>
      <c r="G141" s="3" t="s">
        <v>574</v>
      </c>
    </row>
    <row r="142" spans="1:7" ht="14.5">
      <c r="A142" s="766" t="s">
        <v>525</v>
      </c>
      <c r="B142" s="503">
        <v>6639119</v>
      </c>
      <c r="C142" s="768">
        <v>96.7</v>
      </c>
      <c r="D142" s="769">
        <f t="shared" si="9"/>
        <v>0.55435538291931152</v>
      </c>
      <c r="E142" s="769">
        <v>0.55435538291931152</v>
      </c>
      <c r="F142" s="770">
        <v>2002</v>
      </c>
      <c r="G142" s="36" t="s">
        <v>574</v>
      </c>
    </row>
    <row r="143" spans="1:7" ht="14.5">
      <c r="A143" s="766" t="s">
        <v>526</v>
      </c>
      <c r="B143" s="503">
        <v>31376671</v>
      </c>
      <c r="C143" s="768">
        <v>85.7</v>
      </c>
      <c r="D143" s="769">
        <f t="shared" si="9"/>
        <v>0.11000587791204453</v>
      </c>
      <c r="E143" s="769">
        <v>0.11000587791204453</v>
      </c>
      <c r="F143" s="770">
        <v>1999</v>
      </c>
      <c r="G143" s="36" t="s">
        <v>574</v>
      </c>
    </row>
    <row r="144" spans="1:7" ht="14.5">
      <c r="A144" s="766" t="s">
        <v>527</v>
      </c>
      <c r="B144" s="503">
        <v>101716359</v>
      </c>
      <c r="C144" s="768">
        <v>89.7</v>
      </c>
      <c r="D144" s="769">
        <f t="shared" si="9"/>
        <v>0.11311434209346771</v>
      </c>
      <c r="E144" s="769">
        <v>0.11311434209346771</v>
      </c>
      <c r="F144" s="770">
        <v>2000</v>
      </c>
      <c r="G144" s="36" t="s">
        <v>564</v>
      </c>
    </row>
    <row r="145" spans="1:11" ht="14.5">
      <c r="A145" s="766" t="s">
        <v>627</v>
      </c>
      <c r="B145" s="503">
        <v>38265226</v>
      </c>
      <c r="C145" s="768">
        <v>100</v>
      </c>
      <c r="D145" s="769">
        <v>0.29675796627998352</v>
      </c>
      <c r="E145" s="769">
        <v>0.29675796627998352</v>
      </c>
      <c r="F145" s="770">
        <v>2003</v>
      </c>
      <c r="G145" s="36" t="s">
        <v>564</v>
      </c>
    </row>
    <row r="146" spans="1:11" ht="14.5">
      <c r="A146" s="766" t="s">
        <v>528</v>
      </c>
      <c r="B146" s="503">
        <v>10418473</v>
      </c>
      <c r="C146" s="768">
        <v>100</v>
      </c>
      <c r="D146" s="769">
        <v>0.54765927791595459</v>
      </c>
      <c r="E146" s="769">
        <v>0.54765927791595459</v>
      </c>
      <c r="F146" s="770">
        <v>2003</v>
      </c>
      <c r="G146" s="36" t="s">
        <v>574</v>
      </c>
    </row>
    <row r="147" spans="1:11" ht="14.5">
      <c r="A147" s="766" t="s">
        <v>529</v>
      </c>
      <c r="B147" s="503">
        <v>2481539</v>
      </c>
      <c r="C147" s="768">
        <v>98.7</v>
      </c>
      <c r="D147" s="769">
        <f>IF(E147&lt;$B$211,$B$211,E147)</f>
        <v>0.37225043773651123</v>
      </c>
      <c r="E147" s="769">
        <v>0.37225043773651123</v>
      </c>
      <c r="F147" s="770">
        <v>2001</v>
      </c>
      <c r="G147" s="36" t="s">
        <v>564</v>
      </c>
    </row>
    <row r="148" spans="1:11" ht="14.5">
      <c r="A148" s="766" t="s">
        <v>628</v>
      </c>
      <c r="B148" s="503">
        <v>50593662</v>
      </c>
      <c r="C148" s="768">
        <v>100</v>
      </c>
      <c r="D148" s="769">
        <v>0.33612158894538879</v>
      </c>
      <c r="E148" s="769">
        <v>0.33612158894538879</v>
      </c>
      <c r="F148" s="770">
        <v>2003</v>
      </c>
    </row>
    <row r="149" spans="1:11" ht="14.5">
      <c r="A149" s="766" t="s">
        <v>629</v>
      </c>
      <c r="B149" s="503">
        <v>4065980</v>
      </c>
      <c r="C149" s="768">
        <v>98.6</v>
      </c>
      <c r="D149" s="769">
        <f t="shared" ref="D149:D165" si="10">IF(E149&lt;$B$211,$B$211,E149)</f>
        <v>0.3288024365901947</v>
      </c>
      <c r="E149" s="769">
        <v>0.3288024365901947</v>
      </c>
      <c r="F149" s="770">
        <v>2003</v>
      </c>
      <c r="G149" s="3" t="s">
        <v>574</v>
      </c>
    </row>
    <row r="150" spans="1:11" ht="14.5">
      <c r="A150" s="772" t="s">
        <v>595</v>
      </c>
      <c r="B150" s="503">
        <v>4995648</v>
      </c>
      <c r="C150" s="768">
        <v>37.1</v>
      </c>
      <c r="D150" s="769">
        <f t="shared" si="10"/>
        <v>1.6919938474893571E-2</v>
      </c>
      <c r="E150" s="769">
        <v>3.1430067028850317E-3</v>
      </c>
      <c r="F150" s="770">
        <v>2004</v>
      </c>
    </row>
    <row r="151" spans="1:11" ht="14.5">
      <c r="A151" s="766" t="s">
        <v>530</v>
      </c>
      <c r="B151" s="503">
        <v>19876621</v>
      </c>
      <c r="C151" s="768">
        <v>99</v>
      </c>
      <c r="D151" s="769">
        <f t="shared" si="10"/>
        <v>0.22024714946746826</v>
      </c>
      <c r="E151" s="769">
        <v>0.22024714946746826</v>
      </c>
      <c r="F151" s="770">
        <v>2003</v>
      </c>
      <c r="G151" s="36"/>
    </row>
    <row r="152" spans="1:11" ht="14.5">
      <c r="A152" s="766" t="s">
        <v>630</v>
      </c>
      <c r="B152" s="503">
        <v>143888004</v>
      </c>
      <c r="C152" s="768">
        <v>93</v>
      </c>
      <c r="D152" s="769">
        <f t="shared" si="10"/>
        <v>0.32093042135238647</v>
      </c>
      <c r="E152" s="769">
        <v>0.32093042135238647</v>
      </c>
      <c r="F152" s="770">
        <v>2003</v>
      </c>
      <c r="J152" s="505"/>
      <c r="K152" s="506"/>
    </row>
    <row r="153" spans="1:11" ht="14.5">
      <c r="A153" s="766" t="s">
        <v>631</v>
      </c>
      <c r="B153" s="503">
        <v>11629553</v>
      </c>
      <c r="C153" s="768">
        <v>6</v>
      </c>
      <c r="D153" s="769">
        <f t="shared" si="10"/>
        <v>1.6919938474893571E-2</v>
      </c>
      <c r="E153" s="769">
        <v>2.4761231616139412E-3</v>
      </c>
      <c r="F153" s="770">
        <v>2004</v>
      </c>
      <c r="J153" s="505"/>
      <c r="K153" s="506"/>
    </row>
    <row r="154" spans="1:11" ht="14.5">
      <c r="A154" s="772" t="s">
        <v>531</v>
      </c>
      <c r="B154" s="503">
        <v>54288</v>
      </c>
      <c r="C154" s="768">
        <v>95</v>
      </c>
      <c r="D154" s="769">
        <f t="shared" si="10"/>
        <v>0.18604651093482971</v>
      </c>
      <c r="E154" s="769">
        <v>0.18604651093482971</v>
      </c>
      <c r="F154" s="770">
        <v>1997</v>
      </c>
      <c r="J154" s="505"/>
      <c r="K154" s="506"/>
    </row>
    <row r="155" spans="1:11" ht="14.5">
      <c r="A155" s="766" t="s">
        <v>532</v>
      </c>
      <c r="B155" s="503">
        <v>177206</v>
      </c>
      <c r="C155" s="768">
        <v>98</v>
      </c>
      <c r="D155" s="769">
        <f t="shared" si="10"/>
        <v>6.2068965286016464E-2</v>
      </c>
      <c r="E155" s="769">
        <v>6.2068965286016464E-2</v>
      </c>
      <c r="F155" s="770">
        <v>1999</v>
      </c>
      <c r="J155" s="505"/>
      <c r="K155" s="506"/>
    </row>
    <row r="156" spans="1:11" ht="14.5">
      <c r="A156" s="772" t="s">
        <v>632</v>
      </c>
      <c r="B156" s="503">
        <v>109455</v>
      </c>
      <c r="C156" s="768">
        <v>66.8</v>
      </c>
      <c r="D156" s="769">
        <f t="shared" si="10"/>
        <v>5.1724139600992203E-2</v>
      </c>
      <c r="E156" s="769">
        <v>5.1724139600992203E-2</v>
      </c>
      <c r="F156" s="770">
        <v>1997</v>
      </c>
      <c r="J156" s="505"/>
      <c r="K156" s="504"/>
    </row>
    <row r="157" spans="1:11" ht="14.5">
      <c r="A157" s="766" t="s">
        <v>533</v>
      </c>
      <c r="B157" s="503">
        <v>193759</v>
      </c>
      <c r="C157" s="768">
        <v>93</v>
      </c>
      <c r="D157" s="769">
        <f t="shared" si="10"/>
        <v>0.17543859779834747</v>
      </c>
      <c r="E157" s="769">
        <v>0.17543859779834747</v>
      </c>
      <c r="F157" s="770">
        <v>1999</v>
      </c>
      <c r="J157" s="505"/>
      <c r="K157" s="506"/>
    </row>
    <row r="158" spans="1:11" ht="14.5">
      <c r="A158" s="766" t="s">
        <v>633</v>
      </c>
      <c r="B158" s="503">
        <v>32960</v>
      </c>
      <c r="C158" s="768">
        <v>100</v>
      </c>
      <c r="D158" s="769">
        <f t="shared" si="10"/>
        <v>0.34782609343528748</v>
      </c>
      <c r="E158" s="769">
        <v>0.34782609343528748</v>
      </c>
      <c r="F158" s="770">
        <v>1990</v>
      </c>
    </row>
    <row r="159" spans="1:11" ht="14.5">
      <c r="A159" s="766" t="s">
        <v>634</v>
      </c>
      <c r="B159" s="503">
        <v>195553</v>
      </c>
      <c r="C159" s="768">
        <v>60</v>
      </c>
      <c r="D159" s="769">
        <f t="shared" si="10"/>
        <v>6.6666670143604279E-2</v>
      </c>
      <c r="E159" s="769">
        <v>6.6666670143604279E-2</v>
      </c>
      <c r="F159" s="770">
        <v>2004</v>
      </c>
      <c r="G159" s="36" t="s">
        <v>574</v>
      </c>
    </row>
    <row r="160" spans="1:11" ht="14.5">
      <c r="A160" s="766" t="s">
        <v>534</v>
      </c>
      <c r="B160" s="503">
        <v>31557144</v>
      </c>
      <c r="C160" s="768">
        <v>99</v>
      </c>
      <c r="D160" s="769">
        <f t="shared" si="10"/>
        <v>0.16995063424110413</v>
      </c>
      <c r="E160" s="769">
        <v>0.16995063424110413</v>
      </c>
      <c r="F160" s="770">
        <v>2004</v>
      </c>
      <c r="G160" s="3" t="s">
        <v>574</v>
      </c>
    </row>
    <row r="161" spans="1:7" ht="14.5">
      <c r="A161" s="766" t="s">
        <v>535</v>
      </c>
      <c r="B161" s="503">
        <v>14976994</v>
      </c>
      <c r="C161" s="768">
        <v>42</v>
      </c>
      <c r="D161" s="769">
        <f t="shared" si="10"/>
        <v>1.6919938474893571E-2</v>
      </c>
      <c r="E161" s="769">
        <v>9.3819517642259598E-3</v>
      </c>
      <c r="F161" s="770">
        <v>2004</v>
      </c>
      <c r="G161" s="36"/>
    </row>
    <row r="162" spans="1:7" ht="14.5">
      <c r="A162" s="766" t="s">
        <v>635</v>
      </c>
      <c r="B162" s="503">
        <v>8851280</v>
      </c>
      <c r="C162" s="768">
        <v>100</v>
      </c>
      <c r="D162" s="769">
        <f t="shared" si="10"/>
        <v>0.35994303226470947</v>
      </c>
      <c r="E162" s="769">
        <v>0.35994303226470947</v>
      </c>
      <c r="F162" s="770">
        <v>2002</v>
      </c>
    </row>
    <row r="163" spans="1:7" ht="14.5">
      <c r="A163" s="766" t="s">
        <v>636</v>
      </c>
      <c r="B163" s="503">
        <v>93742</v>
      </c>
      <c r="C163" s="768">
        <v>96</v>
      </c>
      <c r="D163" s="769">
        <f t="shared" si="10"/>
        <v>1.1749999523162842</v>
      </c>
      <c r="E163" s="769">
        <v>1.1749999523162842</v>
      </c>
      <c r="F163" s="770">
        <v>2004</v>
      </c>
    </row>
    <row r="164" spans="1:7" ht="14.5">
      <c r="A164" s="766" t="s">
        <v>637</v>
      </c>
      <c r="B164" s="503">
        <v>7237025</v>
      </c>
      <c r="C164" s="768">
        <v>12.1</v>
      </c>
      <c r="D164" s="769">
        <f t="shared" si="10"/>
        <v>1.6919938474893571E-2</v>
      </c>
      <c r="E164" s="769">
        <v>9.6749223303049803E-4</v>
      </c>
      <c r="F164" s="770">
        <v>2004</v>
      </c>
      <c r="G164" s="36" t="s">
        <v>574</v>
      </c>
    </row>
    <row r="165" spans="1:7" ht="14.5">
      <c r="A165" s="766" t="s">
        <v>638</v>
      </c>
      <c r="B165" s="503">
        <v>5535262</v>
      </c>
      <c r="C165" s="768">
        <v>99.9</v>
      </c>
      <c r="D165" s="769">
        <f t="shared" si="10"/>
        <v>0.26479902863502502</v>
      </c>
      <c r="E165" s="769">
        <v>0.26479902863502502</v>
      </c>
      <c r="F165" s="770">
        <v>2001</v>
      </c>
      <c r="G165" s="36" t="s">
        <v>564</v>
      </c>
    </row>
    <row r="166" spans="1:7" ht="14.5">
      <c r="A166" s="766" t="s">
        <v>536</v>
      </c>
      <c r="B166" s="503">
        <v>5439318</v>
      </c>
      <c r="C166" s="768">
        <v>98</v>
      </c>
      <c r="D166" s="769">
        <v>0.43761569261550903</v>
      </c>
      <c r="E166" s="769">
        <v>0.43761569261550903</v>
      </c>
      <c r="F166" s="770">
        <v>2003</v>
      </c>
      <c r="G166" s="36" t="s">
        <v>564</v>
      </c>
    </row>
    <row r="167" spans="1:7" ht="14.5">
      <c r="A167" s="766" t="s">
        <v>537</v>
      </c>
      <c r="B167" s="503">
        <v>2074788</v>
      </c>
      <c r="C167" s="768">
        <v>99</v>
      </c>
      <c r="D167" s="769">
        <v>0.6037260890007019</v>
      </c>
      <c r="E167" s="769">
        <v>0.6037260890007019</v>
      </c>
      <c r="F167" s="770">
        <v>2002</v>
      </c>
    </row>
    <row r="168" spans="1:7" ht="14.5">
      <c r="A168" s="766" t="s">
        <v>639</v>
      </c>
      <c r="B168" s="503">
        <v>587482</v>
      </c>
      <c r="C168" s="768">
        <v>15.7</v>
      </c>
      <c r="D168" s="769">
        <f>IF(E168&lt;$B$211,$B$211,E168)</f>
        <v>6.1320755630731583E-2</v>
      </c>
      <c r="E168" s="769">
        <v>6.1320755630731583E-2</v>
      </c>
      <c r="F168" s="770">
        <v>1999</v>
      </c>
    </row>
    <row r="169" spans="1:7" ht="14.5">
      <c r="A169" s="772" t="s">
        <v>640</v>
      </c>
      <c r="B169" s="503">
        <v>13908129</v>
      </c>
      <c r="C169" s="768">
        <v>30</v>
      </c>
      <c r="D169" s="769">
        <f>IF(E169&lt;$B$211,$B$211,E169)</f>
        <v>1.6919938474893571E-2</v>
      </c>
      <c r="E169" s="769">
        <v>1.9324916647747159E-3</v>
      </c>
      <c r="F169" s="770">
        <v>1997</v>
      </c>
      <c r="G169" s="36" t="s">
        <v>574</v>
      </c>
    </row>
    <row r="170" spans="1:7" ht="14.5">
      <c r="A170" s="766" t="s">
        <v>538</v>
      </c>
      <c r="B170" s="503">
        <v>55291225</v>
      </c>
      <c r="C170" s="768">
        <v>75</v>
      </c>
      <c r="D170" s="769">
        <f>IF(E170&lt;$B$211,$B$211,E170)</f>
        <v>0.13259167969226837</v>
      </c>
      <c r="E170" s="769">
        <v>0.13259167969226837</v>
      </c>
      <c r="F170" s="770">
        <v>2004</v>
      </c>
      <c r="G170" s="36" t="s">
        <v>564</v>
      </c>
    </row>
    <row r="171" spans="1:7" ht="14.5">
      <c r="A171" s="766" t="s">
        <v>539</v>
      </c>
      <c r="B171" s="503">
        <v>46397664</v>
      </c>
      <c r="C171" s="768">
        <v>100</v>
      </c>
      <c r="D171" s="769">
        <v>0.48721382021903992</v>
      </c>
      <c r="E171" s="769">
        <v>0.48721382021903992</v>
      </c>
      <c r="F171" s="770">
        <v>2003</v>
      </c>
      <c r="G171" s="36" t="s">
        <v>574</v>
      </c>
    </row>
    <row r="172" spans="1:7" ht="14.5">
      <c r="A172" s="766" t="s">
        <v>540</v>
      </c>
      <c r="B172" s="503">
        <v>20714040</v>
      </c>
      <c r="C172" s="768">
        <v>76.599999999999994</v>
      </c>
      <c r="D172" s="769">
        <f>IF(E172&lt;$B$211,$B$211,E172)</f>
        <v>6.4783014357089996E-2</v>
      </c>
      <c r="E172" s="769">
        <v>6.4783014357089996E-2</v>
      </c>
      <c r="F172" s="770">
        <v>2004</v>
      </c>
      <c r="G172" s="36" t="s">
        <v>574</v>
      </c>
    </row>
    <row r="173" spans="1:7" ht="14.5">
      <c r="A173" s="772" t="s">
        <v>541</v>
      </c>
      <c r="B173" s="503">
        <v>38647803</v>
      </c>
      <c r="C173" s="768">
        <v>35.9</v>
      </c>
      <c r="D173" s="769">
        <f>IF(E173&lt;$B$211,$B$211,E173)</f>
        <v>3.1514868140220642E-2</v>
      </c>
      <c r="E173" s="769">
        <v>3.1514868140220642E-2</v>
      </c>
      <c r="F173" s="770">
        <v>2004</v>
      </c>
    </row>
    <row r="174" spans="1:7" ht="14.5">
      <c r="A174" s="766" t="s">
        <v>641</v>
      </c>
      <c r="B174" s="503">
        <v>553208</v>
      </c>
      <c r="C174" s="768">
        <v>84</v>
      </c>
      <c r="D174" s="769">
        <f>IF(E174&lt;$B$211,$B$211,E174)</f>
        <v>1.6919938474893571E-2</v>
      </c>
      <c r="E174" s="769">
        <v>9.4117643311619759E-3</v>
      </c>
      <c r="F174" s="770">
        <v>2000</v>
      </c>
    </row>
    <row r="175" spans="1:7" ht="14.5">
      <c r="A175" s="766" t="s">
        <v>542</v>
      </c>
      <c r="B175" s="503">
        <v>9763565</v>
      </c>
      <c r="C175" s="768">
        <v>100</v>
      </c>
      <c r="D175" s="769">
        <v>0.81989401578903198</v>
      </c>
      <c r="E175" s="769">
        <v>0.81989401578903198</v>
      </c>
      <c r="F175" s="770">
        <v>2002</v>
      </c>
      <c r="G175" s="36" t="s">
        <v>564</v>
      </c>
    </row>
    <row r="176" spans="1:7" ht="14.5">
      <c r="A176" s="766" t="s">
        <v>543</v>
      </c>
      <c r="B176" s="503">
        <v>8319769</v>
      </c>
      <c r="C176" s="768">
        <v>100</v>
      </c>
      <c r="D176" s="769">
        <v>0.50188308954238892</v>
      </c>
      <c r="E176" s="769">
        <v>0.50188308954238892</v>
      </c>
      <c r="F176" s="770">
        <v>2003</v>
      </c>
      <c r="G176" s="36" t="s">
        <v>564</v>
      </c>
    </row>
    <row r="177" spans="1:7" ht="14.5">
      <c r="A177" s="772" t="s">
        <v>544</v>
      </c>
      <c r="B177" s="503">
        <v>18734987</v>
      </c>
      <c r="C177" s="768">
        <v>92.7</v>
      </c>
      <c r="D177" s="769">
        <f t="shared" ref="D177:D187" si="11">IF(E177&lt;$B$211,$B$211,E177)</f>
        <v>0.71935409307479858</v>
      </c>
      <c r="E177" s="769">
        <v>0.71935409307479858</v>
      </c>
      <c r="F177" s="770">
        <v>2001</v>
      </c>
      <c r="G177" s="36" t="s">
        <v>574</v>
      </c>
    </row>
    <row r="178" spans="1:7" ht="14.5">
      <c r="A178" s="772" t="s">
        <v>642</v>
      </c>
      <c r="B178" s="503">
        <v>8548651</v>
      </c>
      <c r="C178" s="768">
        <v>85</v>
      </c>
      <c r="D178" s="769">
        <f t="shared" si="11"/>
        <v>0.15132105350494385</v>
      </c>
      <c r="E178" s="769">
        <v>0.15132105350494385</v>
      </c>
      <c r="F178" s="770">
        <v>2003</v>
      </c>
    </row>
    <row r="179" spans="1:7" ht="14.5">
      <c r="A179" s="766" t="s">
        <v>672</v>
      </c>
      <c r="B179" s="774">
        <v>53879957</v>
      </c>
      <c r="C179" s="768">
        <v>12</v>
      </c>
      <c r="D179" s="769">
        <f t="shared" si="11"/>
        <v>4.1332509368658066E-2</v>
      </c>
      <c r="E179" s="769">
        <f>$E$98</f>
        <v>4.1332509368658066E-2</v>
      </c>
      <c r="F179" s="770"/>
      <c r="G179" s="36"/>
    </row>
    <row r="180" spans="1:7" ht="14.5">
      <c r="A180" s="766" t="s">
        <v>545</v>
      </c>
      <c r="B180" s="503">
        <v>68657600</v>
      </c>
      <c r="C180" s="768">
        <v>99.3</v>
      </c>
      <c r="D180" s="769">
        <f t="shared" si="11"/>
        <v>0.17167007923126221</v>
      </c>
      <c r="E180" s="769">
        <v>0.17167007923126221</v>
      </c>
      <c r="F180" s="770">
        <v>2000</v>
      </c>
      <c r="G180" s="3" t="s">
        <v>574</v>
      </c>
    </row>
    <row r="181" spans="1:7" ht="14.5">
      <c r="A181" s="766" t="s">
        <v>643</v>
      </c>
      <c r="B181" s="503">
        <v>2079308</v>
      </c>
      <c r="C181" s="768">
        <v>97.4</v>
      </c>
      <c r="D181" s="769">
        <f t="shared" si="11"/>
        <v>0.55282557010650635</v>
      </c>
      <c r="E181" s="769">
        <v>0.55282557010650635</v>
      </c>
      <c r="F181" s="770">
        <v>2001</v>
      </c>
    </row>
    <row r="182" spans="1:7" ht="14.5">
      <c r="A182" s="772" t="s">
        <v>546</v>
      </c>
      <c r="B182" s="503">
        <v>1240977</v>
      </c>
      <c r="C182" s="768">
        <v>17</v>
      </c>
      <c r="D182" s="769">
        <f t="shared" si="11"/>
        <v>1.6919938474893571E-2</v>
      </c>
      <c r="E182" s="769">
        <v>1.3158266665413976E-3</v>
      </c>
      <c r="F182" s="770">
        <v>2003</v>
      </c>
      <c r="G182" s="36" t="s">
        <v>574</v>
      </c>
    </row>
    <row r="183" spans="1:7" ht="14.5">
      <c r="A183" s="766" t="s">
        <v>546</v>
      </c>
      <c r="B183" s="503">
        <v>1240977</v>
      </c>
      <c r="C183" s="768">
        <v>22</v>
      </c>
      <c r="D183" s="769">
        <f t="shared" si="11"/>
        <v>5.4878048598766327E-2</v>
      </c>
      <c r="E183" s="769">
        <v>5.4878048598766327E-2</v>
      </c>
      <c r="F183" s="770">
        <v>2004</v>
      </c>
      <c r="G183" s="3" t="s">
        <v>574</v>
      </c>
    </row>
    <row r="184" spans="1:7" ht="14.5">
      <c r="A184" s="766" t="s">
        <v>547</v>
      </c>
      <c r="B184" s="503">
        <v>7416802</v>
      </c>
      <c r="C184" s="768">
        <v>20</v>
      </c>
      <c r="D184" s="769">
        <f t="shared" si="11"/>
        <v>1.6919938474893571E-2</v>
      </c>
      <c r="E184" s="769">
        <v>3.7871238309890032E-3</v>
      </c>
      <c r="F184" s="770">
        <v>2004</v>
      </c>
      <c r="G184" s="3" t="s">
        <v>574</v>
      </c>
    </row>
    <row r="185" spans="1:7" ht="14.5">
      <c r="A185" s="772" t="s">
        <v>548</v>
      </c>
      <c r="B185" s="503">
        <v>106364</v>
      </c>
      <c r="C185" s="768">
        <v>23</v>
      </c>
      <c r="D185" s="769">
        <f t="shared" si="11"/>
        <v>0.32352942228317261</v>
      </c>
      <c r="E185" s="769">
        <v>0.32352942228317261</v>
      </c>
      <c r="F185" s="770">
        <v>2001</v>
      </c>
    </row>
    <row r="186" spans="1:7" ht="14.5">
      <c r="A186" s="766" t="s">
        <v>549</v>
      </c>
      <c r="B186" s="503">
        <v>1360092</v>
      </c>
      <c r="C186" s="768">
        <v>99</v>
      </c>
      <c r="D186" s="769">
        <f t="shared" si="11"/>
        <v>8.3987444639205933E-2</v>
      </c>
      <c r="E186" s="769">
        <v>8.3987444639205933E-2</v>
      </c>
      <c r="F186" s="770">
        <v>1997</v>
      </c>
      <c r="G186" s="3" t="s">
        <v>574</v>
      </c>
    </row>
    <row r="187" spans="1:7" ht="14.5">
      <c r="A187" s="766" t="s">
        <v>550</v>
      </c>
      <c r="B187" s="503">
        <v>11273661</v>
      </c>
      <c r="C187" s="768">
        <v>99.5</v>
      </c>
      <c r="D187" s="769">
        <f t="shared" si="11"/>
        <v>0.24675455689430237</v>
      </c>
      <c r="E187" s="769">
        <v>0.24675455689430237</v>
      </c>
      <c r="F187" s="770">
        <v>2004</v>
      </c>
      <c r="G187" s="3" t="s">
        <v>574</v>
      </c>
    </row>
    <row r="188" spans="1:7" ht="14.5">
      <c r="A188" s="766" t="s">
        <v>644</v>
      </c>
      <c r="B188" s="503">
        <v>78271472</v>
      </c>
      <c r="C188" s="768">
        <v>99.9</v>
      </c>
      <c r="D188" s="769">
        <v>0.2411496639251709</v>
      </c>
      <c r="E188" s="769">
        <v>0.2411496639251709</v>
      </c>
      <c r="F188" s="770">
        <v>2003</v>
      </c>
      <c r="G188" s="36" t="s">
        <v>564</v>
      </c>
    </row>
    <row r="189" spans="1:7" ht="14.5">
      <c r="A189" s="772" t="s">
        <v>645</v>
      </c>
      <c r="B189" s="503">
        <v>5565284</v>
      </c>
      <c r="C189" s="768">
        <v>100</v>
      </c>
      <c r="D189" s="769">
        <f>IF(E189&lt;$B$211,$B$211,E189)</f>
        <v>0.18272840976715088</v>
      </c>
      <c r="E189" s="769">
        <v>0.18272840976715088</v>
      </c>
      <c r="F189" s="770">
        <v>2002</v>
      </c>
    </row>
    <row r="190" spans="1:7" ht="14.5">
      <c r="A190" s="772" t="s">
        <v>646</v>
      </c>
      <c r="B190" s="503">
        <v>11001</v>
      </c>
      <c r="C190" s="768">
        <v>92</v>
      </c>
      <c r="D190" s="769">
        <f>IF(E190&lt;$B$211,$B$211,E190)</f>
        <v>0.18181818723678589</v>
      </c>
      <c r="E190" s="769">
        <v>0.18181818723678589</v>
      </c>
      <c r="F190" s="770">
        <v>2002</v>
      </c>
    </row>
    <row r="191" spans="1:7" ht="14.5">
      <c r="A191" s="772" t="s">
        <v>551</v>
      </c>
      <c r="B191" s="503">
        <v>40144870</v>
      </c>
      <c r="C191" s="768">
        <v>9</v>
      </c>
      <c r="D191" s="769">
        <f>IF(E191&lt;$B$211,$B$211,E191)</f>
        <v>1.6919938474893571E-2</v>
      </c>
      <c r="E191" s="769">
        <v>1.3596015051007271E-2</v>
      </c>
      <c r="F191" s="770">
        <v>2004</v>
      </c>
      <c r="G191" s="3" t="s">
        <v>574</v>
      </c>
    </row>
    <row r="192" spans="1:7" ht="14.5">
      <c r="A192" s="766" t="s">
        <v>552</v>
      </c>
      <c r="B192" s="503">
        <v>44657704</v>
      </c>
      <c r="C192" s="768">
        <v>100</v>
      </c>
      <c r="D192" s="769">
        <f>IF(E192&lt;$B$211,$B$211,E192)</f>
        <v>0.39886239171028137</v>
      </c>
      <c r="E192" s="769">
        <v>0.39886239171028137</v>
      </c>
      <c r="F192" s="770">
        <v>2003</v>
      </c>
    </row>
    <row r="193" spans="1:7" ht="14.5">
      <c r="A193" s="772" t="s">
        <v>553</v>
      </c>
      <c r="B193" s="503">
        <v>9154302</v>
      </c>
      <c r="C193" s="768">
        <v>100</v>
      </c>
      <c r="D193" s="769">
        <f>IF(E193&lt;$B$211,$B$211,E193)</f>
        <v>0.33136504888534546</v>
      </c>
      <c r="E193" s="769">
        <v>0.33136504888534546</v>
      </c>
      <c r="F193" s="770">
        <v>2001</v>
      </c>
      <c r="G193" s="36"/>
    </row>
    <row r="194" spans="1:7" ht="14.5">
      <c r="A194" s="766" t="s">
        <v>554</v>
      </c>
      <c r="B194" s="503">
        <v>65397080</v>
      </c>
      <c r="C194" s="768">
        <v>100</v>
      </c>
      <c r="D194" s="769">
        <v>1.0108957290649414</v>
      </c>
      <c r="E194" s="769">
        <v>1.0108957290649414</v>
      </c>
      <c r="F194" s="770">
        <v>1997</v>
      </c>
      <c r="G194" s="36" t="s">
        <v>564</v>
      </c>
    </row>
    <row r="195" spans="1:7" ht="14.5">
      <c r="A195" s="772" t="s">
        <v>555</v>
      </c>
      <c r="B195" s="503">
        <v>53879957</v>
      </c>
      <c r="C195" s="768">
        <v>13.9</v>
      </c>
      <c r="D195" s="769">
        <f>IF(E195&lt;$B$211,$B$211,E195)</f>
        <v>1.6919938474893571E-2</v>
      </c>
      <c r="E195" s="769">
        <v>7.3602381162345409E-3</v>
      </c>
      <c r="F195" s="770">
        <v>2002</v>
      </c>
      <c r="G195" s="3" t="s">
        <v>574</v>
      </c>
    </row>
    <row r="196" spans="1:7" ht="14.5">
      <c r="A196" s="766" t="s">
        <v>556</v>
      </c>
      <c r="B196" s="503">
        <v>319929162</v>
      </c>
      <c r="C196" s="768">
        <v>100</v>
      </c>
      <c r="D196" s="769">
        <v>1.6268706321716309</v>
      </c>
      <c r="E196" s="769">
        <v>1.6268706321716309</v>
      </c>
      <c r="F196" s="770">
        <v>2000</v>
      </c>
      <c r="G196" s="36" t="s">
        <v>564</v>
      </c>
    </row>
    <row r="197" spans="1:7" ht="14.5">
      <c r="A197" s="766" t="s">
        <v>557</v>
      </c>
      <c r="B197" s="503">
        <v>3431552</v>
      </c>
      <c r="C197" s="768">
        <v>98.3</v>
      </c>
      <c r="D197" s="769">
        <f t="shared" ref="D197:D204" si="12">IF(E197&lt;$B$211,$B$211,E197)</f>
        <v>1.1607195138931274</v>
      </c>
      <c r="E197" s="769">
        <v>1.1607195138931274</v>
      </c>
      <c r="F197" s="770">
        <v>2002</v>
      </c>
      <c r="G197" s="36" t="s">
        <v>574</v>
      </c>
    </row>
    <row r="198" spans="1:7" ht="14.5">
      <c r="A198" s="772" t="s">
        <v>558</v>
      </c>
      <c r="B198" s="503">
        <v>30976021</v>
      </c>
      <c r="C198" s="768">
        <v>100</v>
      </c>
      <c r="D198" s="769">
        <f t="shared" si="12"/>
        <v>0.13819798827171326</v>
      </c>
      <c r="E198" s="769">
        <v>0.13819798827171326</v>
      </c>
      <c r="F198" s="770">
        <v>2003</v>
      </c>
    </row>
    <row r="199" spans="1:7" ht="14.5">
      <c r="A199" s="772" t="s">
        <v>677</v>
      </c>
      <c r="B199" s="503">
        <v>264603</v>
      </c>
      <c r="C199" s="768">
        <v>27</v>
      </c>
      <c r="D199" s="769">
        <f t="shared" si="12"/>
        <v>0.13084112107753754</v>
      </c>
      <c r="E199" s="769">
        <f>$E$120</f>
        <v>0.13084112107753754</v>
      </c>
      <c r="F199" s="767"/>
    </row>
    <row r="200" spans="1:7" ht="14.5">
      <c r="A200" s="766" t="s">
        <v>559</v>
      </c>
      <c r="B200" s="503">
        <v>31155134</v>
      </c>
      <c r="C200" s="768">
        <v>99</v>
      </c>
      <c r="D200" s="769">
        <f t="shared" si="12"/>
        <v>0.55268263816833496</v>
      </c>
      <c r="E200" s="769">
        <v>0.55268263816833496</v>
      </c>
      <c r="F200" s="770">
        <v>2001</v>
      </c>
      <c r="G200" s="3" t="s">
        <v>574</v>
      </c>
    </row>
    <row r="201" spans="1:7" ht="14.5">
      <c r="A201" s="766" t="s">
        <v>567</v>
      </c>
      <c r="B201" s="503">
        <v>93571567</v>
      </c>
      <c r="C201" s="768">
        <v>97.6</v>
      </c>
      <c r="D201" s="769">
        <f t="shared" si="12"/>
        <v>2.8360994532704353E-2</v>
      </c>
      <c r="E201" s="769">
        <f>($E$37+$E$102)/2</f>
        <v>2.8360994532704353E-2</v>
      </c>
      <c r="F201" s="767"/>
      <c r="G201" s="3" t="s">
        <v>574</v>
      </c>
    </row>
    <row r="202" spans="1:7" ht="14.5">
      <c r="A202" s="766" t="s">
        <v>560</v>
      </c>
      <c r="B202" s="503">
        <v>26916207</v>
      </c>
      <c r="C202" s="768">
        <v>39.6</v>
      </c>
      <c r="D202" s="769">
        <f t="shared" si="12"/>
        <v>4.0997441858053207E-2</v>
      </c>
      <c r="E202" s="769">
        <v>4.0997441858053207E-2</v>
      </c>
      <c r="F202" s="770">
        <v>2004</v>
      </c>
      <c r="G202" s="3" t="s">
        <v>574</v>
      </c>
    </row>
    <row r="203" spans="1:7" ht="14.5">
      <c r="A203" s="766" t="s">
        <v>561</v>
      </c>
      <c r="B203" s="503">
        <v>16100587</v>
      </c>
      <c r="C203" s="768">
        <v>18.8</v>
      </c>
      <c r="D203" s="769">
        <f t="shared" si="12"/>
        <v>4.4946905225515366E-2</v>
      </c>
      <c r="E203" s="769">
        <v>4.4946905225515366E-2</v>
      </c>
      <c r="F203" s="770">
        <v>2004</v>
      </c>
      <c r="G203" s="3" t="s">
        <v>574</v>
      </c>
    </row>
    <row r="204" spans="1:7" ht="14.5">
      <c r="A204" s="772" t="s">
        <v>562</v>
      </c>
      <c r="B204" s="516">
        <v>15777451</v>
      </c>
      <c r="C204" s="768">
        <v>41.5</v>
      </c>
      <c r="D204" s="769">
        <f t="shared" si="12"/>
        <v>2.3971542716026306E-2</v>
      </c>
      <c r="E204" s="769">
        <v>2.3971542716026306E-2</v>
      </c>
      <c r="F204" s="770">
        <v>2004</v>
      </c>
      <c r="G204" s="3" t="s">
        <v>574</v>
      </c>
    </row>
    <row r="205" spans="1:7">
      <c r="A205" s="767" t="s">
        <v>566</v>
      </c>
      <c r="B205" s="767"/>
      <c r="C205" s="770">
        <v>100</v>
      </c>
      <c r="D205" s="769">
        <f>B209</f>
        <v>0.73578588050954485</v>
      </c>
      <c r="E205" s="769"/>
      <c r="F205" s="770"/>
    </row>
    <row r="206" spans="1:7">
      <c r="A206" s="767" t="s">
        <v>565</v>
      </c>
      <c r="B206" s="767"/>
      <c r="C206" s="770">
        <f>B212</f>
        <v>68</v>
      </c>
      <c r="D206" s="775">
        <f>B210</f>
        <v>0.23139013240813858</v>
      </c>
      <c r="E206" s="769"/>
      <c r="F206" s="770"/>
    </row>
    <row r="207" spans="1:7">
      <c r="A207" s="231"/>
      <c r="B207" s="231"/>
      <c r="C207" s="776"/>
      <c r="D207" s="777"/>
      <c r="E207" s="777"/>
      <c r="F207" s="778"/>
    </row>
    <row r="208" spans="1:7" ht="13">
      <c r="A208" s="508" t="s">
        <v>680</v>
      </c>
      <c r="B208" s="510"/>
      <c r="C208" s="776"/>
      <c r="D208" s="777"/>
      <c r="E208" s="777"/>
      <c r="F208" s="778"/>
    </row>
    <row r="209" spans="1:6" ht="25">
      <c r="A209" s="779" t="s">
        <v>568</v>
      </c>
      <c r="B209" s="501">
        <v>0.73578588050954485</v>
      </c>
      <c r="C209" s="776"/>
      <c r="D209" s="777"/>
      <c r="E209" s="777"/>
      <c r="F209" s="778"/>
    </row>
    <row r="210" spans="1:6" ht="25">
      <c r="A210" s="507" t="s">
        <v>573</v>
      </c>
      <c r="B210" s="501">
        <v>0.23139013240813858</v>
      </c>
      <c r="C210" s="776"/>
      <c r="D210" s="777"/>
      <c r="E210" s="777"/>
      <c r="F210" s="778"/>
    </row>
    <row r="211" spans="1:6">
      <c r="A211" s="507" t="s">
        <v>569</v>
      </c>
      <c r="B211" s="501">
        <v>1.6919938474893571E-2</v>
      </c>
      <c r="C211" s="776"/>
      <c r="D211" s="777"/>
      <c r="E211" s="777"/>
      <c r="F211" s="778"/>
    </row>
    <row r="212" spans="1:6" ht="25">
      <c r="A212" s="507" t="s">
        <v>671</v>
      </c>
      <c r="B212" s="520">
        <v>68</v>
      </c>
      <c r="C212" s="776"/>
      <c r="D212" s="777"/>
      <c r="E212" s="777"/>
      <c r="F212" s="778"/>
    </row>
    <row r="213" spans="1:6">
      <c r="A213" s="780"/>
      <c r="B213" s="231"/>
      <c r="C213" s="231"/>
    </row>
    <row r="214" spans="1:6">
      <c r="A214" s="780" t="s">
        <v>56</v>
      </c>
      <c r="C214" s="231"/>
    </row>
    <row r="215" spans="1:6">
      <c r="A215" s="780" t="s">
        <v>647</v>
      </c>
      <c r="B215" s="231"/>
      <c r="C215" s="231"/>
    </row>
    <row r="216" spans="1:6">
      <c r="A216" s="780" t="s">
        <v>563</v>
      </c>
      <c r="B216" s="231"/>
      <c r="C216" s="231"/>
    </row>
    <row r="217" spans="1:6">
      <c r="A217" s="780" t="s">
        <v>572</v>
      </c>
      <c r="B217" s="231"/>
      <c r="C217" s="231"/>
    </row>
    <row r="218" spans="1:6">
      <c r="A218" s="515" t="s">
        <v>648</v>
      </c>
      <c r="C218" s="231"/>
    </row>
    <row r="219" spans="1:6">
      <c r="A219" s="780" t="s">
        <v>649</v>
      </c>
      <c r="C219" s="231"/>
    </row>
    <row r="220" spans="1:6">
      <c r="A220" s="515" t="s">
        <v>650</v>
      </c>
      <c r="C220" s="231"/>
    </row>
    <row r="221" spans="1:6">
      <c r="A221" s="780" t="s">
        <v>1164</v>
      </c>
      <c r="C221" s="231"/>
    </row>
    <row r="222" spans="1:6">
      <c r="A222" s="515" t="s">
        <v>1165</v>
      </c>
      <c r="C222" s="231"/>
    </row>
    <row r="223" spans="1:6">
      <c r="A223" s="780" t="s">
        <v>570</v>
      </c>
      <c r="C223" s="231"/>
    </row>
    <row r="224" spans="1:6">
      <c r="A224" s="780" t="s">
        <v>651</v>
      </c>
      <c r="C224" s="231"/>
    </row>
    <row r="225" spans="1:3">
      <c r="A225" s="515" t="s">
        <v>652</v>
      </c>
      <c r="C225" s="231"/>
    </row>
    <row r="226" spans="1:3">
      <c r="A226" s="780" t="s">
        <v>653</v>
      </c>
      <c r="C226" s="231"/>
    </row>
    <row r="227" spans="1:3">
      <c r="A227" s="515" t="s">
        <v>654</v>
      </c>
      <c r="C227" s="231"/>
    </row>
    <row r="228" spans="1:3">
      <c r="A228" s="780" t="s">
        <v>655</v>
      </c>
      <c r="C228" s="231"/>
    </row>
    <row r="229" spans="1:3">
      <c r="A229" s="780" t="s">
        <v>656</v>
      </c>
      <c r="C229" s="231"/>
    </row>
    <row r="230" spans="1:3">
      <c r="A230" s="515" t="s">
        <v>657</v>
      </c>
      <c r="C230" s="231"/>
    </row>
    <row r="231" spans="1:3">
      <c r="A231" s="780" t="s">
        <v>658</v>
      </c>
      <c r="C231" s="231"/>
    </row>
    <row r="232" spans="1:3">
      <c r="A232" s="515" t="s">
        <v>659</v>
      </c>
      <c r="C232" s="231"/>
    </row>
    <row r="233" spans="1:3">
      <c r="A233" s="780" t="s">
        <v>664</v>
      </c>
      <c r="C233" s="231"/>
    </row>
    <row r="234" spans="1:3">
      <c r="A234" s="780" t="s">
        <v>666</v>
      </c>
      <c r="C234" s="231"/>
    </row>
    <row r="235" spans="1:3">
      <c r="A235" s="780" t="s">
        <v>669</v>
      </c>
      <c r="C235" s="231"/>
    </row>
    <row r="236" spans="1:3">
      <c r="A236" s="780" t="s">
        <v>673</v>
      </c>
      <c r="C236" s="231"/>
    </row>
    <row r="237" spans="1:3">
      <c r="A237" s="780" t="s">
        <v>676</v>
      </c>
      <c r="C237" s="231"/>
    </row>
  </sheetData>
  <sheetProtection algorithmName="SHA-512" hashValue="Q1EoIvVericR60ue9rb2NKuFFQpFXuTg0Z0MwiENtOZBSiloLmF9piyvV8nlIPNTggcKBYXVyBel6ICdFIC8gA==" saltValue="9RkkSIMy0H++dhc19MhBFQ==" spinCount="100000" sheet="1" objects="1" scenarios="1"/>
  <hyperlinks>
    <hyperlink ref="A227" r:id="rId1" location="!display=line&amp;ds=1459!g6f=6.12.15.n.g" display="http://datamarket.com/data/set/1459/household-electrification-rate-of-households - !display=line&amp;ds=1459!g6f=6.12.15.n.g" xr:uid="{25B8156D-F55F-AC49-989E-759DD4AD2F18}"/>
    <hyperlink ref="A225" r:id="rId2" xr:uid="{8F502869-8C90-314B-A5F3-6050186C7173}"/>
    <hyperlink ref="A230" r:id="rId3" xr:uid="{AEB346A0-F55B-584B-A0CA-5F2C908C2805}"/>
    <hyperlink ref="A232" r:id="rId4" xr:uid="{0AE0458F-63CF-BF40-9996-EDFF7D48F67E}"/>
    <hyperlink ref="A220" r:id="rId5" xr:uid="{BA2BEA05-A5E4-9C4A-86D7-AE8E310D6BC3}"/>
    <hyperlink ref="A218" r:id="rId6" xr:uid="{68179AAF-07F4-EC41-A06D-8951A61946D0}"/>
    <hyperlink ref="A222" r:id="rId7" xr:uid="{E7639B0A-2761-E24E-99B3-E68396211B25}"/>
  </hyperlinks>
  <pageMargins left="0.7" right="0.7" top="0.75" bottom="0.75" header="0.3" footer="0.3"/>
  <pageSetup paperSize="9" orientation="portrait" r:id="rId8"/>
  <legacyDrawing r:id="rId9"/>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dimension ref="A1:AB81"/>
  <sheetViews>
    <sheetView zoomScale="90" zoomScaleNormal="90" workbookViewId="0">
      <selection activeCell="E28" sqref="E28"/>
    </sheetView>
  </sheetViews>
  <sheetFormatPr defaultColWidth="8.81640625" defaultRowHeight="12.5"/>
  <cols>
    <col min="1" max="1" width="3.453125" customWidth="1"/>
    <col min="2" max="2" width="5.1796875" customWidth="1"/>
    <col min="3" max="3" width="25.81640625" customWidth="1"/>
    <col min="4" max="4" width="7.453125" customWidth="1"/>
    <col min="5" max="5" width="10.36328125" customWidth="1"/>
    <col min="6" max="6" width="16.36328125" customWidth="1"/>
    <col min="7" max="7" width="10.1796875" customWidth="1"/>
    <col min="8" max="8" width="19.36328125" customWidth="1"/>
    <col min="9" max="9" width="18.36328125" style="240" customWidth="1"/>
    <col min="10" max="10" width="25.36328125" customWidth="1"/>
    <col min="11" max="11" width="10.36328125" bestFit="1" customWidth="1"/>
    <col min="13" max="13" width="27.453125" style="13" customWidth="1"/>
    <col min="14" max="14" width="9.1796875" style="240"/>
    <col min="21" max="21" width="16.453125" customWidth="1"/>
    <col min="26" max="26" width="12.81640625" customWidth="1"/>
    <col min="27" max="27" width="17" customWidth="1"/>
    <col min="28" max="28" width="63.453125" customWidth="1"/>
  </cols>
  <sheetData>
    <row r="1" spans="1:28" ht="18">
      <c r="A1" s="1" t="s">
        <v>733</v>
      </c>
      <c r="I1" s="231"/>
      <c r="N1" s="231"/>
      <c r="V1" s="3"/>
      <c r="W1" s="3"/>
      <c r="X1" s="3"/>
      <c r="Y1" s="3"/>
      <c r="Z1" s="3"/>
      <c r="AA1" s="3"/>
    </row>
    <row r="2" spans="1:28" ht="14">
      <c r="A2" s="54" t="s">
        <v>313</v>
      </c>
      <c r="I2" s="231"/>
      <c r="L2" s="48"/>
      <c r="M2" s="48"/>
      <c r="N2" s="231"/>
    </row>
    <row r="3" spans="1:28" s="5" customFormat="1" ht="13">
      <c r="D3" s="7"/>
      <c r="E3" s="7"/>
      <c r="F3" s="7"/>
      <c r="G3" s="7"/>
      <c r="H3" s="7"/>
      <c r="I3" s="255"/>
      <c r="J3" s="7"/>
      <c r="K3" s="7"/>
      <c r="L3" s="30"/>
      <c r="M3" s="30"/>
      <c r="N3" s="255"/>
      <c r="O3" s="7"/>
      <c r="P3" s="65" t="s">
        <v>55</v>
      </c>
      <c r="Q3" s="65"/>
      <c r="R3" s="65"/>
      <c r="S3" s="65"/>
      <c r="T3" s="65"/>
      <c r="U3" s="65"/>
      <c r="V3" s="10" t="s">
        <v>54</v>
      </c>
      <c r="W3" s="103"/>
      <c r="X3" s="103"/>
      <c r="Y3" s="103"/>
      <c r="Z3" s="103"/>
      <c r="AA3" s="103"/>
      <c r="AB3" s="65"/>
    </row>
    <row r="4" spans="1:28" s="144" customFormat="1" ht="39">
      <c r="A4" s="144" t="s">
        <v>52</v>
      </c>
      <c r="B4" s="144" t="s">
        <v>50</v>
      </c>
      <c r="C4" s="134" t="s">
        <v>59</v>
      </c>
      <c r="D4" s="112" t="s">
        <v>153</v>
      </c>
      <c r="E4" s="134" t="s">
        <v>49</v>
      </c>
      <c r="F4" s="143" t="s">
        <v>35</v>
      </c>
      <c r="G4" s="112" t="s">
        <v>37</v>
      </c>
      <c r="H4" s="143" t="s">
        <v>35</v>
      </c>
      <c r="I4" s="245" t="s">
        <v>51</v>
      </c>
      <c r="J4" s="144" t="s">
        <v>35</v>
      </c>
      <c r="K4" s="84" t="s">
        <v>61</v>
      </c>
      <c r="L4" s="143" t="s">
        <v>35</v>
      </c>
      <c r="M4" s="146" t="s">
        <v>57</v>
      </c>
      <c r="N4" s="245" t="s">
        <v>92</v>
      </c>
      <c r="O4" s="143" t="s">
        <v>35</v>
      </c>
      <c r="P4" s="111" t="s">
        <v>38</v>
      </c>
      <c r="Q4" s="111" t="s">
        <v>39</v>
      </c>
      <c r="R4" s="111" t="s">
        <v>40</v>
      </c>
      <c r="S4" s="111" t="s">
        <v>372</v>
      </c>
      <c r="T4" s="112" t="s">
        <v>42</v>
      </c>
      <c r="U4" s="112" t="s">
        <v>228</v>
      </c>
      <c r="V4" s="56" t="s">
        <v>38</v>
      </c>
      <c r="W4" s="56" t="s">
        <v>39</v>
      </c>
      <c r="X4" s="56" t="s">
        <v>40</v>
      </c>
      <c r="Y4" s="56" t="s">
        <v>391</v>
      </c>
      <c r="Z4" s="57" t="s">
        <v>42</v>
      </c>
      <c r="AA4" s="57" t="s">
        <v>228</v>
      </c>
      <c r="AB4" s="111" t="s">
        <v>87</v>
      </c>
    </row>
    <row r="5" spans="1:28" s="129" customFormat="1" ht="39">
      <c r="A5" s="129" t="s">
        <v>88</v>
      </c>
      <c r="C5" s="134" t="s">
        <v>213</v>
      </c>
      <c r="D5" s="111"/>
      <c r="F5" s="128"/>
      <c r="G5" s="76"/>
      <c r="H5" s="128"/>
      <c r="I5" s="332"/>
      <c r="K5" s="113"/>
      <c r="L5" s="128"/>
      <c r="M5" s="135"/>
      <c r="N5" s="247"/>
      <c r="O5" s="128"/>
      <c r="P5" s="76"/>
      <c r="Q5" s="76"/>
      <c r="R5" s="76"/>
      <c r="S5" s="76"/>
      <c r="T5" s="76"/>
      <c r="U5" s="76"/>
      <c r="V5" s="58"/>
      <c r="W5" s="58"/>
      <c r="X5" s="58"/>
      <c r="Y5" s="58"/>
      <c r="Z5" s="58"/>
      <c r="AA5" s="58"/>
      <c r="AB5" s="76"/>
    </row>
    <row r="6" spans="1:28" ht="13">
      <c r="B6" t="s">
        <v>89</v>
      </c>
      <c r="C6" s="12" t="s">
        <v>90</v>
      </c>
      <c r="D6" s="111"/>
      <c r="G6" s="76"/>
      <c r="I6" s="332"/>
      <c r="K6" s="114"/>
      <c r="L6" s="3"/>
      <c r="M6" s="14"/>
      <c r="N6" s="247"/>
      <c r="O6" s="3"/>
      <c r="P6" s="283"/>
      <c r="Q6" s="283"/>
      <c r="R6" s="283"/>
      <c r="S6" s="283"/>
      <c r="T6" s="283"/>
      <c r="U6" s="283"/>
      <c r="V6" s="114">
        <f t="shared" ref="V6:AA6" si="0">SUM(V7:V17)</f>
        <v>0</v>
      </c>
      <c r="W6" s="114">
        <f t="shared" si="0"/>
        <v>0</v>
      </c>
      <c r="X6" s="114">
        <f t="shared" si="0"/>
        <v>0</v>
      </c>
      <c r="Y6" s="114">
        <f t="shared" si="0"/>
        <v>0</v>
      </c>
      <c r="Z6" s="114">
        <f t="shared" si="0"/>
        <v>0</v>
      </c>
      <c r="AA6" s="114">
        <f t="shared" si="0"/>
        <v>0</v>
      </c>
      <c r="AB6" s="76"/>
    </row>
    <row r="7" spans="1:28" ht="13">
      <c r="C7" s="12" t="s">
        <v>352</v>
      </c>
      <c r="D7" s="111"/>
      <c r="E7" s="6"/>
      <c r="F7" s="3"/>
      <c r="G7" s="76">
        <v>1</v>
      </c>
      <c r="H7" s="3"/>
      <c r="I7" s="333">
        <f>'Paso 4-Uso industrial de Hg'!C10</f>
        <v>0</v>
      </c>
      <c r="J7" s="8" t="s">
        <v>387</v>
      </c>
      <c r="K7" s="168">
        <f>I7*G7</f>
        <v>0</v>
      </c>
      <c r="L7" s="3" t="s">
        <v>36</v>
      </c>
      <c r="M7" s="14" t="s">
        <v>352</v>
      </c>
      <c r="N7" s="248">
        <f>K7</f>
        <v>0</v>
      </c>
      <c r="O7" s="3" t="s">
        <v>36</v>
      </c>
      <c r="P7" s="296">
        <v>0.01</v>
      </c>
      <c r="Q7" s="296">
        <v>5.0000000000000001E-3</v>
      </c>
      <c r="R7" s="296">
        <v>0.1</v>
      </c>
      <c r="S7" s="296"/>
      <c r="T7" s="296">
        <v>0.1</v>
      </c>
      <c r="U7" s="296">
        <v>0.01</v>
      </c>
      <c r="V7" s="116">
        <f t="shared" ref="V7:AA7" si="1">$N7*P7</f>
        <v>0</v>
      </c>
      <c r="W7" s="116">
        <f t="shared" si="1"/>
        <v>0</v>
      </c>
      <c r="X7" s="116">
        <f t="shared" si="1"/>
        <v>0</v>
      </c>
      <c r="Y7" s="116">
        <f t="shared" si="1"/>
        <v>0</v>
      </c>
      <c r="Z7" s="116">
        <f>$N7*T7</f>
        <v>0</v>
      </c>
      <c r="AA7" s="116">
        <f t="shared" si="1"/>
        <v>0</v>
      </c>
      <c r="AB7" s="76"/>
    </row>
    <row r="8" spans="1:28" ht="13">
      <c r="C8" s="53" t="s">
        <v>93</v>
      </c>
      <c r="D8" s="76"/>
      <c r="E8" s="6" t="s">
        <v>106</v>
      </c>
      <c r="F8" s="3" t="s">
        <v>110</v>
      </c>
      <c r="G8" s="76">
        <v>1</v>
      </c>
      <c r="H8" s="3" t="s">
        <v>110</v>
      </c>
      <c r="I8" s="248"/>
      <c r="J8" t="s">
        <v>111</v>
      </c>
      <c r="K8" s="115">
        <f>G8*I8/1000</f>
        <v>0</v>
      </c>
      <c r="L8" s="3" t="s">
        <v>36</v>
      </c>
      <c r="M8" s="15"/>
      <c r="N8" s="248"/>
      <c r="O8" s="3"/>
      <c r="P8" s="296"/>
      <c r="Q8" s="296"/>
      <c r="R8" s="296"/>
      <c r="S8" s="296"/>
      <c r="T8" s="296"/>
      <c r="U8" s="296"/>
      <c r="V8" s="116"/>
      <c r="W8" s="116"/>
      <c r="X8" s="116"/>
      <c r="Y8" s="116"/>
      <c r="Z8" s="116"/>
      <c r="AA8" s="116"/>
      <c r="AB8" s="76"/>
    </row>
    <row r="9" spans="1:28" ht="13">
      <c r="C9" s="53" t="s">
        <v>94</v>
      </c>
      <c r="D9" s="76"/>
      <c r="E9" s="6" t="s">
        <v>108</v>
      </c>
      <c r="F9" s="3" t="s">
        <v>110</v>
      </c>
      <c r="G9" s="76">
        <v>3.5</v>
      </c>
      <c r="H9" s="3" t="s">
        <v>110</v>
      </c>
      <c r="I9" s="248"/>
      <c r="J9" t="s">
        <v>111</v>
      </c>
      <c r="K9" s="115">
        <f>G9*I9/1000</f>
        <v>0</v>
      </c>
      <c r="L9" s="3" t="s">
        <v>36</v>
      </c>
      <c r="M9" s="15"/>
      <c r="N9" s="248"/>
      <c r="O9" s="3"/>
      <c r="P9" s="296"/>
      <c r="Q9" s="296"/>
      <c r="R9" s="296"/>
      <c r="S9" s="296"/>
      <c r="T9" s="296"/>
      <c r="U9" s="296"/>
      <c r="V9" s="116"/>
      <c r="W9" s="116"/>
      <c r="X9" s="116"/>
      <c r="Y9" s="116"/>
      <c r="Z9" s="116"/>
      <c r="AA9" s="116"/>
      <c r="AB9" s="76"/>
    </row>
    <row r="10" spans="1:28" ht="13">
      <c r="C10" s="53" t="s">
        <v>95</v>
      </c>
      <c r="D10" s="76"/>
      <c r="E10" s="6" t="s">
        <v>107</v>
      </c>
      <c r="F10" s="3" t="s">
        <v>110</v>
      </c>
      <c r="G10" s="76">
        <v>103</v>
      </c>
      <c r="H10" s="3" t="s">
        <v>110</v>
      </c>
      <c r="I10" s="248"/>
      <c r="J10" t="s">
        <v>111</v>
      </c>
      <c r="K10" s="115">
        <f>G10*I10/1000</f>
        <v>0</v>
      </c>
      <c r="L10" s="3" t="s">
        <v>36</v>
      </c>
      <c r="M10" s="15"/>
      <c r="N10" s="248"/>
      <c r="O10" s="3"/>
      <c r="P10" s="296"/>
      <c r="Q10" s="296"/>
      <c r="R10" s="296"/>
      <c r="S10" s="296"/>
      <c r="T10" s="296"/>
      <c r="U10" s="296"/>
      <c r="V10" s="116"/>
      <c r="W10" s="116"/>
      <c r="X10" s="116"/>
      <c r="Y10" s="116"/>
      <c r="Z10" s="116"/>
      <c r="AA10" s="116"/>
      <c r="AB10" s="76"/>
    </row>
    <row r="11" spans="1:28" ht="13">
      <c r="C11" s="53" t="s">
        <v>96</v>
      </c>
      <c r="D11" s="76"/>
      <c r="E11" s="6" t="s">
        <v>109</v>
      </c>
      <c r="F11" s="3" t="s">
        <v>110</v>
      </c>
      <c r="G11" s="76">
        <v>20.5</v>
      </c>
      <c r="H11" s="3" t="s">
        <v>110</v>
      </c>
      <c r="I11" s="248"/>
      <c r="J11" t="s">
        <v>111</v>
      </c>
      <c r="K11" s="115">
        <f>G11*I11/1000</f>
        <v>0</v>
      </c>
      <c r="L11" s="3" t="s">
        <v>36</v>
      </c>
      <c r="N11" s="248"/>
      <c r="O11" s="3"/>
      <c r="P11" s="296"/>
      <c r="Q11" s="296"/>
      <c r="R11" s="296"/>
      <c r="S11" s="296"/>
      <c r="T11" s="296"/>
      <c r="U11" s="296"/>
      <c r="V11" s="116"/>
      <c r="W11" s="116"/>
      <c r="X11" s="116"/>
      <c r="Y11" s="116"/>
      <c r="Z11" s="116"/>
      <c r="AA11" s="116"/>
      <c r="AB11" s="76"/>
    </row>
    <row r="12" spans="1:28" ht="13">
      <c r="C12" s="67" t="s">
        <v>100</v>
      </c>
      <c r="D12" s="111"/>
      <c r="E12" s="6"/>
      <c r="F12" s="3"/>
      <c r="G12" s="76"/>
      <c r="H12" s="3"/>
      <c r="I12" s="248"/>
      <c r="J12" s="307" t="s">
        <v>390</v>
      </c>
      <c r="K12" s="168">
        <f>SUM(K13:K16)</f>
        <v>0</v>
      </c>
      <c r="L12" s="3" t="s">
        <v>36</v>
      </c>
      <c r="M12" s="16" t="s">
        <v>100</v>
      </c>
      <c r="N12" s="248"/>
      <c r="O12" s="3" t="s">
        <v>36</v>
      </c>
      <c r="P12" s="296"/>
      <c r="Q12" s="296"/>
      <c r="R12" s="296"/>
      <c r="S12" s="296"/>
      <c r="T12" s="296"/>
      <c r="U12" s="297"/>
      <c r="V12" s="116"/>
      <c r="W12" s="116"/>
      <c r="X12" s="116"/>
      <c r="Y12" s="116"/>
      <c r="Z12" s="116"/>
      <c r="AA12" s="116"/>
      <c r="AB12" s="76"/>
    </row>
    <row r="13" spans="1:28" ht="26">
      <c r="C13" s="53" t="s">
        <v>93</v>
      </c>
      <c r="D13" s="76"/>
      <c r="E13" s="6" t="s">
        <v>106</v>
      </c>
      <c r="F13" s="3" t="s">
        <v>110</v>
      </c>
      <c r="G13" s="76">
        <v>1</v>
      </c>
      <c r="H13" s="3" t="s">
        <v>110</v>
      </c>
      <c r="I13" s="248">
        <f>IF('Paso 6-Prod. y sust. con Hg'!B16=yes,'Paso 6-Prod. y sust. con Hg'!C16,0)</f>
        <v>0</v>
      </c>
      <c r="J13" t="s">
        <v>111</v>
      </c>
      <c r="K13" s="115">
        <f>G13*I13/1000</f>
        <v>0</v>
      </c>
      <c r="L13" s="3" t="s">
        <v>36</v>
      </c>
      <c r="M13" s="15" t="s">
        <v>97</v>
      </c>
      <c r="N13" s="321">
        <f>IF(AND('Paso 5-Trat.+recicl. desechos'!$B$4=yes,'Paso 5-Trat.+recicl. desechos'!$E$4=no),K12,0)</f>
        <v>0</v>
      </c>
      <c r="O13" s="3" t="s">
        <v>36</v>
      </c>
      <c r="P13" s="296">
        <v>0.1</v>
      </c>
      <c r="Q13" s="296">
        <v>0.3</v>
      </c>
      <c r="R13" s="296"/>
      <c r="S13" s="296"/>
      <c r="T13" s="296">
        <v>0.6</v>
      </c>
      <c r="U13" s="296"/>
      <c r="V13" s="116">
        <f t="shared" ref="V13:Y15" si="2">$N13*P13</f>
        <v>0</v>
      </c>
      <c r="W13" s="116">
        <f t="shared" si="2"/>
        <v>0</v>
      </c>
      <c r="X13" s="116">
        <f t="shared" si="2"/>
        <v>0</v>
      </c>
      <c r="Y13" s="116">
        <f t="shared" si="2"/>
        <v>0</v>
      </c>
      <c r="Z13" s="116">
        <f t="shared" ref="Z13:AA15" si="3">$N13*T13</f>
        <v>0</v>
      </c>
      <c r="AA13" s="116">
        <f t="shared" si="3"/>
        <v>0</v>
      </c>
      <c r="AB13" s="76"/>
    </row>
    <row r="14" spans="1:28" ht="26">
      <c r="C14" s="53" t="s">
        <v>94</v>
      </c>
      <c r="D14" s="76"/>
      <c r="E14" s="6" t="s">
        <v>108</v>
      </c>
      <c r="F14" s="3" t="s">
        <v>110</v>
      </c>
      <c r="G14" s="76">
        <v>3.5</v>
      </c>
      <c r="H14" s="3" t="s">
        <v>110</v>
      </c>
      <c r="I14" s="248">
        <f>IF('Paso 6-Prod. y sust. con Hg'!B17=yes,0.5*'Paso 6-Prod. y sust. con Hg'!C17,0)</f>
        <v>0</v>
      </c>
      <c r="J14" t="s">
        <v>111</v>
      </c>
      <c r="K14" s="115">
        <f>G14*I14/1000</f>
        <v>0</v>
      </c>
      <c r="L14" s="3" t="s">
        <v>36</v>
      </c>
      <c r="M14" s="15" t="s">
        <v>112</v>
      </c>
      <c r="N14" s="321">
        <f>IF(AND('Paso 5-Trat.+recicl. desechos'!$B$4=no,OR('Paso 5-Trat.+recicl. desechos'!$E$4=no,'Paso 5-Trat.+recicl. desechos'!$E$4=yes,'Paso 5-Trat.+recicl. desechos'!$E$4="")),K12,0)</f>
        <v>0</v>
      </c>
      <c r="O14" s="3" t="s">
        <v>36</v>
      </c>
      <c r="P14" s="296">
        <v>0.2</v>
      </c>
      <c r="Q14" s="296">
        <v>0.3</v>
      </c>
      <c r="R14" s="296">
        <v>0.2</v>
      </c>
      <c r="S14" s="296"/>
      <c r="T14" s="296">
        <v>0.3</v>
      </c>
      <c r="U14" s="296"/>
      <c r="V14" s="116">
        <f t="shared" si="2"/>
        <v>0</v>
      </c>
      <c r="W14" s="116">
        <f t="shared" si="2"/>
        <v>0</v>
      </c>
      <c r="X14" s="116">
        <f t="shared" si="2"/>
        <v>0</v>
      </c>
      <c r="Y14" s="116">
        <f t="shared" si="2"/>
        <v>0</v>
      </c>
      <c r="Z14" s="116">
        <f t="shared" si="3"/>
        <v>0</v>
      </c>
      <c r="AA14" s="116">
        <f t="shared" si="3"/>
        <v>0</v>
      </c>
      <c r="AB14" s="76"/>
    </row>
    <row r="15" spans="1:28" ht="26">
      <c r="C15" s="53" t="s">
        <v>95</v>
      </c>
      <c r="D15" s="76"/>
      <c r="E15" s="6" t="s">
        <v>107</v>
      </c>
      <c r="F15" s="3" t="s">
        <v>110</v>
      </c>
      <c r="G15" s="76">
        <v>103</v>
      </c>
      <c r="H15" s="3" t="s">
        <v>110</v>
      </c>
      <c r="I15" s="248">
        <f>IF('Paso 6-Prod. y sust. con Hg'!B18=yes,'Paso 6-Prod. y sust. con Hg'!C18,0)</f>
        <v>0</v>
      </c>
      <c r="J15" t="s">
        <v>111</v>
      </c>
      <c r="K15" s="115">
        <f>G15*I15/1000</f>
        <v>0</v>
      </c>
      <c r="L15" s="3" t="s">
        <v>36</v>
      </c>
      <c r="M15" s="15" t="s">
        <v>98</v>
      </c>
      <c r="N15" s="321">
        <f>IF(AND('Paso 5-Trat.+recicl. desechos'!$B$4=yes,'Paso 5-Trat.+recicl. desechos'!$E$4=yes),K12,0)</f>
        <v>0</v>
      </c>
      <c r="O15" s="3" t="s">
        <v>36</v>
      </c>
      <c r="P15" s="296">
        <v>0.1</v>
      </c>
      <c r="Q15" s="296">
        <v>0.3</v>
      </c>
      <c r="R15" s="296"/>
      <c r="S15" s="296"/>
      <c r="T15" s="296">
        <v>0.3</v>
      </c>
      <c r="U15" s="296">
        <v>0.3</v>
      </c>
      <c r="V15" s="116">
        <f t="shared" si="2"/>
        <v>0</v>
      </c>
      <c r="W15" s="116">
        <f t="shared" si="2"/>
        <v>0</v>
      </c>
      <c r="X15" s="116">
        <f t="shared" si="2"/>
        <v>0</v>
      </c>
      <c r="Y15" s="116">
        <f t="shared" si="2"/>
        <v>0</v>
      </c>
      <c r="Z15" s="116">
        <f t="shared" si="3"/>
        <v>0</v>
      </c>
      <c r="AA15" s="116">
        <f t="shared" si="3"/>
        <v>0</v>
      </c>
      <c r="AB15" s="76"/>
    </row>
    <row r="16" spans="1:28" ht="13">
      <c r="C16" s="53" t="s">
        <v>96</v>
      </c>
      <c r="D16" s="76"/>
      <c r="E16" s="27" t="s">
        <v>109</v>
      </c>
      <c r="F16" s="3" t="s">
        <v>110</v>
      </c>
      <c r="G16" s="76">
        <v>20.5</v>
      </c>
      <c r="H16" s="3" t="s">
        <v>110</v>
      </c>
      <c r="I16" s="248">
        <f>IF('Paso 6-Prod. y sust. con Hg'!B17=yes,0.5*'Paso 6-Prod. y sust. con Hg'!C17,0)</f>
        <v>0</v>
      </c>
      <c r="J16" t="s">
        <v>111</v>
      </c>
      <c r="K16" s="115">
        <f>G16*I16/1000</f>
        <v>0</v>
      </c>
      <c r="L16" s="3" t="s">
        <v>36</v>
      </c>
      <c r="N16" s="248"/>
      <c r="O16" s="3"/>
      <c r="P16" s="296"/>
      <c r="Q16" s="296"/>
      <c r="R16" s="296"/>
      <c r="S16" s="296"/>
      <c r="T16" s="296"/>
      <c r="U16" s="297"/>
      <c r="V16" s="116"/>
      <c r="W16" s="116"/>
      <c r="X16" s="116"/>
      <c r="Y16" s="116"/>
      <c r="Z16" s="116"/>
      <c r="AA16" s="116"/>
      <c r="AB16" s="76"/>
    </row>
    <row r="17" spans="2:28" s="55" customFormat="1" ht="13">
      <c r="C17" s="161"/>
      <c r="D17" s="76"/>
      <c r="E17" s="106"/>
      <c r="F17" s="104"/>
      <c r="G17" s="76"/>
      <c r="H17" s="104"/>
      <c r="I17" s="248"/>
      <c r="K17" s="115"/>
      <c r="L17" s="104"/>
      <c r="M17" s="162"/>
      <c r="N17" s="248"/>
      <c r="O17" s="104"/>
      <c r="P17" s="296"/>
      <c r="Q17" s="296"/>
      <c r="R17" s="296"/>
      <c r="S17" s="296"/>
      <c r="T17" s="296"/>
      <c r="U17" s="297"/>
      <c r="V17" s="116"/>
      <c r="W17" s="116"/>
      <c r="X17" s="116"/>
      <c r="Y17" s="116"/>
      <c r="Z17" s="116"/>
      <c r="AA17" s="116"/>
      <c r="AB17" s="76"/>
    </row>
    <row r="18" spans="2:28" ht="26">
      <c r="B18" t="s">
        <v>114</v>
      </c>
      <c r="C18" s="12" t="s">
        <v>113</v>
      </c>
      <c r="D18" s="111"/>
      <c r="G18" s="76"/>
      <c r="I18" s="247"/>
      <c r="K18" s="114"/>
      <c r="L18" s="3"/>
      <c r="M18" s="14"/>
      <c r="N18" s="248"/>
      <c r="O18" s="3"/>
      <c r="P18" s="297"/>
      <c r="Q18" s="297"/>
      <c r="R18" s="297"/>
      <c r="S18" s="297"/>
      <c r="T18" s="297"/>
      <c r="U18" s="297"/>
      <c r="V18" s="114">
        <f t="shared" ref="V18:AA18" si="4">SUM(V19:V23)</f>
        <v>0</v>
      </c>
      <c r="W18" s="114">
        <f t="shared" si="4"/>
        <v>0</v>
      </c>
      <c r="X18" s="114">
        <f t="shared" si="4"/>
        <v>0</v>
      </c>
      <c r="Y18" s="114">
        <f t="shared" si="4"/>
        <v>0</v>
      </c>
      <c r="Z18" s="114">
        <f t="shared" si="4"/>
        <v>0</v>
      </c>
      <c r="AA18" s="114">
        <f t="shared" si="4"/>
        <v>0</v>
      </c>
      <c r="AB18" s="76"/>
    </row>
    <row r="19" spans="2:28" ht="13">
      <c r="C19" s="12" t="s">
        <v>99</v>
      </c>
      <c r="D19" s="111"/>
      <c r="F19" s="3"/>
      <c r="G19" s="76">
        <v>1</v>
      </c>
      <c r="H19" s="3"/>
      <c r="I19" s="248">
        <f>'Paso 4-Uso industrial de Hg'!C11</f>
        <v>0</v>
      </c>
      <c r="J19" s="8" t="s">
        <v>387</v>
      </c>
      <c r="K19" s="115">
        <f>I19*G19</f>
        <v>0</v>
      </c>
      <c r="L19" s="3"/>
      <c r="M19" s="14" t="s">
        <v>99</v>
      </c>
      <c r="N19" s="248">
        <f>K19</f>
        <v>0</v>
      </c>
      <c r="O19" s="3"/>
      <c r="P19" s="296">
        <v>0.01</v>
      </c>
      <c r="Q19" s="296">
        <v>5.0000000000000001E-3</v>
      </c>
      <c r="R19" s="296">
        <v>0.1</v>
      </c>
      <c r="S19" s="296"/>
      <c r="T19" s="296">
        <v>0.1</v>
      </c>
      <c r="U19" s="296">
        <v>0.01</v>
      </c>
      <c r="V19" s="116">
        <f t="shared" ref="V19:AA19" si="5">$N19*P19</f>
        <v>0</v>
      </c>
      <c r="W19" s="116">
        <f t="shared" si="5"/>
        <v>0</v>
      </c>
      <c r="X19" s="116">
        <f t="shared" si="5"/>
        <v>0</v>
      </c>
      <c r="Y19" s="116">
        <f t="shared" si="5"/>
        <v>0</v>
      </c>
      <c r="Z19" s="116">
        <f t="shared" si="5"/>
        <v>0</v>
      </c>
      <c r="AA19" s="116">
        <f t="shared" si="5"/>
        <v>0</v>
      </c>
      <c r="AB19" s="76"/>
    </row>
    <row r="20" spans="2:28" ht="13">
      <c r="C20" s="67" t="s">
        <v>100</v>
      </c>
      <c r="D20" s="111"/>
      <c r="E20" t="s">
        <v>115</v>
      </c>
      <c r="F20" s="3" t="s">
        <v>118</v>
      </c>
      <c r="G20" s="283">
        <v>0.14000000000000001</v>
      </c>
      <c r="H20" s="3" t="s">
        <v>118</v>
      </c>
      <c r="I20" s="248">
        <f>'Paso 1-Datos del país'!B6</f>
        <v>0</v>
      </c>
      <c r="J20" s="3" t="s">
        <v>117</v>
      </c>
      <c r="K20" s="169">
        <f>(G20*I20/1000)*'Paso 6-Prod. y sust. con Hg'!$C$21/100</f>
        <v>0</v>
      </c>
      <c r="L20" s="3" t="s">
        <v>36</v>
      </c>
      <c r="M20" s="16" t="s">
        <v>100</v>
      </c>
      <c r="N20" s="248"/>
      <c r="O20" s="3"/>
      <c r="P20" s="296"/>
      <c r="Q20" s="296"/>
      <c r="R20" s="296"/>
      <c r="S20" s="296"/>
      <c r="T20" s="296"/>
      <c r="U20" s="297"/>
      <c r="V20" s="116"/>
      <c r="W20" s="116"/>
      <c r="X20" s="116"/>
      <c r="Y20" s="116"/>
      <c r="Z20" s="116"/>
      <c r="AA20" s="116"/>
      <c r="AB20" s="76"/>
    </row>
    <row r="21" spans="2:28" ht="26">
      <c r="C21" s="53"/>
      <c r="D21" s="76"/>
      <c r="E21" s="6"/>
      <c r="F21" s="3"/>
      <c r="G21" s="76"/>
      <c r="H21" s="3"/>
      <c r="I21" s="248"/>
      <c r="K21" s="115"/>
      <c r="L21" s="3"/>
      <c r="M21" s="15" t="s">
        <v>97</v>
      </c>
      <c r="N21" s="321">
        <f>IF(AND('Paso 5-Trat.+recicl. desechos'!$B$4=yes,'Paso 5-Trat.+recicl. desechos'!$E$4=no),K20,0)</f>
        <v>0</v>
      </c>
      <c r="O21" s="3"/>
      <c r="P21" s="296">
        <v>0.1</v>
      </c>
      <c r="Q21" s="296"/>
      <c r="R21" s="296">
        <v>0.1</v>
      </c>
      <c r="S21" s="296"/>
      <c r="T21" s="296">
        <v>0.8</v>
      </c>
      <c r="U21" s="296"/>
      <c r="V21" s="116">
        <f t="shared" ref="V21:Y23" si="6">$N21*P21</f>
        <v>0</v>
      </c>
      <c r="W21" s="116">
        <f t="shared" si="6"/>
        <v>0</v>
      </c>
      <c r="X21" s="116">
        <f t="shared" si="6"/>
        <v>0</v>
      </c>
      <c r="Y21" s="116">
        <f t="shared" si="6"/>
        <v>0</v>
      </c>
      <c r="Z21" s="116">
        <f t="shared" ref="Z21:AA23" si="7">$N21*T21</f>
        <v>0</v>
      </c>
      <c r="AA21" s="116">
        <f t="shared" si="7"/>
        <v>0</v>
      </c>
      <c r="AB21" s="76"/>
    </row>
    <row r="22" spans="2:28" ht="26">
      <c r="C22" s="53"/>
      <c r="D22" s="76"/>
      <c r="E22" s="6"/>
      <c r="F22" s="3"/>
      <c r="G22" s="76"/>
      <c r="H22" s="3"/>
      <c r="I22" s="248"/>
      <c r="K22" s="115"/>
      <c r="L22" s="3"/>
      <c r="M22" s="15" t="s">
        <v>112</v>
      </c>
      <c r="N22" s="321">
        <f>IF(AND('Paso 5-Trat.+recicl. desechos'!$B$4=no,OR('Paso 5-Trat.+recicl. desechos'!$E$4=no,'Paso 5-Trat.+recicl. desechos'!$E$4=yes,'Paso 5-Trat.+recicl. desechos'!$E$4="")),K20,0)</f>
        <v>0</v>
      </c>
      <c r="O22" s="3"/>
      <c r="P22" s="296">
        <v>0.3</v>
      </c>
      <c r="Q22" s="296"/>
      <c r="R22" s="296">
        <v>0.4</v>
      </c>
      <c r="S22" s="296"/>
      <c r="T22" s="296">
        <v>0.3</v>
      </c>
      <c r="U22" s="296"/>
      <c r="V22" s="116">
        <f t="shared" si="6"/>
        <v>0</v>
      </c>
      <c r="W22" s="116">
        <f t="shared" si="6"/>
        <v>0</v>
      </c>
      <c r="X22" s="116">
        <f t="shared" si="6"/>
        <v>0</v>
      </c>
      <c r="Y22" s="116">
        <f t="shared" si="6"/>
        <v>0</v>
      </c>
      <c r="Z22" s="116">
        <f t="shared" si="7"/>
        <v>0</v>
      </c>
      <c r="AA22" s="116">
        <f t="shared" si="7"/>
        <v>0</v>
      </c>
      <c r="AB22" s="76"/>
    </row>
    <row r="23" spans="2:28" ht="26">
      <c r="C23" s="53"/>
      <c r="D23" s="76"/>
      <c r="E23" s="6"/>
      <c r="F23" s="3"/>
      <c r="G23" s="76"/>
      <c r="H23" s="3"/>
      <c r="I23" s="248"/>
      <c r="K23" s="115"/>
      <c r="L23" s="3"/>
      <c r="M23" s="15" t="s">
        <v>98</v>
      </c>
      <c r="N23" s="321">
        <f>IF(AND('Paso 5-Trat.+recicl. desechos'!$B$4=yes,'Paso 5-Trat.+recicl. desechos'!$E$4=yes),K20,0)</f>
        <v>0</v>
      </c>
      <c r="O23" s="3"/>
      <c r="P23" s="296">
        <v>0.1</v>
      </c>
      <c r="Q23" s="296"/>
      <c r="R23" s="296">
        <v>0.1</v>
      </c>
      <c r="S23" s="296"/>
      <c r="T23" s="296">
        <v>0.4</v>
      </c>
      <c r="U23" s="296">
        <v>0.4</v>
      </c>
      <c r="V23" s="116">
        <f t="shared" si="6"/>
        <v>0</v>
      </c>
      <c r="W23" s="116">
        <f t="shared" si="6"/>
        <v>0</v>
      </c>
      <c r="X23" s="116">
        <f t="shared" si="6"/>
        <v>0</v>
      </c>
      <c r="Y23" s="116">
        <f t="shared" si="6"/>
        <v>0</v>
      </c>
      <c r="Z23" s="116">
        <f t="shared" si="7"/>
        <v>0</v>
      </c>
      <c r="AA23" s="116">
        <f t="shared" si="7"/>
        <v>0</v>
      </c>
      <c r="AB23" s="76"/>
    </row>
    <row r="24" spans="2:28" s="55" customFormat="1" ht="13">
      <c r="C24" s="161"/>
      <c r="D24" s="76"/>
      <c r="E24" s="106"/>
      <c r="F24" s="104"/>
      <c r="G24" s="76"/>
      <c r="H24" s="104"/>
      <c r="I24" s="248"/>
      <c r="K24" s="115"/>
      <c r="L24" s="104"/>
      <c r="M24" s="107"/>
      <c r="N24" s="248"/>
      <c r="O24" s="104"/>
      <c r="P24" s="296"/>
      <c r="Q24" s="296"/>
      <c r="R24" s="296"/>
      <c r="S24" s="296"/>
      <c r="T24" s="296"/>
      <c r="U24" s="296"/>
      <c r="V24" s="116"/>
      <c r="W24" s="116"/>
      <c r="X24" s="116"/>
      <c r="Y24" s="116"/>
      <c r="Z24" s="116"/>
      <c r="AA24" s="116"/>
      <c r="AB24" s="76"/>
    </row>
    <row r="25" spans="2:28" ht="13">
      <c r="B25" t="s">
        <v>119</v>
      </c>
      <c r="C25" s="5" t="s">
        <v>321</v>
      </c>
      <c r="D25" s="111"/>
      <c r="G25" s="76"/>
      <c r="I25" s="247"/>
      <c r="K25" s="114"/>
      <c r="L25" s="3"/>
      <c r="M25" s="14"/>
      <c r="N25" s="248"/>
      <c r="O25" s="3"/>
      <c r="P25" s="297"/>
      <c r="Q25" s="297"/>
      <c r="R25" s="297"/>
      <c r="S25" s="297"/>
      <c r="T25" s="297"/>
      <c r="U25" s="297"/>
      <c r="V25" s="114">
        <f t="shared" ref="V25:AA25" si="8">SUM(V26:V33)</f>
        <v>0</v>
      </c>
      <c r="W25" s="114">
        <f t="shared" si="8"/>
        <v>0</v>
      </c>
      <c r="X25" s="114">
        <f t="shared" si="8"/>
        <v>0</v>
      </c>
      <c r="Y25" s="114">
        <f t="shared" si="8"/>
        <v>0</v>
      </c>
      <c r="Z25" s="114">
        <f t="shared" si="8"/>
        <v>0</v>
      </c>
      <c r="AA25" s="114">
        <f t="shared" si="8"/>
        <v>0</v>
      </c>
      <c r="AB25" s="76"/>
    </row>
    <row r="26" spans="2:28" ht="13">
      <c r="C26" s="12" t="s">
        <v>99</v>
      </c>
      <c r="D26" s="111"/>
      <c r="F26" s="3"/>
      <c r="G26" s="76">
        <v>1</v>
      </c>
      <c r="H26" s="3"/>
      <c r="I26" s="248">
        <f>'Paso 4-Uso industrial de Hg'!C12</f>
        <v>0</v>
      </c>
      <c r="J26" s="8" t="s">
        <v>387</v>
      </c>
      <c r="K26" s="115">
        <f>I26*G26</f>
        <v>0</v>
      </c>
      <c r="L26" s="3" t="s">
        <v>36</v>
      </c>
      <c r="M26" s="14" t="s">
        <v>99</v>
      </c>
      <c r="N26" s="248">
        <f>K26</f>
        <v>0</v>
      </c>
      <c r="O26" s="3"/>
      <c r="P26" s="296">
        <v>0.01</v>
      </c>
      <c r="Q26" s="296">
        <v>5.0000000000000001E-3</v>
      </c>
      <c r="R26" s="296">
        <v>0.1</v>
      </c>
      <c r="S26" s="296"/>
      <c r="T26" s="296">
        <v>0.1</v>
      </c>
      <c r="U26" s="296">
        <v>0.01</v>
      </c>
      <c r="V26" s="116">
        <f t="shared" ref="V26:AA26" si="9">$N26*P26</f>
        <v>0</v>
      </c>
      <c r="W26" s="116">
        <f t="shared" si="9"/>
        <v>0</v>
      </c>
      <c r="X26" s="116">
        <f t="shared" si="9"/>
        <v>0</v>
      </c>
      <c r="Y26" s="116">
        <f t="shared" si="9"/>
        <v>0</v>
      </c>
      <c r="Z26" s="116">
        <f t="shared" si="9"/>
        <v>0</v>
      </c>
      <c r="AA26" s="116">
        <f t="shared" si="9"/>
        <v>0</v>
      </c>
      <c r="AB26" s="76"/>
    </row>
    <row r="27" spans="2:28" ht="13">
      <c r="C27" s="67" t="s">
        <v>100</v>
      </c>
      <c r="D27" s="111"/>
      <c r="E27" s="6"/>
      <c r="F27" s="3"/>
      <c r="G27" s="76"/>
      <c r="H27" s="3"/>
      <c r="I27" s="248"/>
      <c r="K27" s="168">
        <f>SUM(K28:K33)</f>
        <v>0</v>
      </c>
      <c r="L27" s="3" t="s">
        <v>36</v>
      </c>
      <c r="M27" s="16" t="s">
        <v>100</v>
      </c>
      <c r="N27" s="248"/>
      <c r="O27" s="3"/>
      <c r="P27" s="296"/>
      <c r="Q27" s="296"/>
      <c r="R27" s="296"/>
      <c r="S27" s="296"/>
      <c r="T27" s="296"/>
      <c r="U27" s="297"/>
      <c r="V27" s="116"/>
      <c r="W27" s="116"/>
      <c r="X27" s="116"/>
      <c r="Y27" s="116"/>
      <c r="Z27" s="116"/>
      <c r="AA27" s="116"/>
      <c r="AB27" s="76"/>
    </row>
    <row r="28" spans="2:28" ht="26">
      <c r="C28" s="53" t="s">
        <v>120</v>
      </c>
      <c r="D28" s="166"/>
      <c r="E28" t="s">
        <v>1242</v>
      </c>
      <c r="F28" s="3" t="s">
        <v>128</v>
      </c>
      <c r="G28" s="76">
        <v>8</v>
      </c>
      <c r="H28" s="3" t="s">
        <v>128</v>
      </c>
      <c r="I28" s="248">
        <f>IF('Paso 6-Prod. y sust. con Hg'!B24=yes,'Paso 6-Prod. y sust. con Hg'!C24,0)</f>
        <v>0</v>
      </c>
      <c r="J28" t="s">
        <v>111</v>
      </c>
      <c r="K28" s="115">
        <f t="shared" ref="K28:K33" si="10">G28*I28/1000000</f>
        <v>0</v>
      </c>
      <c r="L28" s="3" t="s">
        <v>36</v>
      </c>
      <c r="M28" s="15" t="s">
        <v>97</v>
      </c>
      <c r="N28" s="321">
        <f>IF(AND('Paso 5-Trat.+recicl. desechos'!$B$4=yes,'Paso 5-Trat.+recicl. desechos'!$E$4=no),K27,0)</f>
        <v>0</v>
      </c>
      <c r="O28" s="3"/>
      <c r="P28" s="296">
        <v>0.05</v>
      </c>
      <c r="Q28" s="296"/>
      <c r="R28" s="296"/>
      <c r="S28" s="296"/>
      <c r="T28" s="296">
        <v>0.95</v>
      </c>
      <c r="U28" s="296"/>
      <c r="V28" s="116">
        <f t="shared" ref="V28:Y30" si="11">$N28*P28</f>
        <v>0</v>
      </c>
      <c r="W28" s="116">
        <f t="shared" si="11"/>
        <v>0</v>
      </c>
      <c r="X28" s="116">
        <f t="shared" si="11"/>
        <v>0</v>
      </c>
      <c r="Y28" s="116">
        <f t="shared" si="11"/>
        <v>0</v>
      </c>
      <c r="Z28" s="116">
        <f t="shared" ref="Z28:AA30" si="12">$N28*T28</f>
        <v>0</v>
      </c>
      <c r="AA28" s="116">
        <f t="shared" si="12"/>
        <v>0</v>
      </c>
      <c r="AB28" s="76"/>
    </row>
    <row r="29" spans="2:28" ht="26">
      <c r="C29" s="53" t="s">
        <v>121</v>
      </c>
      <c r="D29" s="166"/>
      <c r="E29" t="s">
        <v>1243</v>
      </c>
      <c r="F29" s="3" t="s">
        <v>128</v>
      </c>
      <c r="G29" s="76">
        <v>2.7</v>
      </c>
      <c r="H29" s="3" t="s">
        <v>128</v>
      </c>
      <c r="I29" s="248">
        <f>IF('Paso 6-Prod. y sust. con Hg'!B25=yes,'Paso 6-Prod. y sust. con Hg'!C25,0)</f>
        <v>0</v>
      </c>
      <c r="J29" t="s">
        <v>111</v>
      </c>
      <c r="K29" s="115">
        <f t="shared" si="10"/>
        <v>0</v>
      </c>
      <c r="L29" s="3" t="s">
        <v>36</v>
      </c>
      <c r="M29" s="15" t="s">
        <v>112</v>
      </c>
      <c r="N29" s="321">
        <f>IF(AND('Paso 5-Trat.+recicl. desechos'!$B$4=no,OR('Paso 5-Trat.+recicl. desechos'!$E$4=no,'Paso 5-Trat.+recicl. desechos'!$E$4=yes,'Paso 5-Trat.+recicl. desechos'!$E$4="")),K27,0)</f>
        <v>0</v>
      </c>
      <c r="O29" s="3"/>
      <c r="P29" s="296">
        <v>0.3</v>
      </c>
      <c r="Q29" s="296"/>
      <c r="R29" s="296">
        <v>0.3</v>
      </c>
      <c r="S29" s="296"/>
      <c r="T29" s="296">
        <v>0.4</v>
      </c>
      <c r="U29" s="296"/>
      <c r="V29" s="116">
        <f t="shared" si="11"/>
        <v>0</v>
      </c>
      <c r="W29" s="116">
        <f t="shared" si="11"/>
        <v>0</v>
      </c>
      <c r="X29" s="116">
        <f t="shared" si="11"/>
        <v>0</v>
      </c>
      <c r="Y29" s="116">
        <f t="shared" si="11"/>
        <v>0</v>
      </c>
      <c r="Z29" s="116">
        <f t="shared" si="12"/>
        <v>0</v>
      </c>
      <c r="AA29" s="116">
        <f t="shared" si="12"/>
        <v>0</v>
      </c>
      <c r="AB29" s="76"/>
    </row>
    <row r="30" spans="2:28" ht="26">
      <c r="C30" s="53" t="s">
        <v>122</v>
      </c>
      <c r="D30" s="130"/>
      <c r="E30" t="s">
        <v>1244</v>
      </c>
      <c r="F30" s="3" t="s">
        <v>128</v>
      </c>
      <c r="G30" s="76">
        <v>40</v>
      </c>
      <c r="H30" s="3" t="s">
        <v>128</v>
      </c>
      <c r="I30" s="248">
        <f>IF('Paso 6-Prod. y sust. con Hg'!B26=yes,'Paso 6-Prod. y sust. con Hg'!C26/4,0)</f>
        <v>0</v>
      </c>
      <c r="J30" t="s">
        <v>111</v>
      </c>
      <c r="K30" s="115">
        <f t="shared" si="10"/>
        <v>0</v>
      </c>
      <c r="L30" s="3" t="s">
        <v>36</v>
      </c>
      <c r="M30" s="15" t="s">
        <v>98</v>
      </c>
      <c r="N30" s="321">
        <f>IF(AND('Paso 5-Trat.+recicl. desechos'!$B$4=yes,'Paso 5-Trat.+recicl. desechos'!$E$4=yes),K27,0)</f>
        <v>0</v>
      </c>
      <c r="O30" s="3"/>
      <c r="P30" s="296">
        <v>0.05</v>
      </c>
      <c r="Q30" s="296"/>
      <c r="R30" s="296"/>
      <c r="S30" s="296"/>
      <c r="T30" s="296">
        <v>0.8</v>
      </c>
      <c r="U30" s="296">
        <v>0.15</v>
      </c>
      <c r="V30" s="116">
        <f t="shared" si="11"/>
        <v>0</v>
      </c>
      <c r="W30" s="116">
        <f t="shared" si="11"/>
        <v>0</v>
      </c>
      <c r="X30" s="116">
        <f t="shared" si="11"/>
        <v>0</v>
      </c>
      <c r="Y30" s="116">
        <f t="shared" si="11"/>
        <v>0</v>
      </c>
      <c r="Z30" s="116">
        <f t="shared" si="12"/>
        <v>0</v>
      </c>
      <c r="AA30" s="116">
        <f t="shared" si="12"/>
        <v>0</v>
      </c>
      <c r="AB30" s="76"/>
    </row>
    <row r="31" spans="2:28" ht="13">
      <c r="C31" s="53" t="s">
        <v>123</v>
      </c>
      <c r="D31" s="166"/>
      <c r="E31" t="s">
        <v>126</v>
      </c>
      <c r="F31" s="3" t="s">
        <v>128</v>
      </c>
      <c r="G31" s="76">
        <v>20</v>
      </c>
      <c r="H31" s="3" t="s">
        <v>128</v>
      </c>
      <c r="I31" s="248">
        <f>IF('Paso 6-Prod. y sust. con Hg'!B26=yes,'Paso 6-Prod. y sust. con Hg'!C26/4,0)</f>
        <v>0</v>
      </c>
      <c r="J31" t="s">
        <v>111</v>
      </c>
      <c r="K31" s="115">
        <f t="shared" si="10"/>
        <v>0</v>
      </c>
      <c r="L31" s="3" t="s">
        <v>36</v>
      </c>
      <c r="N31" s="248"/>
      <c r="O31" s="3"/>
      <c r="P31" s="296"/>
      <c r="Q31" s="296"/>
      <c r="R31" s="296"/>
      <c r="S31" s="296"/>
      <c r="T31" s="296"/>
      <c r="U31" s="297"/>
      <c r="V31" s="116"/>
      <c r="W31" s="116"/>
      <c r="X31" s="116"/>
      <c r="Y31" s="116"/>
      <c r="Z31" s="116"/>
      <c r="AA31" s="116"/>
      <c r="AB31" s="76"/>
    </row>
    <row r="32" spans="2:28" ht="13">
      <c r="C32" s="53" t="s">
        <v>124</v>
      </c>
      <c r="D32" s="166"/>
      <c r="E32" t="s">
        <v>127</v>
      </c>
      <c r="F32" s="3" t="s">
        <v>128</v>
      </c>
      <c r="G32" s="76">
        <v>15</v>
      </c>
      <c r="H32" s="3" t="s">
        <v>128</v>
      </c>
      <c r="I32" s="248">
        <f>IF('Paso 6-Prod. y sust. con Hg'!B26=yes,'Paso 6-Prod. y sust. con Hg'!C26/4,0)</f>
        <v>0</v>
      </c>
      <c r="J32" t="s">
        <v>111</v>
      </c>
      <c r="K32" s="115">
        <f t="shared" si="10"/>
        <v>0</v>
      </c>
      <c r="L32" s="3" t="s">
        <v>36</v>
      </c>
      <c r="M32" s="15"/>
      <c r="N32" s="248"/>
      <c r="O32" s="3"/>
      <c r="P32" s="296"/>
      <c r="Q32" s="296"/>
      <c r="R32" s="296"/>
      <c r="S32" s="296"/>
      <c r="T32" s="296"/>
      <c r="U32" s="296"/>
      <c r="V32" s="116"/>
      <c r="W32" s="116"/>
      <c r="X32" s="116"/>
      <c r="Y32" s="116"/>
      <c r="Z32" s="116"/>
      <c r="AA32" s="116"/>
      <c r="AB32" s="76"/>
    </row>
    <row r="33" spans="2:28" ht="13">
      <c r="C33" s="53" t="s">
        <v>125</v>
      </c>
      <c r="D33" s="130"/>
      <c r="E33" t="s">
        <v>1245</v>
      </c>
      <c r="F33" s="3" t="s">
        <v>128</v>
      </c>
      <c r="G33" s="76">
        <v>25</v>
      </c>
      <c r="H33" s="3" t="s">
        <v>128</v>
      </c>
      <c r="I33" s="248">
        <f>IF('Paso 6-Prod. y sust. con Hg'!B26=yes,'Paso 6-Prod. y sust. con Hg'!C26/4,0)</f>
        <v>0</v>
      </c>
      <c r="J33" t="s">
        <v>111</v>
      </c>
      <c r="K33" s="115">
        <f t="shared" si="10"/>
        <v>0</v>
      </c>
      <c r="L33" s="3" t="s">
        <v>36</v>
      </c>
      <c r="M33" s="15"/>
      <c r="N33" s="248"/>
      <c r="O33" s="3"/>
      <c r="P33" s="296"/>
      <c r="Q33" s="296"/>
      <c r="R33" s="296"/>
      <c r="S33" s="296"/>
      <c r="T33" s="296"/>
      <c r="U33" s="296"/>
      <c r="V33" s="116"/>
      <c r="W33" s="116"/>
      <c r="X33" s="116"/>
      <c r="Y33" s="116"/>
      <c r="Z33" s="116"/>
      <c r="AA33" s="116"/>
      <c r="AB33" s="76"/>
    </row>
    <row r="34" spans="2:28" s="55" customFormat="1" ht="13">
      <c r="C34" s="161"/>
      <c r="D34" s="76"/>
      <c r="E34"/>
      <c r="F34" s="104"/>
      <c r="G34" s="76"/>
      <c r="H34" s="104"/>
      <c r="I34" s="248"/>
      <c r="K34" s="115"/>
      <c r="L34" s="104"/>
      <c r="M34" s="107"/>
      <c r="N34" s="248"/>
      <c r="O34" s="104"/>
      <c r="P34" s="296"/>
      <c r="Q34" s="296"/>
      <c r="R34" s="296"/>
      <c r="S34" s="296"/>
      <c r="T34" s="296"/>
      <c r="U34" s="296"/>
      <c r="V34" s="116"/>
      <c r="W34" s="116"/>
      <c r="X34" s="116"/>
      <c r="Y34" s="116"/>
      <c r="Z34" s="116"/>
      <c r="AA34" s="116"/>
      <c r="AB34" s="76"/>
    </row>
    <row r="35" spans="2:28" ht="13">
      <c r="B35" t="s">
        <v>131</v>
      </c>
      <c r="C35" s="12" t="s">
        <v>132</v>
      </c>
      <c r="D35" s="111"/>
      <c r="G35" s="76"/>
      <c r="I35" s="247"/>
      <c r="K35" s="114"/>
      <c r="L35" s="3"/>
      <c r="M35" s="14"/>
      <c r="N35" s="248"/>
      <c r="O35" s="3"/>
      <c r="P35" s="297"/>
      <c r="Q35" s="297"/>
      <c r="R35" s="297"/>
      <c r="S35" s="297"/>
      <c r="T35" s="297"/>
      <c r="U35" s="297"/>
      <c r="V35" s="114">
        <f t="shared" ref="V35:AA35" si="13">SUM(V36:V47)</f>
        <v>0</v>
      </c>
      <c r="W35" s="114">
        <f t="shared" si="13"/>
        <v>0</v>
      </c>
      <c r="X35" s="114">
        <f t="shared" si="13"/>
        <v>0</v>
      </c>
      <c r="Y35" s="114">
        <f t="shared" si="13"/>
        <v>0</v>
      </c>
      <c r="Z35" s="114">
        <f t="shared" si="13"/>
        <v>0</v>
      </c>
      <c r="AA35" s="114">
        <f t="shared" si="13"/>
        <v>0</v>
      </c>
      <c r="AB35" s="76"/>
    </row>
    <row r="36" spans="2:28" ht="13">
      <c r="C36" s="12" t="s">
        <v>352</v>
      </c>
      <c r="D36" s="111"/>
      <c r="F36" s="3"/>
      <c r="G36" s="76">
        <v>1</v>
      </c>
      <c r="H36" s="3"/>
      <c r="I36" s="248">
        <f>'Paso 4-Uso industrial de Hg'!C13</f>
        <v>0</v>
      </c>
      <c r="J36" s="8" t="s">
        <v>387</v>
      </c>
      <c r="K36" s="115">
        <f>I36*G36</f>
        <v>0</v>
      </c>
      <c r="L36" s="3"/>
      <c r="M36" s="14" t="s">
        <v>352</v>
      </c>
      <c r="N36" s="248">
        <f>K36</f>
        <v>0</v>
      </c>
      <c r="O36" s="3" t="s">
        <v>36</v>
      </c>
      <c r="P36" s="296">
        <v>5.0000000000000001E-3</v>
      </c>
      <c r="Q36" s="296">
        <v>5.0000000000000001E-3</v>
      </c>
      <c r="R36" s="296">
        <v>0.1</v>
      </c>
      <c r="S36" s="296"/>
      <c r="T36" s="296">
        <v>0.1</v>
      </c>
      <c r="U36" s="296">
        <v>0.01</v>
      </c>
      <c r="V36" s="116">
        <f t="shared" ref="V36:AA36" si="14">$N36*P36</f>
        <v>0</v>
      </c>
      <c r="W36" s="116">
        <f t="shared" si="14"/>
        <v>0</v>
      </c>
      <c r="X36" s="116">
        <f t="shared" si="14"/>
        <v>0</v>
      </c>
      <c r="Y36" s="116">
        <f t="shared" si="14"/>
        <v>0</v>
      </c>
      <c r="Z36" s="116">
        <f t="shared" si="14"/>
        <v>0</v>
      </c>
      <c r="AA36" s="116">
        <f t="shared" si="14"/>
        <v>0</v>
      </c>
      <c r="AB36" s="76"/>
    </row>
    <row r="37" spans="2:28" ht="25.5">
      <c r="C37" s="53" t="s">
        <v>133</v>
      </c>
      <c r="D37" s="130"/>
      <c r="E37" s="448">
        <v>320</v>
      </c>
      <c r="F37" s="3" t="s">
        <v>338</v>
      </c>
      <c r="G37" s="167">
        <v>320</v>
      </c>
      <c r="H37" s="3" t="s">
        <v>338</v>
      </c>
      <c r="I37" s="248"/>
      <c r="J37" t="s">
        <v>330</v>
      </c>
      <c r="K37" s="115">
        <f>G37*I37</f>
        <v>0</v>
      </c>
      <c r="L37" s="3" t="s">
        <v>36</v>
      </c>
      <c r="M37" s="15"/>
      <c r="N37" s="248"/>
      <c r="O37" s="3"/>
      <c r="P37" s="296"/>
      <c r="Q37" s="296"/>
      <c r="R37" s="296"/>
      <c r="S37" s="296"/>
      <c r="T37" s="296"/>
      <c r="U37" s="296"/>
      <c r="V37" s="116"/>
      <c r="W37" s="116"/>
      <c r="X37" s="116"/>
      <c r="Y37" s="116"/>
      <c r="Z37" s="116"/>
      <c r="AA37" s="116"/>
      <c r="AB37" s="76"/>
    </row>
    <row r="38" spans="2:28" ht="13">
      <c r="C38" s="53" t="s">
        <v>134</v>
      </c>
      <c r="D38" s="130"/>
      <c r="E38" s="448">
        <v>12</v>
      </c>
      <c r="F38" s="3" t="s">
        <v>338</v>
      </c>
      <c r="G38" s="167">
        <v>12</v>
      </c>
      <c r="H38" s="3" t="s">
        <v>338</v>
      </c>
      <c r="I38" s="248"/>
      <c r="J38" t="s">
        <v>330</v>
      </c>
      <c r="K38" s="115">
        <f>G38*I38</f>
        <v>0</v>
      </c>
      <c r="L38" s="3" t="s">
        <v>36</v>
      </c>
      <c r="M38" s="15"/>
      <c r="N38" s="248"/>
      <c r="O38" s="3"/>
      <c r="P38" s="296"/>
      <c r="Q38" s="296"/>
      <c r="R38" s="296"/>
      <c r="S38" s="296"/>
      <c r="T38" s="296"/>
      <c r="U38" s="296"/>
      <c r="V38" s="116"/>
      <c r="W38" s="116"/>
      <c r="X38" s="116"/>
      <c r="Y38" s="116"/>
      <c r="Z38" s="116"/>
      <c r="AA38" s="116"/>
      <c r="AB38" s="76"/>
    </row>
    <row r="39" spans="2:28" ht="13">
      <c r="C39" s="53" t="s">
        <v>135</v>
      </c>
      <c r="D39" s="130"/>
      <c r="E39" s="448">
        <v>5</v>
      </c>
      <c r="F39" s="3" t="s">
        <v>338</v>
      </c>
      <c r="G39" s="167">
        <v>5</v>
      </c>
      <c r="H39" s="3" t="s">
        <v>338</v>
      </c>
      <c r="I39" s="248"/>
      <c r="J39" t="s">
        <v>330</v>
      </c>
      <c r="K39" s="115">
        <f>G39*I39</f>
        <v>0</v>
      </c>
      <c r="L39" s="3" t="s">
        <v>36</v>
      </c>
      <c r="M39" s="15"/>
      <c r="N39" s="248"/>
      <c r="O39" s="3"/>
      <c r="P39" s="296"/>
      <c r="Q39" s="296"/>
      <c r="R39" s="296"/>
      <c r="S39" s="296"/>
      <c r="T39" s="296"/>
      <c r="U39" s="296"/>
      <c r="V39" s="116"/>
      <c r="W39" s="116"/>
      <c r="X39" s="116"/>
      <c r="Y39" s="116"/>
      <c r="Z39" s="116"/>
      <c r="AA39" s="116"/>
      <c r="AB39" s="76"/>
    </row>
    <row r="40" spans="2:28" ht="13">
      <c r="C40" s="53" t="s">
        <v>136</v>
      </c>
      <c r="D40" s="130"/>
      <c r="E40" s="448">
        <v>4</v>
      </c>
      <c r="F40" s="3" t="s">
        <v>338</v>
      </c>
      <c r="G40" s="167">
        <v>4</v>
      </c>
      <c r="H40" s="3" t="s">
        <v>338</v>
      </c>
      <c r="I40" s="248"/>
      <c r="J40" t="s">
        <v>330</v>
      </c>
      <c r="K40" s="115">
        <f>G40*I40</f>
        <v>0</v>
      </c>
      <c r="L40" s="3" t="s">
        <v>36</v>
      </c>
      <c r="N40" s="248"/>
      <c r="O40" s="3"/>
      <c r="P40" s="296"/>
      <c r="Q40" s="296"/>
      <c r="R40" s="296"/>
      <c r="S40" s="296"/>
      <c r="T40" s="296"/>
      <c r="U40" s="297"/>
      <c r="V40" s="116"/>
      <c r="W40" s="116"/>
      <c r="X40" s="116"/>
      <c r="Y40" s="116"/>
      <c r="Z40" s="116"/>
      <c r="AA40" s="116"/>
      <c r="AB40" s="76"/>
    </row>
    <row r="41" spans="2:28" ht="25.5">
      <c r="C41" s="53" t="s">
        <v>137</v>
      </c>
      <c r="D41" s="130"/>
      <c r="E41" s="448" t="s">
        <v>116</v>
      </c>
      <c r="F41" s="3" t="s">
        <v>338</v>
      </c>
      <c r="G41" s="167">
        <v>0.25</v>
      </c>
      <c r="H41" s="3" t="s">
        <v>338</v>
      </c>
      <c r="I41" s="248"/>
      <c r="J41" t="s">
        <v>330</v>
      </c>
      <c r="K41" s="115">
        <f>G41*I41</f>
        <v>0</v>
      </c>
      <c r="L41" s="3" t="s">
        <v>36</v>
      </c>
      <c r="N41" s="248"/>
      <c r="O41" s="3"/>
      <c r="P41" s="296"/>
      <c r="Q41" s="296"/>
      <c r="R41" s="296"/>
      <c r="S41" s="296"/>
      <c r="T41" s="296"/>
      <c r="U41" s="297"/>
      <c r="V41" s="171"/>
      <c r="W41" s="171"/>
      <c r="X41" s="171"/>
      <c r="Y41" s="171"/>
      <c r="Z41" s="171"/>
      <c r="AA41" s="171"/>
      <c r="AB41" s="76"/>
    </row>
    <row r="42" spans="2:28" ht="13">
      <c r="C42" s="12" t="s">
        <v>100</v>
      </c>
      <c r="D42" s="111"/>
      <c r="E42" s="448"/>
      <c r="F42" s="3"/>
      <c r="G42" s="76"/>
      <c r="H42" s="3"/>
      <c r="I42" s="248"/>
      <c r="K42" s="168">
        <f>SUM(K43:K47)</f>
        <v>0</v>
      </c>
      <c r="L42" s="3" t="s">
        <v>36</v>
      </c>
      <c r="M42" s="16" t="s">
        <v>100</v>
      </c>
      <c r="N42" s="248"/>
      <c r="O42" s="3"/>
      <c r="P42" s="296"/>
      <c r="Q42" s="296"/>
      <c r="R42" s="296"/>
      <c r="S42" s="296"/>
      <c r="T42" s="296"/>
      <c r="U42" s="297"/>
      <c r="V42" s="171"/>
      <c r="W42" s="171"/>
      <c r="X42" s="171"/>
      <c r="Y42" s="171"/>
      <c r="Z42" s="171"/>
      <c r="AA42" s="171"/>
      <c r="AB42" s="76"/>
    </row>
    <row r="43" spans="2:28" ht="26">
      <c r="C43" s="53" t="s">
        <v>133</v>
      </c>
      <c r="D43" s="130"/>
      <c r="E43" s="448">
        <v>320</v>
      </c>
      <c r="F43" s="3" t="s">
        <v>338</v>
      </c>
      <c r="G43" s="167">
        <v>320</v>
      </c>
      <c r="H43" s="3" t="s">
        <v>338</v>
      </c>
      <c r="I43" s="248">
        <f>IF('Paso 6-Prod. y sust. con Hg'!B29=yes,'Paso 6-Prod. y sust. con Hg'!C29,0)</f>
        <v>0</v>
      </c>
      <c r="J43" t="s">
        <v>330</v>
      </c>
      <c r="K43" s="115">
        <f>G43*I43</f>
        <v>0</v>
      </c>
      <c r="L43" s="3" t="s">
        <v>36</v>
      </c>
      <c r="M43" s="15" t="s">
        <v>97</v>
      </c>
      <c r="N43" s="321">
        <f>IF(AND('Paso 5-Trat.+recicl. desechos'!$B$4=yes,'Paso 5-Trat.+recicl. desechos'!$E$4=no),K42,0)</f>
        <v>0</v>
      </c>
      <c r="O43" s="3"/>
      <c r="P43" s="296"/>
      <c r="Q43" s="296"/>
      <c r="R43" s="296"/>
      <c r="S43" s="296"/>
      <c r="T43" s="296">
        <v>1</v>
      </c>
      <c r="U43" s="296"/>
      <c r="V43" s="116">
        <f t="shared" ref="V43:Y45" si="15">$N43*P43</f>
        <v>0</v>
      </c>
      <c r="W43" s="116">
        <f t="shared" si="15"/>
        <v>0</v>
      </c>
      <c r="X43" s="116">
        <f t="shared" si="15"/>
        <v>0</v>
      </c>
      <c r="Y43" s="116">
        <f t="shared" si="15"/>
        <v>0</v>
      </c>
      <c r="Z43" s="116">
        <f t="shared" ref="Z43:AA45" si="16">$N43*T43</f>
        <v>0</v>
      </c>
      <c r="AA43" s="116">
        <f t="shared" si="16"/>
        <v>0</v>
      </c>
      <c r="AB43" s="76"/>
    </row>
    <row r="44" spans="2:28" ht="26">
      <c r="C44" s="53" t="s">
        <v>134</v>
      </c>
      <c r="D44" s="130"/>
      <c r="E44" s="448">
        <v>12</v>
      </c>
      <c r="F44" s="3" t="s">
        <v>338</v>
      </c>
      <c r="G44" s="167">
        <v>12</v>
      </c>
      <c r="H44" s="3" t="s">
        <v>338</v>
      </c>
      <c r="I44" s="248">
        <f>IF('Paso 6-Prod. y sust. con Hg'!B30=yes,'Paso 6-Prod. y sust. con Hg'!C30/3,0)</f>
        <v>0</v>
      </c>
      <c r="J44" s="231" t="s">
        <v>330</v>
      </c>
      <c r="K44" s="115">
        <f>G44*I44</f>
        <v>0</v>
      </c>
      <c r="L44" s="3" t="s">
        <v>36</v>
      </c>
      <c r="M44" s="15" t="s">
        <v>112</v>
      </c>
      <c r="N44" s="321">
        <f>IF(AND('Paso 5-Trat.+recicl. desechos'!$B$4=no,OR('Paso 5-Trat.+recicl. desechos'!$E$4=no,'Paso 5-Trat.+recicl. desechos'!$E$4=yes,'Paso 5-Trat.+recicl. desechos'!$E$4="")),K42,0)</f>
        <v>0</v>
      </c>
      <c r="O44" s="3"/>
      <c r="P44" s="296">
        <v>0.25</v>
      </c>
      <c r="Q44" s="296"/>
      <c r="R44" s="296">
        <v>0.25</v>
      </c>
      <c r="S44" s="296"/>
      <c r="T44" s="296">
        <v>0.5</v>
      </c>
      <c r="U44" s="296"/>
      <c r="V44" s="116">
        <f t="shared" si="15"/>
        <v>0</v>
      </c>
      <c r="W44" s="116">
        <f t="shared" si="15"/>
        <v>0</v>
      </c>
      <c r="X44" s="116">
        <f t="shared" si="15"/>
        <v>0</v>
      </c>
      <c r="Y44" s="116">
        <f t="shared" si="15"/>
        <v>0</v>
      </c>
      <c r="Z44" s="116">
        <f t="shared" si="16"/>
        <v>0</v>
      </c>
      <c r="AA44" s="116">
        <f t="shared" si="16"/>
        <v>0</v>
      </c>
      <c r="AB44" s="76"/>
    </row>
    <row r="45" spans="2:28" ht="26">
      <c r="C45" s="53" t="s">
        <v>135</v>
      </c>
      <c r="D45" s="130"/>
      <c r="E45" s="448">
        <v>5</v>
      </c>
      <c r="F45" s="3" t="s">
        <v>338</v>
      </c>
      <c r="G45" s="167">
        <v>5</v>
      </c>
      <c r="H45" s="3" t="s">
        <v>338</v>
      </c>
      <c r="I45" s="248">
        <f>IF('Paso 6-Prod. y sust. con Hg'!B30=yes,'Paso 6-Prod. y sust. con Hg'!C30/3,0)</f>
        <v>0</v>
      </c>
      <c r="J45" t="s">
        <v>330</v>
      </c>
      <c r="K45" s="115">
        <f>G45*I45</f>
        <v>0</v>
      </c>
      <c r="L45" s="3" t="s">
        <v>36</v>
      </c>
      <c r="M45" s="15" t="s">
        <v>98</v>
      </c>
      <c r="N45" s="321">
        <f>IF(AND('Paso 5-Trat.+recicl. desechos'!$B$4=yes,'Paso 5-Trat.+recicl. desechos'!$E$4=yes),K42,0)</f>
        <v>0</v>
      </c>
      <c r="O45" s="3"/>
      <c r="P45" s="296"/>
      <c r="Q45" s="296"/>
      <c r="R45" s="296"/>
      <c r="S45" s="296"/>
      <c r="T45" s="296">
        <v>0.6</v>
      </c>
      <c r="U45" s="296">
        <v>0.4</v>
      </c>
      <c r="V45" s="116">
        <f t="shared" si="15"/>
        <v>0</v>
      </c>
      <c r="W45" s="116">
        <f t="shared" si="15"/>
        <v>0</v>
      </c>
      <c r="X45" s="116">
        <f t="shared" si="15"/>
        <v>0</v>
      </c>
      <c r="Y45" s="116">
        <f t="shared" si="15"/>
        <v>0</v>
      </c>
      <c r="Z45" s="116">
        <f t="shared" si="16"/>
        <v>0</v>
      </c>
      <c r="AA45" s="116">
        <f t="shared" si="16"/>
        <v>0</v>
      </c>
      <c r="AB45" s="76"/>
    </row>
    <row r="46" spans="2:28" ht="13">
      <c r="C46" s="53" t="s">
        <v>136</v>
      </c>
      <c r="D46" s="130"/>
      <c r="E46">
        <v>4</v>
      </c>
      <c r="F46" s="3" t="s">
        <v>338</v>
      </c>
      <c r="G46" s="167">
        <v>4</v>
      </c>
      <c r="H46" s="3" t="s">
        <v>338</v>
      </c>
      <c r="I46" s="248">
        <f>IF('Paso 6-Prod. y sust. con Hg'!B30=yes,'Paso 6-Prod. y sust. con Hg'!C30/3,0)</f>
        <v>0</v>
      </c>
      <c r="J46" t="s">
        <v>330</v>
      </c>
      <c r="K46" s="115">
        <f>G46*I46</f>
        <v>0</v>
      </c>
      <c r="L46" s="3" t="s">
        <v>36</v>
      </c>
      <c r="N46" s="248"/>
      <c r="O46" s="3"/>
      <c r="P46" s="296"/>
      <c r="Q46" s="296"/>
      <c r="R46" s="296"/>
      <c r="S46" s="296"/>
      <c r="T46" s="296"/>
      <c r="U46" s="297"/>
      <c r="V46" s="116"/>
      <c r="W46" s="116"/>
      <c r="X46" s="116"/>
      <c r="Y46" s="116"/>
      <c r="Z46" s="116"/>
      <c r="AA46" s="116"/>
      <c r="AB46" s="76"/>
    </row>
    <row r="47" spans="2:28" ht="25.5">
      <c r="C47" s="53" t="s">
        <v>137</v>
      </c>
      <c r="D47" s="130"/>
      <c r="E47" t="s">
        <v>116</v>
      </c>
      <c r="F47" s="3" t="s">
        <v>338</v>
      </c>
      <c r="G47" s="167">
        <v>0.25</v>
      </c>
      <c r="H47" s="3" t="s">
        <v>338</v>
      </c>
      <c r="I47" s="248">
        <f>IF('Paso 6-Prod. y sust. con Hg'!B31=yes,'Paso 6-Prod. y sust. con Hg'!C31,0)</f>
        <v>0</v>
      </c>
      <c r="J47" t="s">
        <v>330</v>
      </c>
      <c r="K47" s="115">
        <f>G47*I47</f>
        <v>0</v>
      </c>
      <c r="L47" s="3" t="s">
        <v>36</v>
      </c>
      <c r="N47" s="248"/>
      <c r="O47" s="3"/>
      <c r="P47" s="296"/>
      <c r="Q47" s="296"/>
      <c r="R47" s="296"/>
      <c r="S47" s="296"/>
      <c r="T47" s="296"/>
      <c r="U47" s="297"/>
      <c r="V47" s="116"/>
      <c r="W47" s="116"/>
      <c r="X47" s="116"/>
      <c r="Y47" s="116"/>
      <c r="Z47" s="116"/>
      <c r="AA47" s="116"/>
      <c r="AB47" s="76"/>
    </row>
    <row r="48" spans="2:28" s="55" customFormat="1">
      <c r="C48" s="105"/>
      <c r="D48" s="76"/>
      <c r="G48" s="76"/>
      <c r="I48" s="247"/>
      <c r="K48" s="58"/>
      <c r="M48" s="162"/>
      <c r="N48" s="248"/>
      <c r="O48" s="104"/>
      <c r="P48" s="297"/>
      <c r="Q48" s="297"/>
      <c r="R48" s="297"/>
      <c r="S48" s="297"/>
      <c r="T48" s="297"/>
      <c r="U48" s="297"/>
      <c r="V48" s="58"/>
      <c r="W48" s="58"/>
      <c r="X48" s="58"/>
      <c r="Y48" s="58"/>
      <c r="Z48" s="58"/>
      <c r="AA48" s="58"/>
      <c r="AB48" s="76"/>
    </row>
    <row r="49" spans="1:28" s="48" customFormat="1" ht="26">
      <c r="B49" s="8" t="s">
        <v>130</v>
      </c>
      <c r="C49" s="12" t="s">
        <v>399</v>
      </c>
      <c r="D49" s="76"/>
      <c r="G49" s="76"/>
      <c r="I49" s="247"/>
      <c r="K49" s="58"/>
      <c r="M49" s="13"/>
      <c r="N49" s="248"/>
      <c r="O49" s="28"/>
      <c r="P49" s="297"/>
      <c r="Q49" s="297"/>
      <c r="R49" s="297"/>
      <c r="S49" s="297"/>
      <c r="T49" s="297"/>
      <c r="U49" s="297"/>
      <c r="V49" s="653">
        <f t="shared" ref="V49:AA49" si="17">SUM(V50:V53)</f>
        <v>0</v>
      </c>
      <c r="W49" s="653">
        <f t="shared" si="17"/>
        <v>0</v>
      </c>
      <c r="X49" s="653">
        <f t="shared" si="17"/>
        <v>0</v>
      </c>
      <c r="Y49" s="653">
        <f t="shared" si="17"/>
        <v>0</v>
      </c>
      <c r="Z49" s="653">
        <f t="shared" si="17"/>
        <v>0</v>
      </c>
      <c r="AA49" s="653">
        <f t="shared" si="17"/>
        <v>0</v>
      </c>
      <c r="AB49" s="76"/>
    </row>
    <row r="50" spans="1:28" s="48" customFormat="1" ht="13">
      <c r="C50" s="12" t="s">
        <v>352</v>
      </c>
      <c r="D50" s="76"/>
      <c r="G50" s="76"/>
      <c r="I50" s="247"/>
      <c r="K50" s="58"/>
      <c r="M50" s="14" t="s">
        <v>99</v>
      </c>
      <c r="N50" s="248"/>
      <c r="O50" s="28"/>
      <c r="P50" s="297"/>
      <c r="Q50" s="297"/>
      <c r="R50" s="297"/>
      <c r="S50" s="297"/>
      <c r="T50" s="297"/>
      <c r="U50" s="297"/>
      <c r="V50" s="58"/>
      <c r="W50" s="58"/>
      <c r="X50" s="58"/>
      <c r="Y50" s="58"/>
      <c r="Z50" s="58"/>
      <c r="AA50" s="58"/>
      <c r="AB50" s="76"/>
    </row>
    <row r="51" spans="1:28" s="48" customFormat="1" ht="13">
      <c r="C51" s="67" t="s">
        <v>91</v>
      </c>
      <c r="D51" s="76"/>
      <c r="E51" s="48" t="s">
        <v>421</v>
      </c>
      <c r="F51" s="36" t="s">
        <v>118</v>
      </c>
      <c r="G51" s="76">
        <v>0.03</v>
      </c>
      <c r="H51" s="36" t="s">
        <v>118</v>
      </c>
      <c r="I51" s="324">
        <f>'Paso 6-Prod. y sust. con Hg'!C33</f>
        <v>0</v>
      </c>
      <c r="J51" s="51" t="s">
        <v>117</v>
      </c>
      <c r="K51" s="500">
        <f>(I51*G51/1000)*'Paso 6-Prod. y sust. con Hg'!$C$34/100</f>
        <v>0</v>
      </c>
      <c r="L51" s="3" t="s">
        <v>36</v>
      </c>
      <c r="M51" s="16" t="s">
        <v>100</v>
      </c>
      <c r="N51" s="248"/>
      <c r="O51" s="28"/>
      <c r="P51" s="297"/>
      <c r="Q51" s="297"/>
      <c r="R51" s="297"/>
      <c r="S51" s="297"/>
      <c r="T51" s="297"/>
      <c r="U51" s="297"/>
      <c r="V51" s="58"/>
      <c r="W51" s="58"/>
      <c r="X51" s="58"/>
      <c r="Y51" s="58"/>
      <c r="Z51" s="58"/>
      <c r="AA51" s="58"/>
      <c r="AB51" s="76"/>
    </row>
    <row r="52" spans="1:28" s="48" customFormat="1" ht="26">
      <c r="C52" s="96"/>
      <c r="D52" s="76"/>
      <c r="G52" s="76"/>
      <c r="I52" s="247"/>
      <c r="K52" s="58"/>
      <c r="M52" s="15" t="s">
        <v>97</v>
      </c>
      <c r="N52" s="248">
        <f>IF(OR('Paso 5-Trat.+recicl. desechos'!$B$4=yes,'Paso 5-Trat.+recicl. desechos'!$B$4=yes),K51,0)</f>
        <v>0</v>
      </c>
      <c r="O52" s="28"/>
      <c r="P52" s="297">
        <v>0.1</v>
      </c>
      <c r="Q52" s="297">
        <v>0.05</v>
      </c>
      <c r="R52" s="297"/>
      <c r="S52" s="297"/>
      <c r="T52" s="297">
        <v>0.85</v>
      </c>
      <c r="U52" s="297"/>
      <c r="V52" s="116">
        <f t="shared" ref="V52:AA52" si="18">$N52*P52</f>
        <v>0</v>
      </c>
      <c r="W52" s="116">
        <f t="shared" si="18"/>
        <v>0</v>
      </c>
      <c r="X52" s="116">
        <f t="shared" si="18"/>
        <v>0</v>
      </c>
      <c r="Y52" s="116">
        <f t="shared" si="18"/>
        <v>0</v>
      </c>
      <c r="Z52" s="116">
        <f t="shared" si="18"/>
        <v>0</v>
      </c>
      <c r="AA52" s="116">
        <f t="shared" si="18"/>
        <v>0</v>
      </c>
      <c r="AB52" s="76"/>
    </row>
    <row r="53" spans="1:28" s="48" customFormat="1" ht="26">
      <c r="C53" s="96"/>
      <c r="D53" s="288"/>
      <c r="G53" s="288"/>
      <c r="I53" s="325"/>
      <c r="K53" s="326"/>
      <c r="M53" s="15" t="s">
        <v>112</v>
      </c>
      <c r="N53" s="327">
        <f>IF(OR('Paso 5-Trat.+recicl. desechos'!$B$4=no,'Paso 5-Trat.+recicl. desechos'!$B$4=no),K51,0)</f>
        <v>0</v>
      </c>
      <c r="O53" s="28"/>
      <c r="P53" s="434">
        <v>0.2</v>
      </c>
      <c r="Q53" s="434">
        <v>0.1</v>
      </c>
      <c r="R53" s="434">
        <v>0.4</v>
      </c>
      <c r="S53" s="434"/>
      <c r="T53" s="434">
        <v>0.3</v>
      </c>
      <c r="U53" s="434"/>
      <c r="V53" s="328">
        <f t="shared" ref="V53:AA53" si="19">$N53*P53</f>
        <v>0</v>
      </c>
      <c r="W53" s="328">
        <f t="shared" si="19"/>
        <v>0</v>
      </c>
      <c r="X53" s="328">
        <f t="shared" si="19"/>
        <v>0</v>
      </c>
      <c r="Y53" s="328">
        <f t="shared" si="19"/>
        <v>0</v>
      </c>
      <c r="Z53" s="328">
        <f t="shared" si="19"/>
        <v>0</v>
      </c>
      <c r="AA53" s="328">
        <f t="shared" si="19"/>
        <v>0</v>
      </c>
      <c r="AB53" s="76"/>
    </row>
    <row r="54" spans="1:28" s="48" customFormat="1" ht="39">
      <c r="C54" s="96"/>
      <c r="D54" s="288"/>
      <c r="G54" s="288"/>
      <c r="I54" s="325"/>
      <c r="K54" s="326"/>
      <c r="M54" s="15" t="s">
        <v>761</v>
      </c>
      <c r="N54" s="327"/>
      <c r="O54" s="28"/>
      <c r="P54" s="434"/>
      <c r="Q54" s="434"/>
      <c r="R54" s="434"/>
      <c r="S54" s="434"/>
      <c r="T54" s="434"/>
      <c r="U54" s="434"/>
      <c r="V54" s="328"/>
      <c r="W54" s="328"/>
      <c r="X54" s="328"/>
      <c r="Y54" s="328"/>
      <c r="Z54" s="328"/>
      <c r="AA54" s="328"/>
      <c r="AB54" s="76"/>
    </row>
    <row r="55" spans="1:28" ht="26">
      <c r="A55" s="91"/>
      <c r="B55" s="329" t="s">
        <v>139</v>
      </c>
      <c r="C55" s="97" t="s">
        <v>129</v>
      </c>
      <c r="D55" s="111"/>
      <c r="E55" s="91"/>
      <c r="F55" s="91"/>
      <c r="G55" s="76"/>
      <c r="H55" s="91"/>
      <c r="I55" s="247"/>
      <c r="J55" s="91"/>
      <c r="K55" s="114"/>
      <c r="L55" s="88"/>
      <c r="M55" s="330"/>
      <c r="N55" s="248"/>
      <c r="O55" s="88"/>
      <c r="P55" s="297"/>
      <c r="Q55" s="297"/>
      <c r="R55" s="297"/>
      <c r="S55" s="297"/>
      <c r="T55" s="297"/>
      <c r="U55" s="297"/>
      <c r="V55" s="114">
        <f t="shared" ref="V55:AA55" si="20">SUM(V56:V57)</f>
        <v>0</v>
      </c>
      <c r="W55" s="114">
        <f t="shared" si="20"/>
        <v>0</v>
      </c>
      <c r="X55" s="114">
        <f t="shared" si="20"/>
        <v>0</v>
      </c>
      <c r="Y55" s="114">
        <f t="shared" si="20"/>
        <v>0</v>
      </c>
      <c r="Z55" s="114">
        <f t="shared" si="20"/>
        <v>0</v>
      </c>
      <c r="AA55" s="114">
        <f t="shared" si="20"/>
        <v>0</v>
      </c>
      <c r="AB55" s="76"/>
    </row>
    <row r="56" spans="1:28" ht="13">
      <c r="C56" s="12" t="s">
        <v>352</v>
      </c>
      <c r="D56" s="111"/>
      <c r="E56" t="s">
        <v>43</v>
      </c>
      <c r="F56" s="3"/>
      <c r="G56" s="76">
        <v>1</v>
      </c>
      <c r="H56" s="3"/>
      <c r="I56" s="248">
        <f>'Paso 4-Uso industrial de Hg'!C15</f>
        <v>0</v>
      </c>
      <c r="J56" s="8" t="s">
        <v>387</v>
      </c>
      <c r="K56" s="115">
        <f>I56*G56</f>
        <v>0</v>
      </c>
      <c r="L56" s="3" t="s">
        <v>36</v>
      </c>
      <c r="M56" s="14" t="s">
        <v>99</v>
      </c>
      <c r="N56" s="248">
        <f>K56</f>
        <v>0</v>
      </c>
      <c r="O56" s="3" t="s">
        <v>36</v>
      </c>
      <c r="P56" s="296">
        <v>0.01</v>
      </c>
      <c r="Q56" s="296">
        <v>5.0000000000000001E-3</v>
      </c>
      <c r="R56" s="296">
        <v>0.1</v>
      </c>
      <c r="S56" s="296"/>
      <c r="T56" s="296">
        <v>0.1</v>
      </c>
      <c r="U56" s="296">
        <v>0.01</v>
      </c>
      <c r="V56" s="116">
        <f t="shared" ref="V56:AA57" si="21">$N56*P56</f>
        <v>0</v>
      </c>
      <c r="W56" s="116">
        <f t="shared" si="21"/>
        <v>0</v>
      </c>
      <c r="X56" s="116">
        <f t="shared" si="21"/>
        <v>0</v>
      </c>
      <c r="Y56" s="116">
        <f t="shared" si="21"/>
        <v>0</v>
      </c>
      <c r="Z56" s="116">
        <f t="shared" si="21"/>
        <v>0</v>
      </c>
      <c r="AA56" s="116">
        <f t="shared" si="21"/>
        <v>0</v>
      </c>
      <c r="AB56" s="76"/>
    </row>
    <row r="57" spans="1:28" ht="13">
      <c r="C57" s="67" t="s">
        <v>91</v>
      </c>
      <c r="D57" s="111"/>
      <c r="E57" t="s">
        <v>43</v>
      </c>
      <c r="F57" s="3"/>
      <c r="G57" s="76" t="s">
        <v>43</v>
      </c>
      <c r="H57" s="3"/>
      <c r="I57" s="248"/>
      <c r="K57" s="115" t="s">
        <v>43</v>
      </c>
      <c r="L57" s="3"/>
      <c r="M57" s="16" t="s">
        <v>100</v>
      </c>
      <c r="N57" s="248"/>
      <c r="O57" s="3"/>
      <c r="P57" s="296"/>
      <c r="Q57" s="296"/>
      <c r="R57" s="296"/>
      <c r="S57" s="296"/>
      <c r="T57" s="296"/>
      <c r="U57" s="296"/>
      <c r="V57" s="116">
        <f t="shared" si="21"/>
        <v>0</v>
      </c>
      <c r="W57" s="116">
        <f t="shared" si="21"/>
        <v>0</v>
      </c>
      <c r="X57" s="116">
        <f t="shared" si="21"/>
        <v>0</v>
      </c>
      <c r="Y57" s="116">
        <f t="shared" si="21"/>
        <v>0</v>
      </c>
      <c r="Z57" s="116">
        <f t="shared" si="21"/>
        <v>0</v>
      </c>
      <c r="AA57" s="116">
        <f t="shared" si="21"/>
        <v>0</v>
      </c>
      <c r="AB57" s="76"/>
    </row>
    <row r="58" spans="1:28" s="55" customFormat="1" ht="13">
      <c r="C58" s="163"/>
      <c r="D58" s="111"/>
      <c r="F58" s="104"/>
      <c r="G58" s="76"/>
      <c r="H58" s="104"/>
      <c r="I58" s="248"/>
      <c r="K58" s="115"/>
      <c r="L58" s="104"/>
      <c r="M58" s="164"/>
      <c r="N58" s="248"/>
      <c r="O58" s="104"/>
      <c r="P58" s="296"/>
      <c r="Q58" s="296"/>
      <c r="R58" s="296"/>
      <c r="S58" s="296"/>
      <c r="T58" s="296"/>
      <c r="U58" s="296"/>
      <c r="V58" s="116"/>
      <c r="W58" s="116"/>
      <c r="X58" s="116"/>
      <c r="Y58" s="116"/>
      <c r="Z58" s="116"/>
      <c r="AA58" s="116"/>
      <c r="AB58" s="76"/>
    </row>
    <row r="59" spans="1:28" ht="13">
      <c r="B59" s="8" t="s">
        <v>370</v>
      </c>
      <c r="C59" s="12" t="s">
        <v>138</v>
      </c>
      <c r="D59" s="111"/>
      <c r="G59" s="76"/>
      <c r="I59" s="247"/>
      <c r="K59" s="114"/>
      <c r="L59" s="3"/>
      <c r="M59" s="14"/>
      <c r="N59" s="248"/>
      <c r="O59" s="3"/>
      <c r="P59" s="297"/>
      <c r="Q59" s="297"/>
      <c r="R59" s="297"/>
      <c r="S59" s="297"/>
      <c r="T59" s="297"/>
      <c r="U59" s="297"/>
      <c r="V59" s="114">
        <f t="shared" ref="V59:AA59" si="22">SUM(V60:V61)</f>
        <v>0</v>
      </c>
      <c r="W59" s="114">
        <f t="shared" si="22"/>
        <v>0</v>
      </c>
      <c r="X59" s="114">
        <f t="shared" si="22"/>
        <v>0</v>
      </c>
      <c r="Y59" s="114">
        <f t="shared" si="22"/>
        <v>0</v>
      </c>
      <c r="Z59" s="114">
        <f t="shared" si="22"/>
        <v>0</v>
      </c>
      <c r="AA59" s="114">
        <f t="shared" si="22"/>
        <v>0</v>
      </c>
      <c r="AB59" s="76"/>
    </row>
    <row r="60" spans="1:28" ht="13">
      <c r="C60" s="12" t="s">
        <v>352</v>
      </c>
      <c r="D60" s="111"/>
      <c r="E60" s="6"/>
      <c r="F60" s="3"/>
      <c r="G60" s="76">
        <v>1</v>
      </c>
      <c r="H60" s="3"/>
      <c r="I60" s="248">
        <f>'Paso 4-Uso industrial de Hg'!C16</f>
        <v>0</v>
      </c>
      <c r="J60" t="s">
        <v>386</v>
      </c>
      <c r="K60" s="115">
        <f>I60*G60</f>
        <v>0</v>
      </c>
      <c r="L60" s="3" t="s">
        <v>36</v>
      </c>
      <c r="M60" s="14" t="s">
        <v>99</v>
      </c>
      <c r="N60" s="248">
        <f>K60</f>
        <v>0</v>
      </c>
      <c r="O60" s="3" t="s">
        <v>36</v>
      </c>
      <c r="P60" s="296">
        <v>0.01</v>
      </c>
      <c r="Q60" s="296">
        <v>5.0000000000000001E-3</v>
      </c>
      <c r="R60" s="296">
        <v>0.1</v>
      </c>
      <c r="S60" s="296"/>
      <c r="T60" s="296">
        <v>0.1</v>
      </c>
      <c r="U60" s="296">
        <v>0.01</v>
      </c>
      <c r="V60" s="116">
        <f t="shared" ref="V60:AA61" si="23">$N60*P60</f>
        <v>0</v>
      </c>
      <c r="W60" s="116">
        <f t="shared" si="23"/>
        <v>0</v>
      </c>
      <c r="X60" s="116">
        <f t="shared" si="23"/>
        <v>0</v>
      </c>
      <c r="Y60" s="116">
        <f t="shared" si="23"/>
        <v>0</v>
      </c>
      <c r="Z60" s="116">
        <f t="shared" si="23"/>
        <v>0</v>
      </c>
      <c r="AA60" s="116">
        <f t="shared" si="23"/>
        <v>0</v>
      </c>
      <c r="AB60" s="76"/>
    </row>
    <row r="61" spans="1:28" ht="13">
      <c r="C61" s="67" t="s">
        <v>91</v>
      </c>
      <c r="D61" s="111"/>
      <c r="E61" s="6" t="s">
        <v>140</v>
      </c>
      <c r="F61" s="3" t="s">
        <v>339</v>
      </c>
      <c r="G61" s="76">
        <v>2.6</v>
      </c>
      <c r="H61" s="3" t="s">
        <v>339</v>
      </c>
      <c r="I61" s="248">
        <f>'Paso 6-Prod. y sust. con Hg'!C36</f>
        <v>0</v>
      </c>
      <c r="J61" t="s">
        <v>331</v>
      </c>
      <c r="K61" s="115">
        <f>G61*I61</f>
        <v>0</v>
      </c>
      <c r="L61" s="3" t="s">
        <v>36</v>
      </c>
      <c r="M61" s="16" t="s">
        <v>141</v>
      </c>
      <c r="N61" s="248">
        <f>K61</f>
        <v>0</v>
      </c>
      <c r="O61" s="17"/>
      <c r="P61" s="296">
        <v>0.92</v>
      </c>
      <c r="Q61" s="296">
        <v>0.05</v>
      </c>
      <c r="R61" s="296"/>
      <c r="S61" s="296"/>
      <c r="T61" s="296">
        <v>0.03</v>
      </c>
      <c r="U61" s="296"/>
      <c r="V61" s="116">
        <f t="shared" si="23"/>
        <v>0</v>
      </c>
      <c r="W61" s="116">
        <f t="shared" si="23"/>
        <v>0</v>
      </c>
      <c r="X61" s="116">
        <f t="shared" si="23"/>
        <v>0</v>
      </c>
      <c r="Y61" s="116">
        <f t="shared" si="23"/>
        <v>0</v>
      </c>
      <c r="Z61" s="116">
        <f t="shared" si="23"/>
        <v>0</v>
      </c>
      <c r="AA61" s="116">
        <f t="shared" si="23"/>
        <v>0</v>
      </c>
      <c r="AB61" s="76"/>
    </row>
    <row r="62" spans="1:28" s="55" customFormat="1" ht="13">
      <c r="C62" s="163"/>
      <c r="D62" s="111"/>
      <c r="F62" s="104"/>
      <c r="G62" s="76"/>
      <c r="H62" s="104"/>
      <c r="I62" s="248"/>
      <c r="K62" s="115"/>
      <c r="L62" s="104"/>
      <c r="M62" s="164"/>
      <c r="N62" s="248"/>
      <c r="O62" s="104"/>
      <c r="P62" s="296"/>
      <c r="Q62" s="296"/>
      <c r="R62" s="296"/>
      <c r="S62" s="296"/>
      <c r="T62" s="296"/>
      <c r="U62" s="296"/>
      <c r="V62" s="116"/>
      <c r="W62" s="116"/>
      <c r="X62" s="116"/>
      <c r="Y62" s="116"/>
      <c r="Z62" s="116"/>
      <c r="AA62" s="116"/>
      <c r="AB62" s="76"/>
    </row>
    <row r="63" spans="1:28" ht="26">
      <c r="B63" s="36" t="s">
        <v>397</v>
      </c>
      <c r="C63" s="12" t="s">
        <v>142</v>
      </c>
      <c r="D63" s="111"/>
      <c r="G63" s="283"/>
      <c r="I63" s="247"/>
      <c r="K63" s="114"/>
      <c r="L63" s="3"/>
      <c r="M63" s="14"/>
      <c r="N63" s="248"/>
      <c r="O63" s="3"/>
      <c r="P63" s="297"/>
      <c r="Q63" s="297"/>
      <c r="R63" s="297"/>
      <c r="S63" s="297"/>
      <c r="T63" s="297"/>
      <c r="U63" s="297"/>
      <c r="V63" s="114">
        <f t="shared" ref="V63:AA63" si="24">SUM(V64:V65)</f>
        <v>0</v>
      </c>
      <c r="W63" s="114">
        <f t="shared" si="24"/>
        <v>0</v>
      </c>
      <c r="X63" s="114">
        <f t="shared" si="24"/>
        <v>0</v>
      </c>
      <c r="Y63" s="114">
        <f t="shared" si="24"/>
        <v>0</v>
      </c>
      <c r="Z63" s="114">
        <f t="shared" si="24"/>
        <v>0</v>
      </c>
      <c r="AA63" s="114">
        <f t="shared" si="24"/>
        <v>0</v>
      </c>
      <c r="AB63" s="76"/>
    </row>
    <row r="64" spans="1:28" ht="13">
      <c r="C64" s="12" t="s">
        <v>352</v>
      </c>
      <c r="D64" s="111"/>
      <c r="E64" s="18"/>
      <c r="F64" s="3" t="s">
        <v>339</v>
      </c>
      <c r="G64" s="283">
        <v>1</v>
      </c>
      <c r="I64" s="298">
        <f>'Paso 4-Uso industrial de Hg'!C17</f>
        <v>0</v>
      </c>
      <c r="J64" s="8" t="s">
        <v>387</v>
      </c>
      <c r="K64" s="115">
        <f>I64*G64</f>
        <v>0</v>
      </c>
      <c r="L64" s="3" t="s">
        <v>36</v>
      </c>
      <c r="M64" s="14" t="s">
        <v>99</v>
      </c>
      <c r="N64" s="248">
        <f>K64</f>
        <v>0</v>
      </c>
      <c r="O64" s="3" t="s">
        <v>36</v>
      </c>
      <c r="P64" s="296">
        <v>0.01</v>
      </c>
      <c r="Q64" s="296">
        <v>5.0000000000000001E-3</v>
      </c>
      <c r="R64" s="296">
        <v>0.1</v>
      </c>
      <c r="S64" s="296"/>
      <c r="T64" s="296">
        <v>0.1</v>
      </c>
      <c r="U64" s="296">
        <v>0.01</v>
      </c>
      <c r="V64" s="116">
        <f t="shared" ref="V64:AA65" si="25">$N64*P64</f>
        <v>0</v>
      </c>
      <c r="W64" s="116">
        <f t="shared" si="25"/>
        <v>0</v>
      </c>
      <c r="X64" s="116">
        <f t="shared" si="25"/>
        <v>0</v>
      </c>
      <c r="Y64" s="116">
        <f t="shared" si="25"/>
        <v>0</v>
      </c>
      <c r="Z64" s="116">
        <f t="shared" si="25"/>
        <v>0</v>
      </c>
      <c r="AA64" s="116">
        <f t="shared" si="25"/>
        <v>0</v>
      </c>
      <c r="AB64" s="76"/>
    </row>
    <row r="65" spans="3:28" ht="13">
      <c r="C65" s="67" t="s">
        <v>91</v>
      </c>
      <c r="D65" s="111"/>
      <c r="E65" s="18" t="s">
        <v>143</v>
      </c>
      <c r="F65" s="3" t="s">
        <v>339</v>
      </c>
      <c r="G65" s="76">
        <v>30</v>
      </c>
      <c r="H65" s="3" t="s">
        <v>339</v>
      </c>
      <c r="I65" s="248">
        <f>'Paso 6-Prod. y sust. con Hg'!C38</f>
        <v>0</v>
      </c>
      <c r="J65" t="s">
        <v>332</v>
      </c>
      <c r="K65" s="115">
        <f>G65*I65</f>
        <v>0</v>
      </c>
      <c r="L65" s="3" t="s">
        <v>36</v>
      </c>
      <c r="M65" s="16" t="s">
        <v>141</v>
      </c>
      <c r="N65" s="248">
        <f>K65</f>
        <v>0</v>
      </c>
      <c r="O65" s="17"/>
      <c r="P65" s="296"/>
      <c r="Q65" s="296">
        <v>0.95</v>
      </c>
      <c r="R65" s="296">
        <v>0.05</v>
      </c>
      <c r="S65" s="296"/>
      <c r="T65" s="296"/>
      <c r="U65" s="296"/>
      <c r="V65" s="116">
        <f t="shared" si="25"/>
        <v>0</v>
      </c>
      <c r="W65" s="116">
        <f t="shared" si="25"/>
        <v>0</v>
      </c>
      <c r="X65" s="116">
        <f t="shared" si="25"/>
        <v>0</v>
      </c>
      <c r="Y65" s="116">
        <f t="shared" si="25"/>
        <v>0</v>
      </c>
      <c r="Z65" s="116">
        <f t="shared" si="25"/>
        <v>0</v>
      </c>
      <c r="AA65" s="116">
        <f t="shared" si="25"/>
        <v>0</v>
      </c>
      <c r="AB65" s="76"/>
    </row>
    <row r="66" spans="3:28" s="55" customFormat="1" ht="13">
      <c r="C66" s="165"/>
      <c r="D66" s="111"/>
      <c r="F66" s="104"/>
      <c r="G66" s="76"/>
      <c r="H66" s="104"/>
      <c r="I66" s="248"/>
      <c r="K66" s="115"/>
      <c r="L66" s="104"/>
      <c r="M66" s="164"/>
      <c r="N66" s="247"/>
      <c r="O66" s="104"/>
      <c r="P66" s="284"/>
      <c r="Q66" s="284"/>
      <c r="R66" s="284"/>
      <c r="S66" s="284"/>
      <c r="T66" s="284"/>
      <c r="U66" s="284"/>
      <c r="V66" s="116"/>
      <c r="W66" s="116"/>
      <c r="X66" s="116"/>
      <c r="Y66" s="116"/>
      <c r="Z66" s="116"/>
      <c r="AA66" s="116"/>
      <c r="AB66" s="76"/>
    </row>
    <row r="67" spans="3:28" s="3" customFormat="1" ht="13">
      <c r="C67" s="40"/>
      <c r="D67" s="7"/>
      <c r="I67" s="249"/>
      <c r="K67" s="21"/>
      <c r="M67" s="59"/>
      <c r="N67" s="239"/>
      <c r="P67" s="60"/>
      <c r="Q67" s="60"/>
      <c r="R67" s="60"/>
      <c r="S67" s="60"/>
      <c r="T67" s="60"/>
      <c r="U67" s="60"/>
      <c r="V67" s="22"/>
      <c r="W67" s="22"/>
      <c r="X67" s="22"/>
      <c r="Y67" s="22"/>
      <c r="Z67" s="22"/>
      <c r="AA67" s="22"/>
    </row>
    <row r="68" spans="3:28" s="3" customFormat="1" ht="13">
      <c r="C68" s="7" t="s">
        <v>56</v>
      </c>
      <c r="D68" s="36" t="s">
        <v>351</v>
      </c>
      <c r="I68" s="249"/>
      <c r="K68" s="21"/>
      <c r="M68" s="59"/>
      <c r="N68" s="239"/>
      <c r="P68" s="60"/>
      <c r="Q68" s="60"/>
      <c r="R68" s="60"/>
      <c r="S68" s="60"/>
      <c r="T68" s="60"/>
      <c r="U68" s="60"/>
      <c r="V68" s="22"/>
      <c r="W68" s="22"/>
      <c r="X68" s="22"/>
      <c r="Y68" s="22"/>
      <c r="Z68" s="22"/>
      <c r="AA68" s="22"/>
    </row>
    <row r="69" spans="3:28" s="3" customFormat="1" ht="13">
      <c r="C69" s="40"/>
      <c r="D69" s="7"/>
      <c r="I69" s="249"/>
      <c r="K69" s="21"/>
      <c r="M69" s="59"/>
      <c r="N69" s="239"/>
      <c r="P69" s="60"/>
      <c r="Q69" s="60"/>
      <c r="R69" s="60"/>
      <c r="S69" s="60"/>
      <c r="T69" s="60"/>
      <c r="U69" s="60"/>
      <c r="V69" s="22"/>
      <c r="W69" s="22"/>
      <c r="X69" s="22"/>
      <c r="Y69" s="22"/>
      <c r="Z69" s="22"/>
      <c r="AA69" s="22"/>
    </row>
    <row r="70" spans="3:28" s="3" customFormat="1" ht="13">
      <c r="C70" s="40"/>
      <c r="D70" s="7"/>
      <c r="I70" s="249"/>
      <c r="K70" s="21"/>
      <c r="M70" s="59"/>
      <c r="N70" s="239"/>
      <c r="P70" s="60"/>
      <c r="Q70" s="60"/>
      <c r="R70" s="60"/>
      <c r="S70" s="60"/>
      <c r="T70" s="60"/>
      <c r="U70" s="60"/>
      <c r="V70" s="22"/>
      <c r="W70" s="22"/>
      <c r="X70" s="22"/>
      <c r="Y70" s="22"/>
      <c r="Z70" s="22"/>
      <c r="AA70" s="22"/>
    </row>
    <row r="71" spans="3:28" s="3" customFormat="1" ht="13">
      <c r="C71" s="40"/>
      <c r="D71" s="7"/>
      <c r="I71" s="249"/>
      <c r="K71" s="21"/>
      <c r="M71" s="59"/>
      <c r="N71" s="239"/>
      <c r="P71" s="60"/>
      <c r="Q71" s="60"/>
      <c r="R71" s="60"/>
      <c r="S71" s="60"/>
      <c r="T71" s="60"/>
      <c r="U71" s="60"/>
      <c r="V71" s="22"/>
      <c r="W71" s="22"/>
      <c r="X71" s="22"/>
      <c r="Y71" s="22"/>
      <c r="Z71" s="22"/>
      <c r="AA71" s="22"/>
    </row>
    <row r="72" spans="3:28" s="3" customFormat="1" ht="13">
      <c r="C72" s="40"/>
      <c r="D72" s="7"/>
      <c r="I72" s="249"/>
      <c r="K72" s="21"/>
      <c r="M72" s="59"/>
      <c r="N72" s="239"/>
      <c r="P72" s="60"/>
      <c r="Q72" s="60"/>
      <c r="R72" s="60"/>
      <c r="S72" s="60"/>
      <c r="T72" s="60"/>
      <c r="U72" s="60"/>
      <c r="V72" s="22"/>
      <c r="W72" s="22"/>
      <c r="X72" s="22"/>
      <c r="Y72" s="22"/>
      <c r="Z72" s="22"/>
      <c r="AA72" s="22"/>
    </row>
    <row r="73" spans="3:28" s="3" customFormat="1" ht="13">
      <c r="C73" s="40"/>
      <c r="D73" s="7"/>
      <c r="I73" s="249"/>
      <c r="K73" s="21"/>
      <c r="M73" s="59"/>
      <c r="N73" s="239"/>
      <c r="P73" s="60"/>
      <c r="Q73" s="60"/>
      <c r="R73" s="60"/>
      <c r="S73" s="60"/>
      <c r="T73" s="60"/>
      <c r="U73" s="60"/>
      <c r="V73" s="22"/>
      <c r="W73" s="22"/>
      <c r="X73" s="22"/>
      <c r="Y73" s="22"/>
      <c r="Z73" s="22"/>
      <c r="AA73" s="22"/>
    </row>
    <row r="74" spans="3:28" s="3" customFormat="1" ht="13">
      <c r="C74" s="36"/>
      <c r="E74" s="11"/>
      <c r="I74" s="249"/>
      <c r="K74" s="21"/>
      <c r="M74" s="62"/>
      <c r="N74" s="239"/>
      <c r="P74" s="60"/>
      <c r="Q74" s="60"/>
      <c r="R74" s="60"/>
      <c r="S74" s="60"/>
      <c r="T74" s="60"/>
      <c r="U74" s="60"/>
      <c r="V74" s="22"/>
      <c r="W74" s="22"/>
      <c r="X74" s="22"/>
      <c r="Y74" s="22"/>
      <c r="Z74" s="22"/>
      <c r="AA74" s="22"/>
    </row>
    <row r="75" spans="3:28" s="3" customFormat="1" ht="13">
      <c r="C75" s="36"/>
      <c r="E75" s="11"/>
      <c r="I75" s="249"/>
      <c r="K75" s="21"/>
      <c r="M75" s="62"/>
      <c r="N75" s="239"/>
      <c r="P75" s="60"/>
      <c r="Q75" s="60"/>
      <c r="R75" s="60"/>
      <c r="S75" s="60"/>
      <c r="T75" s="60"/>
      <c r="U75" s="60"/>
      <c r="V75" s="22"/>
      <c r="W75" s="22"/>
      <c r="X75" s="22"/>
      <c r="Y75" s="22"/>
      <c r="Z75" s="22"/>
      <c r="AA75" s="22"/>
    </row>
    <row r="76" spans="3:28" s="3" customFormat="1" ht="13">
      <c r="C76" s="36"/>
      <c r="E76" s="11"/>
      <c r="I76" s="249"/>
      <c r="K76" s="21"/>
      <c r="M76" s="62"/>
      <c r="N76" s="239"/>
      <c r="P76" s="60"/>
      <c r="Q76" s="60"/>
      <c r="R76" s="60"/>
      <c r="S76" s="60"/>
      <c r="T76" s="60"/>
      <c r="U76" s="60"/>
      <c r="V76" s="22"/>
      <c r="W76" s="22"/>
      <c r="X76" s="22"/>
      <c r="Y76" s="22"/>
      <c r="Z76" s="22"/>
      <c r="AA76" s="22"/>
    </row>
    <row r="77" spans="3:28" s="3" customFormat="1" ht="13">
      <c r="C77" s="36"/>
      <c r="E77" s="11"/>
      <c r="I77" s="249"/>
      <c r="K77" s="21"/>
      <c r="M77" s="63"/>
      <c r="N77" s="239"/>
      <c r="P77" s="23"/>
      <c r="Q77" s="23"/>
      <c r="R77" s="24"/>
      <c r="S77" s="24"/>
      <c r="T77" s="23"/>
      <c r="V77" s="22"/>
      <c r="W77" s="22"/>
      <c r="X77" s="22"/>
      <c r="Y77" s="22"/>
      <c r="Z77" s="22"/>
      <c r="AA77" s="22"/>
    </row>
    <row r="78" spans="3:28" s="3" customFormat="1">
      <c r="I78" s="239"/>
      <c r="M78" s="63"/>
      <c r="N78" s="239"/>
    </row>
    <row r="79" spans="3:28" s="3" customFormat="1">
      <c r="I79" s="239"/>
      <c r="M79" s="63"/>
      <c r="N79" s="239"/>
    </row>
    <row r="80" spans="3:28" s="3" customFormat="1" ht="13">
      <c r="C80" s="7"/>
      <c r="D80" s="7"/>
      <c r="I80" s="239"/>
      <c r="M80" s="64"/>
      <c r="N80" s="239"/>
      <c r="V80" s="25"/>
      <c r="W80" s="25"/>
      <c r="X80" s="25"/>
      <c r="Y80" s="25"/>
      <c r="Z80" s="25"/>
      <c r="AA80" s="25"/>
    </row>
    <row r="81" spans="3:27" s="3" customFormat="1" ht="13">
      <c r="C81" s="7"/>
      <c r="D81" s="7"/>
      <c r="I81" s="249"/>
      <c r="K81" s="21"/>
      <c r="M81" s="64"/>
      <c r="N81" s="249"/>
      <c r="P81" s="60"/>
      <c r="Q81" s="60"/>
      <c r="R81" s="60"/>
      <c r="S81" s="60"/>
      <c r="T81" s="60"/>
      <c r="U81" s="60"/>
      <c r="V81" s="22"/>
      <c r="W81" s="22"/>
      <c r="X81" s="22"/>
      <c r="Y81" s="22"/>
      <c r="Z81" s="22"/>
      <c r="AA81" s="22"/>
    </row>
  </sheetData>
  <sheetProtection algorithmName="SHA-512" hashValue="Tx4ejCKIZAkhTXBGJR/nDq20SfljKD8yJT/e7gMaTiUek66zIJK5EGvmBFOQZ3mlg4OKkjFp+E1EaGCdZOwQUA==" saltValue="NJCcGvdOZ9ALLccSknTKwA==" spinCount="100000" sheet="1" objects="1" scenarios="1"/>
  <phoneticPr fontId="2" type="noConversion"/>
  <pageMargins left="0.39370078740157483" right="0.39370078740157483" top="0.74803149606299213" bottom="0.74803149606299213" header="0.31496062992125984" footer="0.31496062992125984"/>
  <pageSetup paperSize="9" orientation="landscape" r:id="rId1"/>
  <headerFooter>
    <oddFooter>&amp;L&amp;A
Printed &amp;D</oddFooter>
  </headerFooter>
  <ignoredErrors>
    <ignoredError sqref="E28" twoDigitTextYear="1"/>
  </ignoredError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dimension ref="A1:AD101"/>
  <sheetViews>
    <sheetView zoomScale="70" zoomScaleNormal="70" workbookViewId="0">
      <selection activeCell="A26" sqref="A26"/>
    </sheetView>
  </sheetViews>
  <sheetFormatPr defaultColWidth="8.81640625" defaultRowHeight="12.5"/>
  <cols>
    <col min="1" max="1" width="3.453125" customWidth="1"/>
    <col min="2" max="2" width="5.1796875" customWidth="1"/>
    <col min="3" max="3" width="34" customWidth="1"/>
    <col min="4" max="4" width="8.453125" customWidth="1"/>
    <col min="5" max="5" width="10.36328125" customWidth="1"/>
    <col min="7" max="7" width="10.1796875" customWidth="1"/>
    <col min="8" max="8" width="11.453125" customWidth="1"/>
    <col min="9" max="9" width="16.81640625" style="240" customWidth="1"/>
    <col min="10" max="10" width="14.453125" customWidth="1"/>
    <col min="11" max="11" width="10.36328125" bestFit="1" customWidth="1"/>
    <col min="13" max="13" width="33.453125" style="13" customWidth="1"/>
    <col min="14" max="14" width="9.1796875" style="240"/>
    <col min="21" max="21" width="16.453125" customWidth="1"/>
    <col min="27" max="27" width="17" customWidth="1"/>
    <col min="28" max="28" width="63.453125" customWidth="1"/>
  </cols>
  <sheetData>
    <row r="1" spans="1:30" ht="18">
      <c r="A1" s="1" t="s">
        <v>733</v>
      </c>
      <c r="I1" s="231"/>
      <c r="N1" s="231"/>
      <c r="V1" s="22"/>
      <c r="W1" s="3"/>
      <c r="X1" s="3"/>
      <c r="Y1" s="3"/>
      <c r="Z1" s="3"/>
      <c r="AA1" s="3"/>
    </row>
    <row r="2" spans="1:30" ht="14">
      <c r="A2" s="54" t="s">
        <v>313</v>
      </c>
      <c r="I2" s="231"/>
      <c r="L2" s="55"/>
      <c r="M2" s="55"/>
      <c r="N2" s="231"/>
    </row>
    <row r="3" spans="1:30" s="180" customFormat="1" ht="13">
      <c r="D3" s="181"/>
      <c r="E3" s="181"/>
      <c r="F3" s="181"/>
      <c r="G3" s="181"/>
      <c r="H3" s="181"/>
      <c r="I3" s="258"/>
      <c r="J3" s="181"/>
      <c r="K3" s="181"/>
      <c r="L3" s="30"/>
      <c r="M3" s="30"/>
      <c r="N3" s="258"/>
      <c r="O3" s="181"/>
      <c r="P3" s="183" t="s">
        <v>55</v>
      </c>
      <c r="Q3" s="183"/>
      <c r="R3" s="183"/>
      <c r="S3" s="183"/>
      <c r="T3" s="183"/>
      <c r="U3" s="183"/>
      <c r="V3" s="184" t="s">
        <v>54</v>
      </c>
      <c r="W3" s="185"/>
      <c r="X3" s="185"/>
      <c r="Y3" s="185"/>
      <c r="Z3" s="185"/>
      <c r="AA3" s="185"/>
      <c r="AB3" s="183"/>
    </row>
    <row r="4" spans="1:30" s="186" customFormat="1" ht="39">
      <c r="A4" s="186" t="s">
        <v>52</v>
      </c>
      <c r="B4" s="186" t="s">
        <v>50</v>
      </c>
      <c r="C4" s="136" t="s">
        <v>59</v>
      </c>
      <c r="D4" s="112" t="s">
        <v>153</v>
      </c>
      <c r="E4" s="136" t="s">
        <v>49</v>
      </c>
      <c r="F4" s="139" t="s">
        <v>35</v>
      </c>
      <c r="G4" s="112" t="s">
        <v>37</v>
      </c>
      <c r="H4" s="139" t="s">
        <v>35</v>
      </c>
      <c r="I4" s="245" t="s">
        <v>51</v>
      </c>
      <c r="J4" s="186" t="s">
        <v>35</v>
      </c>
      <c r="K4" s="84" t="s">
        <v>61</v>
      </c>
      <c r="L4" s="139" t="s">
        <v>35</v>
      </c>
      <c r="M4" s="126" t="s">
        <v>57</v>
      </c>
      <c r="N4" s="245" t="s">
        <v>92</v>
      </c>
      <c r="O4" s="139" t="s">
        <v>35</v>
      </c>
      <c r="P4" s="111" t="s">
        <v>38</v>
      </c>
      <c r="Q4" s="111" t="s">
        <v>39</v>
      </c>
      <c r="R4" s="111" t="s">
        <v>40</v>
      </c>
      <c r="S4" s="111" t="s">
        <v>41</v>
      </c>
      <c r="T4" s="112" t="s">
        <v>42</v>
      </c>
      <c r="U4" s="112" t="s">
        <v>53</v>
      </c>
      <c r="V4" s="56" t="s">
        <v>38</v>
      </c>
      <c r="W4" s="56" t="s">
        <v>39</v>
      </c>
      <c r="X4" s="56" t="s">
        <v>40</v>
      </c>
      <c r="Y4" s="57" t="s">
        <v>41</v>
      </c>
      <c r="Z4" s="57" t="s">
        <v>42</v>
      </c>
      <c r="AA4" s="57" t="s">
        <v>228</v>
      </c>
      <c r="AB4" s="111" t="s">
        <v>87</v>
      </c>
    </row>
    <row r="5" spans="1:30" s="55" customFormat="1" ht="26">
      <c r="A5" s="55" t="s">
        <v>211</v>
      </c>
      <c r="C5" s="136" t="s">
        <v>214</v>
      </c>
      <c r="D5" s="120"/>
      <c r="F5" s="104"/>
      <c r="G5" s="119"/>
      <c r="H5" s="104"/>
      <c r="I5" s="246"/>
      <c r="K5" s="121"/>
      <c r="L5" s="104"/>
      <c r="M5" s="174"/>
      <c r="N5" s="246"/>
      <c r="O5" s="104"/>
      <c r="P5" s="119"/>
      <c r="Q5" s="119"/>
      <c r="R5" s="119"/>
      <c r="S5" s="119"/>
      <c r="T5" s="119"/>
      <c r="U5" s="119"/>
      <c r="V5" s="122"/>
      <c r="W5" s="122"/>
      <c r="X5" s="122"/>
      <c r="Y5" s="122"/>
      <c r="Z5" s="122"/>
      <c r="AA5" s="122"/>
      <c r="AB5" s="119"/>
    </row>
    <row r="6" spans="1:30" ht="13">
      <c r="B6" t="s">
        <v>212</v>
      </c>
      <c r="C6" s="12" t="s">
        <v>349</v>
      </c>
      <c r="D6" s="111"/>
      <c r="G6" s="76"/>
      <c r="I6" s="247"/>
      <c r="K6" s="114"/>
      <c r="L6" s="3"/>
      <c r="M6" s="14"/>
      <c r="N6" s="247"/>
      <c r="O6" s="3"/>
      <c r="P6" s="76"/>
      <c r="Q6" s="76"/>
      <c r="R6" s="76"/>
      <c r="S6" s="76"/>
      <c r="T6" s="76"/>
      <c r="U6" s="76"/>
      <c r="V6" s="114">
        <f>SUM(V7:V11)</f>
        <v>0</v>
      </c>
      <c r="W6" s="114">
        <f t="shared" ref="W6:AA6" si="0">SUM(W7:W11)</f>
        <v>0</v>
      </c>
      <c r="X6" s="114">
        <f t="shared" si="0"/>
        <v>0</v>
      </c>
      <c r="Y6" s="114">
        <f t="shared" si="0"/>
        <v>0</v>
      </c>
      <c r="Z6" s="114">
        <f>SUM(Z7:Z11)</f>
        <v>0</v>
      </c>
      <c r="AA6" s="114">
        <f t="shared" si="0"/>
        <v>0</v>
      </c>
      <c r="AB6" s="331"/>
    </row>
    <row r="7" spans="1:30" ht="39">
      <c r="C7" s="68" t="s">
        <v>216</v>
      </c>
      <c r="D7" s="111"/>
      <c r="E7" s="6" t="s">
        <v>215</v>
      </c>
      <c r="F7" s="3" t="s">
        <v>118</v>
      </c>
      <c r="G7" s="277">
        <v>0.2</v>
      </c>
      <c r="H7" s="3" t="s">
        <v>118</v>
      </c>
      <c r="I7" s="248">
        <f>'Paso 1-Datos del país'!B6</f>
        <v>0</v>
      </c>
      <c r="J7" s="3" t="s">
        <v>117</v>
      </c>
      <c r="K7" s="169">
        <f>(G7*I7/1000)*'Paso 6-Prod. y sust. con Hg'!C11/Countrydata!$D$57</f>
        <v>0</v>
      </c>
      <c r="L7" s="3" t="s">
        <v>36</v>
      </c>
      <c r="M7" s="39" t="s">
        <v>223</v>
      </c>
      <c r="N7" s="248">
        <f>K7</f>
        <v>0</v>
      </c>
      <c r="O7" s="3" t="s">
        <v>36</v>
      </c>
      <c r="P7" s="131">
        <v>0.02</v>
      </c>
      <c r="Q7" s="131">
        <v>0.14000000000000001</v>
      </c>
      <c r="R7" s="131"/>
      <c r="S7" s="131"/>
      <c r="T7" s="131">
        <v>0.12</v>
      </c>
      <c r="U7" s="131">
        <v>0.12</v>
      </c>
      <c r="V7" s="116">
        <f t="shared" ref="V7:AA8" si="1">$N7*P7</f>
        <v>0</v>
      </c>
      <c r="W7" s="116">
        <f t="shared" si="1"/>
        <v>0</v>
      </c>
      <c r="X7" s="116">
        <f t="shared" si="1"/>
        <v>0</v>
      </c>
      <c r="Y7" s="116">
        <f t="shared" si="1"/>
        <v>0</v>
      </c>
      <c r="Z7" s="116">
        <f t="shared" si="1"/>
        <v>0</v>
      </c>
      <c r="AA7" s="116">
        <f t="shared" si="1"/>
        <v>0</v>
      </c>
      <c r="AB7" s="331"/>
    </row>
    <row r="8" spans="1:30" ht="39">
      <c r="C8" s="68" t="s">
        <v>218</v>
      </c>
      <c r="D8" s="111"/>
      <c r="E8" s="6"/>
      <c r="F8" s="3"/>
      <c r="G8" s="76"/>
      <c r="H8" s="3"/>
      <c r="I8" s="248"/>
      <c r="J8" s="3"/>
      <c r="K8" s="168"/>
      <c r="L8" s="3"/>
      <c r="M8" s="39" t="s">
        <v>224</v>
      </c>
      <c r="N8" s="248">
        <f>K7</f>
        <v>0</v>
      </c>
      <c r="O8" s="3" t="s">
        <v>36</v>
      </c>
      <c r="P8" s="131"/>
      <c r="Q8" s="131">
        <v>0.02</v>
      </c>
      <c r="R8" s="131"/>
      <c r="S8" s="131"/>
      <c r="T8" s="131"/>
      <c r="U8" s="131"/>
      <c r="V8" s="116">
        <f t="shared" si="1"/>
        <v>0</v>
      </c>
      <c r="W8" s="116">
        <f t="shared" si="1"/>
        <v>0</v>
      </c>
      <c r="X8" s="116">
        <f t="shared" si="1"/>
        <v>0</v>
      </c>
      <c r="Y8" s="116">
        <f t="shared" si="1"/>
        <v>0</v>
      </c>
      <c r="Z8" s="116">
        <f t="shared" si="1"/>
        <v>0</v>
      </c>
      <c r="AA8" s="116">
        <f t="shared" si="1"/>
        <v>0</v>
      </c>
      <c r="AB8" s="331"/>
    </row>
    <row r="9" spans="1:30" ht="26">
      <c r="C9" s="68" t="s">
        <v>217</v>
      </c>
      <c r="D9" s="111"/>
      <c r="E9" s="6"/>
      <c r="F9" s="3"/>
      <c r="G9" s="76"/>
      <c r="H9" s="3"/>
      <c r="I9" s="248"/>
      <c r="J9" s="3"/>
      <c r="K9" s="168"/>
      <c r="L9" s="3"/>
      <c r="M9" s="39" t="s">
        <v>225</v>
      </c>
      <c r="N9" s="248"/>
      <c r="O9" s="3"/>
      <c r="P9" s="167"/>
      <c r="Q9" s="167"/>
      <c r="R9" s="167"/>
      <c r="S9" s="167"/>
      <c r="T9" s="167"/>
      <c r="U9" s="167"/>
      <c r="V9" s="116"/>
      <c r="W9" s="116"/>
      <c r="X9" s="116"/>
      <c r="Y9" s="116"/>
      <c r="Z9" s="116"/>
      <c r="AA9" s="116"/>
      <c r="AB9" s="331"/>
    </row>
    <row r="10" spans="1:30" ht="39">
      <c r="C10" s="12"/>
      <c r="D10" s="111"/>
      <c r="E10" s="6"/>
      <c r="F10" s="3"/>
      <c r="G10" s="76"/>
      <c r="H10" s="3"/>
      <c r="I10" s="248"/>
      <c r="J10" s="3"/>
      <c r="K10" s="168"/>
      <c r="L10" s="3"/>
      <c r="M10" s="38" t="s">
        <v>221</v>
      </c>
      <c r="N10" s="248">
        <f>K7*'Paso 6-Prod. y sust. con Hg'!H13/100</f>
        <v>0</v>
      </c>
      <c r="O10" s="3" t="s">
        <v>36</v>
      </c>
      <c r="P10" s="131"/>
      <c r="Q10" s="131">
        <v>0.02</v>
      </c>
      <c r="R10" s="131"/>
      <c r="S10" s="131">
        <v>0.06</v>
      </c>
      <c r="T10" s="131">
        <v>0.25</v>
      </c>
      <c r="U10" s="131">
        <v>0.25</v>
      </c>
      <c r="V10" s="116">
        <f t="shared" ref="V10:AA11" si="2">$N10*P10</f>
        <v>0</v>
      </c>
      <c r="W10" s="116">
        <f t="shared" si="2"/>
        <v>0</v>
      </c>
      <c r="X10" s="116">
        <f t="shared" si="2"/>
        <v>0</v>
      </c>
      <c r="Y10" s="116">
        <f t="shared" si="2"/>
        <v>0</v>
      </c>
      <c r="Z10" s="116">
        <f t="shared" si="2"/>
        <v>0</v>
      </c>
      <c r="AA10" s="116">
        <f t="shared" si="2"/>
        <v>0</v>
      </c>
      <c r="AB10" s="331"/>
    </row>
    <row r="11" spans="1:30" ht="26">
      <c r="C11" s="12"/>
      <c r="D11" s="111"/>
      <c r="E11" s="6"/>
      <c r="F11" s="3"/>
      <c r="G11" s="76"/>
      <c r="H11" s="3"/>
      <c r="I11" s="248"/>
      <c r="J11" s="3"/>
      <c r="K11" s="168"/>
      <c r="L11" s="3"/>
      <c r="M11" s="38" t="s">
        <v>222</v>
      </c>
      <c r="N11" s="248">
        <f>K7*'Paso 6-Prod. y sust. con Hg'!G13/100</f>
        <v>0</v>
      </c>
      <c r="O11" s="3" t="s">
        <v>36</v>
      </c>
      <c r="P11" s="131"/>
      <c r="Q11" s="131">
        <v>0.28000000000000003</v>
      </c>
      <c r="R11" s="131">
        <v>0.08</v>
      </c>
      <c r="S11" s="131">
        <v>0.06</v>
      </c>
      <c r="T11" s="131">
        <v>0.08</v>
      </c>
      <c r="U11" s="131">
        <v>0.08</v>
      </c>
      <c r="V11" s="116">
        <f t="shared" si="2"/>
        <v>0</v>
      </c>
      <c r="W11" s="116">
        <f t="shared" si="2"/>
        <v>0</v>
      </c>
      <c r="X11" s="116">
        <f t="shared" si="2"/>
        <v>0</v>
      </c>
      <c r="Y11" s="116">
        <f t="shared" si="2"/>
        <v>0</v>
      </c>
      <c r="Z11" s="116">
        <f t="shared" si="2"/>
        <v>0</v>
      </c>
      <c r="AA11" s="116">
        <f t="shared" si="2"/>
        <v>0</v>
      </c>
      <c r="AB11" s="331"/>
    </row>
    <row r="12" spans="1:30" s="55" customFormat="1" ht="13">
      <c r="C12" s="161"/>
      <c r="D12" s="76"/>
      <c r="E12" s="106"/>
      <c r="F12" s="104"/>
      <c r="G12" s="76"/>
      <c r="H12" s="104"/>
      <c r="I12" s="248"/>
      <c r="K12" s="115"/>
      <c r="L12" s="104"/>
      <c r="M12" s="162"/>
      <c r="N12" s="248"/>
      <c r="O12" s="104"/>
      <c r="P12" s="167"/>
      <c r="Q12" s="167"/>
      <c r="R12" s="167"/>
      <c r="S12" s="167"/>
      <c r="T12" s="167"/>
      <c r="U12" s="170"/>
      <c r="V12" s="116"/>
      <c r="W12" s="116"/>
      <c r="X12" s="116"/>
      <c r="Y12" s="116"/>
      <c r="Z12" s="116"/>
      <c r="AA12" s="116"/>
      <c r="AB12" s="76"/>
    </row>
    <row r="13" spans="1:30" ht="26">
      <c r="B13" s="3" t="s">
        <v>226</v>
      </c>
      <c r="C13" s="26" t="s">
        <v>227</v>
      </c>
      <c r="D13" s="111"/>
      <c r="E13" s="3"/>
      <c r="F13" s="3"/>
      <c r="G13" s="76"/>
      <c r="H13" s="3"/>
      <c r="I13" s="248"/>
      <c r="K13" s="114"/>
      <c r="L13" s="3"/>
      <c r="M13" s="33"/>
      <c r="N13" s="248"/>
      <c r="O13" s="3"/>
      <c r="P13" s="76"/>
      <c r="Q13" s="76"/>
      <c r="R13" s="76"/>
      <c r="S13" s="76"/>
      <c r="T13" s="76"/>
      <c r="U13" s="76"/>
      <c r="V13" s="114">
        <f t="shared" ref="V13:AA13" si="3">SUM(V14+V15+V24)</f>
        <v>0</v>
      </c>
      <c r="W13" s="114">
        <f t="shared" si="3"/>
        <v>0</v>
      </c>
      <c r="X13" s="114">
        <f t="shared" si="3"/>
        <v>0</v>
      </c>
      <c r="Y13" s="114">
        <f t="shared" si="3"/>
        <v>0</v>
      </c>
      <c r="Z13" s="114">
        <f t="shared" si="3"/>
        <v>0</v>
      </c>
      <c r="AA13" s="114">
        <f t="shared" si="3"/>
        <v>0</v>
      </c>
      <c r="AB13" s="76"/>
      <c r="AC13" s="25"/>
      <c r="AD13" s="3"/>
    </row>
    <row r="14" spans="1:30" ht="13">
      <c r="B14" s="3"/>
      <c r="C14" s="26" t="s">
        <v>385</v>
      </c>
      <c r="D14" s="111"/>
      <c r="E14" s="3"/>
      <c r="F14" s="3"/>
      <c r="G14" s="76">
        <v>1</v>
      </c>
      <c r="H14" s="36"/>
      <c r="I14" s="248">
        <f>'Paso 4-Uso industrial de Hg'!C14</f>
        <v>0</v>
      </c>
      <c r="J14" s="8" t="s">
        <v>387</v>
      </c>
      <c r="K14" s="168">
        <f>I14*G14</f>
        <v>0</v>
      </c>
      <c r="L14" s="3"/>
      <c r="M14" s="33"/>
      <c r="N14" s="248">
        <f>K14</f>
        <v>0</v>
      </c>
      <c r="O14" s="3" t="s">
        <v>36</v>
      </c>
      <c r="P14" s="296">
        <v>0.01</v>
      </c>
      <c r="Q14" s="296">
        <v>5.0000000000000001E-3</v>
      </c>
      <c r="R14" s="296">
        <v>0.1</v>
      </c>
      <c r="S14" s="296"/>
      <c r="T14" s="296">
        <v>0.1</v>
      </c>
      <c r="U14" s="296">
        <v>0.01</v>
      </c>
      <c r="V14" s="116">
        <f t="shared" ref="V14:AA14" si="4">$N14*P14</f>
        <v>0</v>
      </c>
      <c r="W14" s="116">
        <f t="shared" si="4"/>
        <v>0</v>
      </c>
      <c r="X14" s="116">
        <f t="shared" si="4"/>
        <v>0</v>
      </c>
      <c r="Y14" s="116">
        <f t="shared" si="4"/>
        <v>0</v>
      </c>
      <c r="Z14" s="116">
        <f t="shared" si="4"/>
        <v>0</v>
      </c>
      <c r="AA14" s="116">
        <f t="shared" si="4"/>
        <v>0</v>
      </c>
      <c r="AB14" s="76"/>
      <c r="AC14" s="25"/>
      <c r="AD14" s="3"/>
    </row>
    <row r="15" spans="1:30" ht="13">
      <c r="B15" s="3"/>
      <c r="C15" s="69" t="s">
        <v>252</v>
      </c>
      <c r="D15" s="111"/>
      <c r="E15" s="36" t="s">
        <v>393</v>
      </c>
      <c r="F15" s="3" t="s">
        <v>110</v>
      </c>
      <c r="G15" s="76">
        <v>80</v>
      </c>
      <c r="H15" s="3" t="s">
        <v>110</v>
      </c>
      <c r="I15" s="248">
        <f>'Paso 6-Prod. y sust. con Hg'!C40</f>
        <v>0</v>
      </c>
      <c r="J15" t="s">
        <v>272</v>
      </c>
      <c r="K15" s="115">
        <f>G15*I15/1000</f>
        <v>0</v>
      </c>
      <c r="L15" s="3" t="s">
        <v>36</v>
      </c>
      <c r="M15" s="16" t="s">
        <v>100</v>
      </c>
      <c r="N15" s="248"/>
      <c r="O15" s="3"/>
      <c r="P15" s="296"/>
      <c r="Q15" s="296"/>
      <c r="R15" s="296"/>
      <c r="S15" s="296"/>
      <c r="T15" s="296"/>
      <c r="U15" s="283"/>
      <c r="V15" s="309">
        <f t="shared" ref="V15:AA15" si="5">SUM(V16:V18)</f>
        <v>0</v>
      </c>
      <c r="W15" s="309">
        <f t="shared" si="5"/>
        <v>0</v>
      </c>
      <c r="X15" s="309">
        <f t="shared" si="5"/>
        <v>0</v>
      </c>
      <c r="Y15" s="309">
        <f t="shared" si="5"/>
        <v>0</v>
      </c>
      <c r="Z15" s="309">
        <f t="shared" si="5"/>
        <v>0</v>
      </c>
      <c r="AA15" s="309">
        <f t="shared" si="5"/>
        <v>0</v>
      </c>
      <c r="AB15" s="76"/>
      <c r="AC15" s="25"/>
      <c r="AD15" s="3"/>
    </row>
    <row r="16" spans="1:30" ht="26">
      <c r="B16" s="3"/>
      <c r="C16" s="69"/>
      <c r="D16" s="111"/>
      <c r="E16" s="3"/>
      <c r="F16" s="3"/>
      <c r="G16" s="76"/>
      <c r="H16" s="3"/>
      <c r="I16" s="248"/>
      <c r="K16" s="115"/>
      <c r="L16" s="3"/>
      <c r="M16" s="15" t="s">
        <v>97</v>
      </c>
      <c r="N16" s="321">
        <f>IF(AND('Paso 5-Trat.+recicl. desechos'!$B$4=yes,'Paso 5-Trat.+recicl. desechos'!$E$4=no),K15,0)</f>
        <v>0</v>
      </c>
      <c r="O16" s="3" t="s">
        <v>36</v>
      </c>
      <c r="P16" s="296">
        <v>0.1</v>
      </c>
      <c r="Q16" s="296">
        <v>0.3</v>
      </c>
      <c r="R16" s="296"/>
      <c r="S16" s="296"/>
      <c r="T16" s="296">
        <v>0.6</v>
      </c>
      <c r="U16" s="296"/>
      <c r="V16" s="116">
        <f t="shared" ref="V16:AA18" si="6">$N16*P16</f>
        <v>0</v>
      </c>
      <c r="W16" s="116">
        <f t="shared" si="6"/>
        <v>0</v>
      </c>
      <c r="X16" s="116">
        <f t="shared" si="6"/>
        <v>0</v>
      </c>
      <c r="Y16" s="116">
        <f t="shared" si="6"/>
        <v>0</v>
      </c>
      <c r="Z16" s="116">
        <f t="shared" si="6"/>
        <v>0</v>
      </c>
      <c r="AA16" s="116">
        <f t="shared" si="6"/>
        <v>0</v>
      </c>
      <c r="AB16" s="76"/>
      <c r="AC16" s="25"/>
      <c r="AD16" s="3"/>
    </row>
    <row r="17" spans="2:30" ht="26">
      <c r="B17" s="3"/>
      <c r="C17" s="69"/>
      <c r="D17" s="111"/>
      <c r="E17" s="3"/>
      <c r="F17" s="3"/>
      <c r="G17" s="76"/>
      <c r="H17" s="3"/>
      <c r="I17" s="248"/>
      <c r="K17" s="115"/>
      <c r="L17" s="3"/>
      <c r="M17" s="15" t="s">
        <v>112</v>
      </c>
      <c r="N17" s="321">
        <f>IF(AND('Paso 5-Trat.+recicl. desechos'!$B$4=no,OR('Paso 5-Trat.+recicl. desechos'!$E$4=no,'Paso 5-Trat.+recicl. desechos'!$E$4=yes,'Paso 5-Trat.+recicl. desechos'!$E$4="")),K15,0)</f>
        <v>0</v>
      </c>
      <c r="O17" s="3" t="s">
        <v>36</v>
      </c>
      <c r="P17" s="296">
        <v>0.2</v>
      </c>
      <c r="Q17" s="296">
        <v>0.3</v>
      </c>
      <c r="R17" s="296">
        <v>0.2</v>
      </c>
      <c r="S17" s="296"/>
      <c r="T17" s="296">
        <v>0.3</v>
      </c>
      <c r="U17" s="296"/>
      <c r="V17" s="116">
        <f t="shared" si="6"/>
        <v>0</v>
      </c>
      <c r="W17" s="116">
        <f t="shared" si="6"/>
        <v>0</v>
      </c>
      <c r="X17" s="116">
        <f t="shared" si="6"/>
        <v>0</v>
      </c>
      <c r="Y17" s="116">
        <f t="shared" si="6"/>
        <v>0</v>
      </c>
      <c r="Z17" s="116">
        <f t="shared" si="6"/>
        <v>0</v>
      </c>
      <c r="AA17" s="116">
        <f t="shared" si="6"/>
        <v>0</v>
      </c>
      <c r="AB17" s="76"/>
      <c r="AC17" s="25"/>
      <c r="AD17" s="3"/>
    </row>
    <row r="18" spans="2:30" ht="26">
      <c r="B18" s="3"/>
      <c r="C18" s="69"/>
      <c r="D18" s="111"/>
      <c r="E18" s="3"/>
      <c r="F18" s="3"/>
      <c r="G18" s="76"/>
      <c r="H18" s="3"/>
      <c r="I18" s="248"/>
      <c r="K18" s="115"/>
      <c r="L18" s="3"/>
      <c r="M18" s="15" t="s">
        <v>98</v>
      </c>
      <c r="N18" s="321">
        <f>IF(AND('Paso 5-Trat.+recicl. desechos'!$B$4=yes,'Paso 5-Trat.+recicl. desechos'!$E$4=yes),K15,0)</f>
        <v>0</v>
      </c>
      <c r="O18" s="3" t="s">
        <v>36</v>
      </c>
      <c r="P18" s="296">
        <v>0.1</v>
      </c>
      <c r="Q18" s="296">
        <v>0.3</v>
      </c>
      <c r="R18" s="296"/>
      <c r="S18" s="296"/>
      <c r="T18" s="296">
        <v>0.3</v>
      </c>
      <c r="U18" s="296">
        <v>0.3</v>
      </c>
      <c r="V18" s="116">
        <f t="shared" si="6"/>
        <v>0</v>
      </c>
      <c r="W18" s="116">
        <f t="shared" si="6"/>
        <v>0</v>
      </c>
      <c r="X18" s="116">
        <f t="shared" si="6"/>
        <v>0</v>
      </c>
      <c r="Y18" s="116">
        <f t="shared" si="6"/>
        <v>0</v>
      </c>
      <c r="Z18" s="116">
        <f t="shared" si="6"/>
        <v>0</v>
      </c>
      <c r="AA18" s="116">
        <f t="shared" si="6"/>
        <v>0</v>
      </c>
      <c r="AB18" s="76"/>
      <c r="AC18" s="25"/>
      <c r="AD18" s="3"/>
    </row>
    <row r="19" spans="2:30" ht="13">
      <c r="B19" s="3"/>
      <c r="C19" s="69"/>
      <c r="D19" s="111"/>
      <c r="E19" s="3"/>
      <c r="F19" s="3"/>
      <c r="G19" s="76"/>
      <c r="H19" s="3"/>
      <c r="I19" s="248"/>
      <c r="K19" s="115"/>
      <c r="L19" s="3"/>
      <c r="M19" s="33"/>
      <c r="N19" s="248"/>
      <c r="O19" s="3"/>
      <c r="P19" s="296"/>
      <c r="Q19" s="296"/>
      <c r="R19" s="296"/>
      <c r="S19" s="296"/>
      <c r="T19" s="296"/>
      <c r="U19" s="283"/>
      <c r="V19" s="309"/>
      <c r="W19" s="309"/>
      <c r="X19" s="309"/>
      <c r="Y19" s="309"/>
      <c r="Z19" s="309"/>
      <c r="AA19" s="309"/>
      <c r="AB19" s="76"/>
      <c r="AC19" s="25"/>
      <c r="AD19" s="3"/>
    </row>
    <row r="20" spans="2:30" ht="13">
      <c r="B20" s="3"/>
      <c r="C20" s="69"/>
      <c r="D20" s="111"/>
      <c r="E20" s="3"/>
      <c r="F20" s="3"/>
      <c r="G20" s="76"/>
      <c r="H20" s="3"/>
      <c r="I20" s="248"/>
      <c r="K20" s="115"/>
      <c r="L20" s="3"/>
      <c r="M20" s="33"/>
      <c r="N20" s="248"/>
      <c r="O20" s="3"/>
      <c r="P20" s="296"/>
      <c r="Q20" s="296"/>
      <c r="R20" s="296"/>
      <c r="S20" s="296"/>
      <c r="T20" s="296"/>
      <c r="U20" s="283"/>
      <c r="V20" s="309"/>
      <c r="W20" s="309"/>
      <c r="X20" s="309"/>
      <c r="Y20" s="309"/>
      <c r="Z20" s="309"/>
      <c r="AA20" s="309"/>
      <c r="AB20" s="76"/>
      <c r="AC20" s="25"/>
      <c r="AD20" s="3"/>
    </row>
    <row r="21" spans="2:30" ht="13">
      <c r="B21" s="3"/>
      <c r="C21" s="69"/>
      <c r="D21" s="111"/>
      <c r="E21" s="3"/>
      <c r="F21" s="3"/>
      <c r="G21" s="76"/>
      <c r="H21" s="3"/>
      <c r="I21" s="248"/>
      <c r="K21" s="115"/>
      <c r="L21" s="3"/>
      <c r="M21" s="33"/>
      <c r="N21" s="248"/>
      <c r="O21" s="3"/>
      <c r="P21" s="296"/>
      <c r="Q21" s="296"/>
      <c r="R21" s="296"/>
      <c r="S21" s="296"/>
      <c r="T21" s="296"/>
      <c r="U21" s="283"/>
      <c r="V21" s="309"/>
      <c r="W21" s="309"/>
      <c r="X21" s="309"/>
      <c r="Y21" s="309"/>
      <c r="Z21" s="309"/>
      <c r="AA21" s="309"/>
      <c r="AB21" s="76"/>
      <c r="AC21" s="25"/>
      <c r="AD21" s="3"/>
    </row>
    <row r="22" spans="2:30" ht="13">
      <c r="B22" s="3"/>
      <c r="C22" s="69"/>
      <c r="D22" s="111"/>
      <c r="E22" s="3"/>
      <c r="F22" s="3"/>
      <c r="G22" s="76"/>
      <c r="H22" s="3"/>
      <c r="I22" s="248"/>
      <c r="K22" s="115"/>
      <c r="L22" s="3"/>
      <c r="M22" s="33"/>
      <c r="N22" s="248"/>
      <c r="O22" s="3"/>
      <c r="P22" s="296"/>
      <c r="Q22" s="296"/>
      <c r="R22" s="296"/>
      <c r="S22" s="296"/>
      <c r="T22" s="296"/>
      <c r="U22" s="283"/>
      <c r="V22" s="309"/>
      <c r="W22" s="309"/>
      <c r="X22" s="309"/>
      <c r="Y22" s="309"/>
      <c r="Z22" s="309"/>
      <c r="AA22" s="309"/>
      <c r="AB22" s="76"/>
      <c r="AC22" s="25"/>
      <c r="AD22" s="3"/>
    </row>
    <row r="23" spans="2:30" ht="13">
      <c r="B23" s="3"/>
      <c r="C23" s="69"/>
      <c r="D23" s="111"/>
      <c r="E23" s="3"/>
      <c r="F23" s="3"/>
      <c r="G23" s="76"/>
      <c r="H23" s="3"/>
      <c r="I23" s="248"/>
      <c r="K23" s="115"/>
      <c r="L23" s="3"/>
      <c r="M23" s="33"/>
      <c r="N23" s="248"/>
      <c r="O23" s="3"/>
      <c r="P23" s="296"/>
      <c r="Q23" s="296"/>
      <c r="R23" s="296"/>
      <c r="S23" s="296"/>
      <c r="T23" s="296"/>
      <c r="U23" s="283"/>
      <c r="V23" s="309"/>
      <c r="W23" s="309"/>
      <c r="X23" s="309"/>
      <c r="Y23" s="309"/>
      <c r="Z23" s="309"/>
      <c r="AA23" s="309"/>
      <c r="AB23" s="76"/>
      <c r="AC23" s="25"/>
      <c r="AD23" s="3"/>
    </row>
    <row r="24" spans="2:30" ht="26">
      <c r="B24" s="3"/>
      <c r="C24" s="311" t="s">
        <v>423</v>
      </c>
      <c r="D24" s="312"/>
      <c r="E24" s="313" t="s">
        <v>422</v>
      </c>
      <c r="F24" s="313" t="s">
        <v>110</v>
      </c>
      <c r="G24" s="314">
        <v>5.0000000000000001E-3</v>
      </c>
      <c r="H24" s="313" t="s">
        <v>396</v>
      </c>
      <c r="I24" s="315">
        <f>'Paso 6-Prod. y sust. con Hg'!C42</f>
        <v>0</v>
      </c>
      <c r="J24" s="313" t="s">
        <v>117</v>
      </c>
      <c r="K24" s="512">
        <f>(I24*G24/1000)*'Paso 6-Prod. y sust. con Hg'!$C$43/100</f>
        <v>0</v>
      </c>
      <c r="L24" s="313" t="s">
        <v>36</v>
      </c>
      <c r="M24" s="16" t="s">
        <v>100</v>
      </c>
      <c r="N24" s="248"/>
      <c r="O24" s="3"/>
      <c r="P24" s="296"/>
      <c r="Q24" s="296"/>
      <c r="R24" s="296"/>
      <c r="S24" s="296"/>
      <c r="T24" s="296"/>
      <c r="U24" s="283"/>
      <c r="V24" s="309">
        <f t="shared" ref="V24:AA24" si="7">SUM(V25:V27)</f>
        <v>0</v>
      </c>
      <c r="W24" s="309">
        <f t="shared" si="7"/>
        <v>0</v>
      </c>
      <c r="X24" s="309">
        <f t="shared" si="7"/>
        <v>0</v>
      </c>
      <c r="Y24" s="309">
        <f t="shared" si="7"/>
        <v>0</v>
      </c>
      <c r="Z24" s="309">
        <f t="shared" si="7"/>
        <v>0</v>
      </c>
      <c r="AA24" s="309">
        <f t="shared" si="7"/>
        <v>0</v>
      </c>
      <c r="AB24" s="76"/>
      <c r="AC24" s="25"/>
      <c r="AD24" s="3"/>
    </row>
    <row r="25" spans="2:30" ht="26">
      <c r="B25" s="3"/>
      <c r="C25" s="69" t="s">
        <v>253</v>
      </c>
      <c r="D25" s="111"/>
      <c r="E25" s="3" t="s">
        <v>43</v>
      </c>
      <c r="F25" s="3" t="s">
        <v>110</v>
      </c>
      <c r="G25" s="76" t="s">
        <v>43</v>
      </c>
      <c r="H25" s="3" t="s">
        <v>110</v>
      </c>
      <c r="I25" s="248"/>
      <c r="J25" t="s">
        <v>272</v>
      </c>
      <c r="K25" s="115" t="e">
        <f t="shared" ref="K25:K32" si="8">G25*I25/1000</f>
        <v>#VALUE!</v>
      </c>
      <c r="L25" s="3" t="s">
        <v>36</v>
      </c>
      <c r="M25" s="15" t="s">
        <v>97</v>
      </c>
      <c r="N25" s="321">
        <f>IF(AND('Paso 5-Trat.+recicl. desechos'!$B$4=yes,'Paso 5-Trat.+recicl. desechos'!$E$4=no),K24,0)</f>
        <v>0</v>
      </c>
      <c r="O25" s="3" t="s">
        <v>36</v>
      </c>
      <c r="P25" s="296">
        <v>0.1</v>
      </c>
      <c r="Q25" s="296">
        <v>0.3</v>
      </c>
      <c r="R25" s="296"/>
      <c r="S25" s="296"/>
      <c r="T25" s="296">
        <v>0.6</v>
      </c>
      <c r="U25" s="296"/>
      <c r="V25" s="116">
        <f t="shared" ref="V25:V32" si="9">$N25*P25</f>
        <v>0</v>
      </c>
      <c r="W25" s="116">
        <f t="shared" ref="W25:W32" si="10">$N25*Q25</f>
        <v>0</v>
      </c>
      <c r="X25" s="116">
        <f t="shared" ref="X25:X32" si="11">$N25*R25</f>
        <v>0</v>
      </c>
      <c r="Y25" s="116">
        <f t="shared" ref="Y25:Y32" si="12">$N25*S25</f>
        <v>0</v>
      </c>
      <c r="Z25" s="116">
        <f t="shared" ref="Z25:Z32" si="13">$N25*T25</f>
        <v>0</v>
      </c>
      <c r="AA25" s="116">
        <f t="shared" ref="AA25:AA32" si="14">$N25*U25</f>
        <v>0</v>
      </c>
      <c r="AB25" s="76"/>
      <c r="AC25" s="25"/>
      <c r="AD25" s="3"/>
    </row>
    <row r="26" spans="2:30" ht="26">
      <c r="B26" s="3"/>
      <c r="C26" s="69" t="s">
        <v>254</v>
      </c>
      <c r="D26" s="111"/>
      <c r="E26" s="3" t="s">
        <v>43</v>
      </c>
      <c r="F26" s="3" t="s">
        <v>110</v>
      </c>
      <c r="G26" s="76" t="s">
        <v>43</v>
      </c>
      <c r="H26" s="3" t="s">
        <v>110</v>
      </c>
      <c r="I26" s="248"/>
      <c r="J26" t="s">
        <v>272</v>
      </c>
      <c r="K26" s="115" t="e">
        <f t="shared" si="8"/>
        <v>#VALUE!</v>
      </c>
      <c r="L26" s="3" t="s">
        <v>36</v>
      </c>
      <c r="M26" s="15" t="s">
        <v>112</v>
      </c>
      <c r="N26" s="321">
        <f>IF(AND('Paso 5-Trat.+recicl. desechos'!$B$4=no,OR('Paso 5-Trat.+recicl. desechos'!$E$4=no,'Paso 5-Trat.+recicl. desechos'!$E$4=yes,'Paso 5-Trat.+recicl. desechos'!$E$4="")),K24,0)</f>
        <v>0</v>
      </c>
      <c r="O26" s="3" t="s">
        <v>36</v>
      </c>
      <c r="P26" s="296">
        <v>0.2</v>
      </c>
      <c r="Q26" s="296">
        <v>0.3</v>
      </c>
      <c r="R26" s="296">
        <v>0.2</v>
      </c>
      <c r="S26" s="296"/>
      <c r="T26" s="296">
        <v>0.3</v>
      </c>
      <c r="U26" s="296"/>
      <c r="V26" s="116">
        <f t="shared" si="9"/>
        <v>0</v>
      </c>
      <c r="W26" s="116">
        <f t="shared" si="10"/>
        <v>0</v>
      </c>
      <c r="X26" s="116">
        <f t="shared" si="11"/>
        <v>0</v>
      </c>
      <c r="Y26" s="116">
        <f t="shared" si="12"/>
        <v>0</v>
      </c>
      <c r="Z26" s="116">
        <f t="shared" si="13"/>
        <v>0</v>
      </c>
      <c r="AA26" s="116">
        <f t="shared" si="14"/>
        <v>0</v>
      </c>
      <c r="AB26" s="76"/>
      <c r="AC26" s="25"/>
      <c r="AD26" s="3"/>
    </row>
    <row r="27" spans="2:30" ht="26">
      <c r="B27" s="3"/>
      <c r="C27" s="69" t="s">
        <v>255</v>
      </c>
      <c r="D27" s="111"/>
      <c r="E27" s="3" t="s">
        <v>43</v>
      </c>
      <c r="F27" s="3" t="s">
        <v>110</v>
      </c>
      <c r="G27" s="76" t="s">
        <v>43</v>
      </c>
      <c r="H27" s="3" t="s">
        <v>110</v>
      </c>
      <c r="I27" s="248"/>
      <c r="J27" t="s">
        <v>272</v>
      </c>
      <c r="K27" s="115" t="e">
        <f t="shared" si="8"/>
        <v>#VALUE!</v>
      </c>
      <c r="L27" s="3" t="s">
        <v>36</v>
      </c>
      <c r="M27" s="15" t="s">
        <v>98</v>
      </c>
      <c r="N27" s="321">
        <f>IF(AND('Paso 5-Trat.+recicl. desechos'!$B$4=yes,'Paso 5-Trat.+recicl. desechos'!$E$4=yes),K24,0)</f>
        <v>0</v>
      </c>
      <c r="O27" s="3" t="s">
        <v>36</v>
      </c>
      <c r="P27" s="296">
        <v>0.1</v>
      </c>
      <c r="Q27" s="296">
        <v>0.3</v>
      </c>
      <c r="R27" s="296"/>
      <c r="S27" s="296"/>
      <c r="T27" s="296">
        <v>0.3</v>
      </c>
      <c r="U27" s="296">
        <v>0.3</v>
      </c>
      <c r="V27" s="116">
        <f t="shared" si="9"/>
        <v>0</v>
      </c>
      <c r="W27" s="116">
        <f t="shared" si="10"/>
        <v>0</v>
      </c>
      <c r="X27" s="116">
        <f t="shared" si="11"/>
        <v>0</v>
      </c>
      <c r="Y27" s="116">
        <f t="shared" si="12"/>
        <v>0</v>
      </c>
      <c r="Z27" s="116">
        <f t="shared" si="13"/>
        <v>0</v>
      </c>
      <c r="AA27" s="116">
        <f t="shared" si="14"/>
        <v>0</v>
      </c>
      <c r="AB27" s="76"/>
      <c r="AC27" s="25"/>
      <c r="AD27" s="3"/>
    </row>
    <row r="28" spans="2:30" ht="26">
      <c r="B28" s="3"/>
      <c r="C28" s="69" t="s">
        <v>256</v>
      </c>
      <c r="D28" s="111"/>
      <c r="E28" s="3" t="s">
        <v>43</v>
      </c>
      <c r="F28" s="3" t="s">
        <v>110</v>
      </c>
      <c r="G28" s="76" t="s">
        <v>43</v>
      </c>
      <c r="H28" s="3" t="s">
        <v>110</v>
      </c>
      <c r="I28" s="248"/>
      <c r="J28" t="s">
        <v>272</v>
      </c>
      <c r="K28" s="115" t="e">
        <f t="shared" si="8"/>
        <v>#VALUE!</v>
      </c>
      <c r="L28" s="3" t="s">
        <v>36</v>
      </c>
      <c r="M28" s="33"/>
      <c r="N28" s="248"/>
      <c r="O28" s="3" t="s">
        <v>36</v>
      </c>
      <c r="P28" s="76"/>
      <c r="Q28" s="76"/>
      <c r="R28" s="76"/>
      <c r="S28" s="179"/>
      <c r="T28" s="76"/>
      <c r="U28" s="76"/>
      <c r="V28" s="116">
        <f t="shared" si="9"/>
        <v>0</v>
      </c>
      <c r="W28" s="116">
        <f t="shared" si="10"/>
        <v>0</v>
      </c>
      <c r="X28" s="116">
        <f t="shared" si="11"/>
        <v>0</v>
      </c>
      <c r="Y28" s="116">
        <f t="shared" si="12"/>
        <v>0</v>
      </c>
      <c r="Z28" s="116">
        <f t="shared" si="13"/>
        <v>0</v>
      </c>
      <c r="AA28" s="116">
        <f t="shared" si="14"/>
        <v>0</v>
      </c>
      <c r="AB28" s="76"/>
      <c r="AC28" s="25"/>
      <c r="AD28" s="3"/>
    </row>
    <row r="29" spans="2:30" ht="13">
      <c r="B29" s="3"/>
      <c r="C29" s="69" t="s">
        <v>257</v>
      </c>
      <c r="D29" s="111"/>
      <c r="E29" s="3" t="s">
        <v>43</v>
      </c>
      <c r="F29" s="3" t="s">
        <v>110</v>
      </c>
      <c r="G29" s="76" t="s">
        <v>43</v>
      </c>
      <c r="H29" s="3" t="s">
        <v>110</v>
      </c>
      <c r="I29" s="248"/>
      <c r="J29" t="s">
        <v>272</v>
      </c>
      <c r="K29" s="115" t="e">
        <f t="shared" si="8"/>
        <v>#VALUE!</v>
      </c>
      <c r="L29" s="3" t="s">
        <v>36</v>
      </c>
      <c r="M29" s="33"/>
      <c r="N29" s="248"/>
      <c r="O29" s="3" t="s">
        <v>36</v>
      </c>
      <c r="P29" s="76"/>
      <c r="Q29" s="76"/>
      <c r="R29" s="76"/>
      <c r="S29" s="179"/>
      <c r="T29" s="76"/>
      <c r="U29" s="76"/>
      <c r="V29" s="116">
        <f t="shared" si="9"/>
        <v>0</v>
      </c>
      <c r="W29" s="116">
        <f t="shared" si="10"/>
        <v>0</v>
      </c>
      <c r="X29" s="116">
        <f t="shared" si="11"/>
        <v>0</v>
      </c>
      <c r="Y29" s="116">
        <f t="shared" si="12"/>
        <v>0</v>
      </c>
      <c r="Z29" s="116">
        <f t="shared" si="13"/>
        <v>0</v>
      </c>
      <c r="AA29" s="116">
        <f t="shared" si="14"/>
        <v>0</v>
      </c>
      <c r="AB29" s="76"/>
      <c r="AC29" s="25"/>
      <c r="AD29" s="3"/>
    </row>
    <row r="30" spans="2:30" ht="13">
      <c r="B30" s="3"/>
      <c r="C30" s="69" t="s">
        <v>258</v>
      </c>
      <c r="D30" s="111"/>
      <c r="E30" s="3" t="s">
        <v>43</v>
      </c>
      <c r="F30" s="3" t="s">
        <v>110</v>
      </c>
      <c r="G30" s="76" t="s">
        <v>43</v>
      </c>
      <c r="H30" s="3" t="s">
        <v>110</v>
      </c>
      <c r="I30" s="248"/>
      <c r="J30" t="s">
        <v>272</v>
      </c>
      <c r="K30" s="115" t="e">
        <f t="shared" si="8"/>
        <v>#VALUE!</v>
      </c>
      <c r="L30" s="3" t="s">
        <v>36</v>
      </c>
      <c r="M30" s="33"/>
      <c r="N30" s="248"/>
      <c r="O30" s="3" t="s">
        <v>36</v>
      </c>
      <c r="P30" s="76"/>
      <c r="Q30" s="76"/>
      <c r="R30" s="76"/>
      <c r="S30" s="179"/>
      <c r="T30" s="76"/>
      <c r="U30" s="76"/>
      <c r="V30" s="116">
        <f t="shared" si="9"/>
        <v>0</v>
      </c>
      <c r="W30" s="116">
        <f t="shared" si="10"/>
        <v>0</v>
      </c>
      <c r="X30" s="116">
        <f t="shared" si="11"/>
        <v>0</v>
      </c>
      <c r="Y30" s="116">
        <f t="shared" si="12"/>
        <v>0</v>
      </c>
      <c r="Z30" s="116">
        <f t="shared" si="13"/>
        <v>0</v>
      </c>
      <c r="AA30" s="116">
        <f t="shared" si="14"/>
        <v>0</v>
      </c>
      <c r="AB30" s="76"/>
      <c r="AC30" s="25"/>
      <c r="AD30" s="3"/>
    </row>
    <row r="31" spans="2:30" ht="13">
      <c r="B31" s="3"/>
      <c r="C31" s="69" t="s">
        <v>259</v>
      </c>
      <c r="D31" s="111"/>
      <c r="E31" s="3" t="s">
        <v>43</v>
      </c>
      <c r="F31" s="3" t="s">
        <v>110</v>
      </c>
      <c r="G31" s="76" t="s">
        <v>43</v>
      </c>
      <c r="H31" s="3" t="s">
        <v>110</v>
      </c>
      <c r="I31" s="248"/>
      <c r="J31" t="s">
        <v>272</v>
      </c>
      <c r="K31" s="115" t="e">
        <f t="shared" si="8"/>
        <v>#VALUE!</v>
      </c>
      <c r="L31" s="3" t="s">
        <v>36</v>
      </c>
      <c r="M31" s="33"/>
      <c r="N31" s="248"/>
      <c r="O31" s="3" t="s">
        <v>36</v>
      </c>
      <c r="P31" s="76"/>
      <c r="Q31" s="76"/>
      <c r="R31" s="76"/>
      <c r="S31" s="179"/>
      <c r="T31" s="76"/>
      <c r="U31" s="76"/>
      <c r="V31" s="116">
        <f t="shared" si="9"/>
        <v>0</v>
      </c>
      <c r="W31" s="116">
        <f t="shared" si="10"/>
        <v>0</v>
      </c>
      <c r="X31" s="116">
        <f t="shared" si="11"/>
        <v>0</v>
      </c>
      <c r="Y31" s="116">
        <f t="shared" si="12"/>
        <v>0</v>
      </c>
      <c r="Z31" s="116">
        <f t="shared" si="13"/>
        <v>0</v>
      </c>
      <c r="AA31" s="116">
        <f t="shared" si="14"/>
        <v>0</v>
      </c>
      <c r="AB31" s="76"/>
      <c r="AC31" s="25"/>
      <c r="AD31" s="3"/>
    </row>
    <row r="32" spans="2:30" ht="13">
      <c r="B32" s="3"/>
      <c r="C32" s="69" t="s">
        <v>260</v>
      </c>
      <c r="D32" s="111"/>
      <c r="E32" s="3" t="s">
        <v>43</v>
      </c>
      <c r="F32" s="3" t="s">
        <v>110</v>
      </c>
      <c r="G32" s="76" t="s">
        <v>43</v>
      </c>
      <c r="H32" s="3" t="s">
        <v>110</v>
      </c>
      <c r="I32" s="248"/>
      <c r="J32" t="s">
        <v>272</v>
      </c>
      <c r="K32" s="115" t="e">
        <f t="shared" si="8"/>
        <v>#VALUE!</v>
      </c>
      <c r="L32" s="3" t="s">
        <v>36</v>
      </c>
      <c r="M32" s="33"/>
      <c r="N32" s="248"/>
      <c r="O32" s="3" t="s">
        <v>36</v>
      </c>
      <c r="P32" s="76"/>
      <c r="Q32" s="76"/>
      <c r="R32" s="76"/>
      <c r="S32" s="179"/>
      <c r="T32" s="76"/>
      <c r="U32" s="76"/>
      <c r="V32" s="116">
        <f t="shared" si="9"/>
        <v>0</v>
      </c>
      <c r="W32" s="116">
        <f t="shared" si="10"/>
        <v>0</v>
      </c>
      <c r="X32" s="116">
        <f t="shared" si="11"/>
        <v>0</v>
      </c>
      <c r="Y32" s="116">
        <f t="shared" si="12"/>
        <v>0</v>
      </c>
      <c r="Z32" s="116">
        <f t="shared" si="13"/>
        <v>0</v>
      </c>
      <c r="AA32" s="116">
        <f t="shared" si="14"/>
        <v>0</v>
      </c>
      <c r="AB32" s="76"/>
      <c r="AC32" s="25"/>
      <c r="AD32" s="3"/>
    </row>
    <row r="33" spans="1:30" ht="13">
      <c r="B33" s="3"/>
      <c r="C33" s="26"/>
      <c r="D33" s="111"/>
      <c r="E33" s="3"/>
      <c r="F33" s="3"/>
      <c r="G33" s="76"/>
      <c r="H33" s="3"/>
      <c r="I33" s="248"/>
      <c r="K33" s="115"/>
      <c r="L33" s="3"/>
      <c r="M33" s="33"/>
      <c r="N33" s="248"/>
      <c r="O33" s="3"/>
      <c r="P33" s="76"/>
      <c r="Q33" s="76"/>
      <c r="R33" s="76"/>
      <c r="S33" s="76"/>
      <c r="T33" s="76"/>
      <c r="U33" s="76"/>
      <c r="V33" s="114"/>
      <c r="W33" s="114"/>
      <c r="X33" s="114"/>
      <c r="Y33" s="114"/>
      <c r="Z33" s="114"/>
      <c r="AA33" s="114"/>
      <c r="AB33" s="76"/>
      <c r="AC33" s="25"/>
      <c r="AD33" s="3"/>
    </row>
    <row r="34" spans="1:30" s="55" customFormat="1" ht="13">
      <c r="B34" s="104"/>
      <c r="C34" s="137"/>
      <c r="D34" s="111"/>
      <c r="E34" s="104"/>
      <c r="G34" s="76"/>
      <c r="I34" s="247"/>
      <c r="K34" s="58"/>
      <c r="L34" s="104"/>
      <c r="M34" s="174"/>
      <c r="N34" s="248"/>
      <c r="O34" s="104"/>
      <c r="P34" s="170"/>
      <c r="Q34" s="170"/>
      <c r="R34" s="170"/>
      <c r="S34" s="170"/>
      <c r="T34" s="170"/>
      <c r="U34" s="170"/>
      <c r="V34" s="114"/>
      <c r="W34" s="114"/>
      <c r="X34" s="114"/>
      <c r="Y34" s="114"/>
      <c r="Z34" s="114"/>
      <c r="AA34" s="114"/>
      <c r="AB34" s="76"/>
    </row>
    <row r="35" spans="1:30" ht="26">
      <c r="B35" s="3" t="s">
        <v>230</v>
      </c>
      <c r="C35" s="26" t="s">
        <v>229</v>
      </c>
      <c r="D35" s="111"/>
      <c r="E35" s="3"/>
      <c r="F35" s="3"/>
      <c r="G35" s="76"/>
      <c r="H35" s="3"/>
      <c r="I35" s="248"/>
      <c r="K35" s="114"/>
      <c r="L35" s="3"/>
      <c r="M35" s="33"/>
      <c r="N35" s="248"/>
      <c r="O35" s="3"/>
      <c r="P35" s="76"/>
      <c r="Q35" s="76"/>
      <c r="R35" s="76"/>
      <c r="S35" s="76"/>
      <c r="T35" s="76"/>
      <c r="U35" s="76"/>
      <c r="V35" s="114">
        <f t="shared" ref="V35:AA35" si="15">SUM(V39:V49)</f>
        <v>0</v>
      </c>
      <c r="W35" s="114">
        <f t="shared" si="15"/>
        <v>0</v>
      </c>
      <c r="X35" s="114">
        <f t="shared" si="15"/>
        <v>0</v>
      </c>
      <c r="Y35" s="114">
        <f>SUM(Y39:Y49)</f>
        <v>0</v>
      </c>
      <c r="Z35" s="114">
        <f t="shared" si="15"/>
        <v>0</v>
      </c>
      <c r="AA35" s="114">
        <f t="shared" si="15"/>
        <v>0</v>
      </c>
      <c r="AB35" s="76"/>
      <c r="AC35" s="25"/>
      <c r="AD35" s="3"/>
    </row>
    <row r="36" spans="1:30" ht="13">
      <c r="B36" s="3"/>
      <c r="C36" s="26"/>
      <c r="D36" s="111"/>
      <c r="E36" s="3"/>
      <c r="F36" s="3"/>
      <c r="G36" s="76"/>
      <c r="H36" s="3"/>
      <c r="I36" s="248"/>
      <c r="K36" s="114"/>
      <c r="L36" s="3"/>
      <c r="M36" s="33"/>
      <c r="N36" s="248"/>
      <c r="O36" s="3"/>
      <c r="P36" s="76"/>
      <c r="Q36" s="76"/>
      <c r="R36" s="76"/>
      <c r="S36" s="76"/>
      <c r="T36" s="76"/>
      <c r="U36" s="76"/>
      <c r="V36" s="114"/>
      <c r="W36" s="114"/>
      <c r="X36" s="114"/>
      <c r="Y36" s="114"/>
      <c r="Z36" s="114"/>
      <c r="AA36" s="114"/>
      <c r="AB36" s="76"/>
      <c r="AC36" s="25"/>
      <c r="AD36" s="3"/>
    </row>
    <row r="37" spans="1:30" ht="26">
      <c r="A37" s="316"/>
      <c r="B37" s="317"/>
      <c r="C37" s="318" t="s">
        <v>395</v>
      </c>
      <c r="D37" s="319"/>
      <c r="E37" s="317"/>
      <c r="F37" s="317"/>
      <c r="G37" s="320">
        <v>0.01</v>
      </c>
      <c r="H37" s="317"/>
      <c r="I37" s="321">
        <f>'Paso 6-Prod. y sust. con Hg'!C42</f>
        <v>0</v>
      </c>
      <c r="J37" s="3" t="s">
        <v>117</v>
      </c>
      <c r="K37" s="340">
        <f>(I37*G37/1000)*'Paso 6-Prod. y sust. con Hg'!$C$46/100</f>
        <v>0</v>
      </c>
      <c r="L37" s="317"/>
      <c r="M37" s="322"/>
      <c r="N37" s="321">
        <f>K37</f>
        <v>0</v>
      </c>
      <c r="O37" s="317" t="s">
        <v>36</v>
      </c>
      <c r="P37" s="76"/>
      <c r="Q37" s="76">
        <v>0.33</v>
      </c>
      <c r="R37" s="76"/>
      <c r="S37" s="76"/>
      <c r="T37" s="76">
        <v>0.33</v>
      </c>
      <c r="U37" s="76">
        <v>0.34</v>
      </c>
      <c r="V37" s="309">
        <f t="shared" ref="V37:AA39" si="16">$N37*P37</f>
        <v>0</v>
      </c>
      <c r="W37" s="309">
        <f t="shared" si="16"/>
        <v>0</v>
      </c>
      <c r="X37" s="309">
        <f t="shared" si="16"/>
        <v>0</v>
      </c>
      <c r="Y37" s="309">
        <f t="shared" si="16"/>
        <v>0</v>
      </c>
      <c r="Z37" s="309">
        <f t="shared" si="16"/>
        <v>0</v>
      </c>
      <c r="AA37" s="309">
        <f t="shared" si="16"/>
        <v>0</v>
      </c>
      <c r="AB37" s="76"/>
      <c r="AC37" s="25"/>
      <c r="AD37" s="3"/>
    </row>
    <row r="38" spans="1:30" ht="26">
      <c r="A38" s="316"/>
      <c r="B38" s="317"/>
      <c r="C38" s="318" t="s">
        <v>394</v>
      </c>
      <c r="D38" s="319"/>
      <c r="E38" s="317"/>
      <c r="F38" s="317"/>
      <c r="G38" s="320">
        <v>0.04</v>
      </c>
      <c r="H38" s="317"/>
      <c r="I38" s="321">
        <f>'Paso 6-Prod. y sust. con Hg'!C42</f>
        <v>0</v>
      </c>
      <c r="J38" s="3" t="s">
        <v>117</v>
      </c>
      <c r="K38" s="340">
        <f>(I38*G38/1000)*'Paso 6-Prod. y sust. con Hg'!$C$49/100</f>
        <v>0</v>
      </c>
      <c r="L38" s="317"/>
      <c r="M38" s="322"/>
      <c r="N38" s="321">
        <f>K38</f>
        <v>0</v>
      </c>
      <c r="O38" s="317" t="s">
        <v>36</v>
      </c>
      <c r="P38" s="76"/>
      <c r="Q38" s="76">
        <v>0.33</v>
      </c>
      <c r="R38" s="76"/>
      <c r="S38" s="76"/>
      <c r="T38" s="76">
        <v>0.33</v>
      </c>
      <c r="U38" s="76">
        <v>0.34</v>
      </c>
      <c r="V38" s="309">
        <f t="shared" si="16"/>
        <v>0</v>
      </c>
      <c r="W38" s="309">
        <f t="shared" si="16"/>
        <v>0</v>
      </c>
      <c r="X38" s="309">
        <f t="shared" si="16"/>
        <v>0</v>
      </c>
      <c r="Y38" s="309">
        <f t="shared" si="16"/>
        <v>0</v>
      </c>
      <c r="Z38" s="309">
        <f t="shared" si="16"/>
        <v>0</v>
      </c>
      <c r="AA38" s="309">
        <f t="shared" si="16"/>
        <v>0</v>
      </c>
      <c r="AB38" s="76"/>
      <c r="AC38" s="25"/>
      <c r="AD38" s="3"/>
    </row>
    <row r="39" spans="1:30" ht="13">
      <c r="C39" s="68" t="s">
        <v>261</v>
      </c>
      <c r="D39" s="111"/>
      <c r="E39" s="3" t="s">
        <v>43</v>
      </c>
      <c r="F39" s="3" t="s">
        <v>110</v>
      </c>
      <c r="G39" s="76" t="s">
        <v>43</v>
      </c>
      <c r="H39" s="3" t="s">
        <v>110</v>
      </c>
      <c r="I39" s="248"/>
      <c r="J39" t="s">
        <v>272</v>
      </c>
      <c r="K39" s="115" t="e">
        <f>G39*I39/1000</f>
        <v>#VALUE!</v>
      </c>
      <c r="L39" s="3" t="s">
        <v>36</v>
      </c>
      <c r="M39" s="33"/>
      <c r="N39" s="248"/>
      <c r="O39" s="3" t="s">
        <v>36</v>
      </c>
      <c r="P39" s="76"/>
      <c r="Q39" s="76"/>
      <c r="R39" s="76"/>
      <c r="S39" s="179"/>
      <c r="T39" s="76"/>
      <c r="U39" s="76"/>
      <c r="V39" s="116">
        <f t="shared" si="16"/>
        <v>0</v>
      </c>
      <c r="W39" s="116">
        <f t="shared" si="16"/>
        <v>0</v>
      </c>
      <c r="X39" s="116">
        <f t="shared" si="16"/>
        <v>0</v>
      </c>
      <c r="Y39" s="116">
        <f t="shared" si="16"/>
        <v>0</v>
      </c>
      <c r="Z39" s="116">
        <f t="shared" si="16"/>
        <v>0</v>
      </c>
      <c r="AA39" s="116">
        <f t="shared" si="16"/>
        <v>0</v>
      </c>
      <c r="AB39" s="76"/>
    </row>
    <row r="40" spans="1:30" ht="13">
      <c r="C40" s="68" t="s">
        <v>262</v>
      </c>
      <c r="D40" s="76"/>
      <c r="E40" s="3" t="s">
        <v>43</v>
      </c>
      <c r="F40" s="3" t="s">
        <v>110</v>
      </c>
      <c r="G40" s="76" t="s">
        <v>43</v>
      </c>
      <c r="H40" s="3" t="s">
        <v>110</v>
      </c>
      <c r="I40" s="248"/>
      <c r="J40" t="s">
        <v>272</v>
      </c>
      <c r="K40" s="115" t="e">
        <f t="shared" ref="K40:K49" si="17">G40*I40/1000</f>
        <v>#VALUE!</v>
      </c>
      <c r="L40" s="3" t="s">
        <v>36</v>
      </c>
      <c r="M40" s="33"/>
      <c r="N40" s="248"/>
      <c r="O40" s="3" t="s">
        <v>36</v>
      </c>
      <c r="P40" s="76"/>
      <c r="Q40" s="76"/>
      <c r="R40" s="76"/>
      <c r="S40" s="179"/>
      <c r="T40" s="76"/>
      <c r="U40" s="76"/>
      <c r="V40" s="116">
        <f t="shared" ref="V40:V49" si="18">$N40*P40</f>
        <v>0</v>
      </c>
      <c r="W40" s="116">
        <f t="shared" ref="W40:W49" si="19">$N40*Q40</f>
        <v>0</v>
      </c>
      <c r="X40" s="116">
        <f t="shared" ref="X40:X49" si="20">$N40*R40</f>
        <v>0</v>
      </c>
      <c r="Y40" s="116">
        <f t="shared" ref="Y40:Y49" si="21">$N40*S40</f>
        <v>0</v>
      </c>
      <c r="Z40" s="116">
        <f t="shared" ref="Z40:Z49" si="22">$N40*T40</f>
        <v>0</v>
      </c>
      <c r="AA40" s="116">
        <f t="shared" ref="AA40:AA49" si="23">$N40*U40</f>
        <v>0</v>
      </c>
      <c r="AB40" s="76"/>
    </row>
    <row r="41" spans="1:30" ht="13">
      <c r="C41" s="68" t="s">
        <v>263</v>
      </c>
      <c r="D41" s="76"/>
      <c r="E41" s="3" t="s">
        <v>43</v>
      </c>
      <c r="F41" s="3" t="s">
        <v>110</v>
      </c>
      <c r="G41" s="76" t="s">
        <v>43</v>
      </c>
      <c r="H41" s="3" t="s">
        <v>110</v>
      </c>
      <c r="I41" s="248"/>
      <c r="J41" t="s">
        <v>272</v>
      </c>
      <c r="K41" s="115" t="e">
        <f t="shared" si="17"/>
        <v>#VALUE!</v>
      </c>
      <c r="L41" s="3" t="s">
        <v>36</v>
      </c>
      <c r="M41" s="33"/>
      <c r="N41" s="248"/>
      <c r="O41" s="3" t="s">
        <v>36</v>
      </c>
      <c r="P41" s="76"/>
      <c r="Q41" s="76"/>
      <c r="R41" s="76"/>
      <c r="S41" s="179"/>
      <c r="T41" s="76"/>
      <c r="U41" s="76"/>
      <c r="V41" s="116">
        <f t="shared" si="18"/>
        <v>0</v>
      </c>
      <c r="W41" s="116">
        <f t="shared" si="19"/>
        <v>0</v>
      </c>
      <c r="X41" s="116">
        <f t="shared" si="20"/>
        <v>0</v>
      </c>
      <c r="Y41" s="116">
        <f t="shared" si="21"/>
        <v>0</v>
      </c>
      <c r="Z41" s="116">
        <f t="shared" si="22"/>
        <v>0</v>
      </c>
      <c r="AA41" s="116">
        <f t="shared" si="23"/>
        <v>0</v>
      </c>
      <c r="AB41" s="76"/>
    </row>
    <row r="42" spans="1:30" ht="13">
      <c r="C42" s="68" t="s">
        <v>264</v>
      </c>
      <c r="D42" s="76"/>
      <c r="E42" s="3" t="s">
        <v>43</v>
      </c>
      <c r="F42" s="3" t="s">
        <v>110</v>
      </c>
      <c r="G42" s="76" t="s">
        <v>43</v>
      </c>
      <c r="H42" s="3" t="s">
        <v>110</v>
      </c>
      <c r="I42" s="248"/>
      <c r="J42" t="s">
        <v>272</v>
      </c>
      <c r="K42" s="115" t="e">
        <f t="shared" si="17"/>
        <v>#VALUE!</v>
      </c>
      <c r="L42" s="3" t="s">
        <v>36</v>
      </c>
      <c r="M42" s="33"/>
      <c r="N42" s="248"/>
      <c r="O42" s="3" t="s">
        <v>36</v>
      </c>
      <c r="P42" s="76"/>
      <c r="Q42" s="76"/>
      <c r="R42" s="76"/>
      <c r="S42" s="179"/>
      <c r="T42" s="76"/>
      <c r="U42" s="76"/>
      <c r="V42" s="116">
        <f t="shared" si="18"/>
        <v>0</v>
      </c>
      <c r="W42" s="116">
        <f t="shared" si="19"/>
        <v>0</v>
      </c>
      <c r="X42" s="116">
        <f t="shared" si="20"/>
        <v>0</v>
      </c>
      <c r="Y42" s="116">
        <f t="shared" si="21"/>
        <v>0</v>
      </c>
      <c r="Z42" s="116">
        <f t="shared" si="22"/>
        <v>0</v>
      </c>
      <c r="AA42" s="116">
        <f t="shared" si="23"/>
        <v>0</v>
      </c>
      <c r="AB42" s="76"/>
    </row>
    <row r="43" spans="1:30" ht="13">
      <c r="C43" s="68" t="s">
        <v>265</v>
      </c>
      <c r="D43" s="76"/>
      <c r="E43" s="3" t="s">
        <v>43</v>
      </c>
      <c r="F43" s="3" t="s">
        <v>110</v>
      </c>
      <c r="G43" s="76" t="s">
        <v>43</v>
      </c>
      <c r="H43" s="3" t="s">
        <v>110</v>
      </c>
      <c r="I43" s="248"/>
      <c r="J43" t="s">
        <v>272</v>
      </c>
      <c r="K43" s="115" t="e">
        <f t="shared" si="17"/>
        <v>#VALUE!</v>
      </c>
      <c r="L43" s="3" t="s">
        <v>36</v>
      </c>
      <c r="M43" s="33"/>
      <c r="N43" s="248"/>
      <c r="O43" s="3" t="s">
        <v>36</v>
      </c>
      <c r="P43" s="76"/>
      <c r="Q43" s="76"/>
      <c r="R43" s="76"/>
      <c r="S43" s="179"/>
      <c r="T43" s="76"/>
      <c r="U43" s="76"/>
      <c r="V43" s="116">
        <f t="shared" si="18"/>
        <v>0</v>
      </c>
      <c r="W43" s="116">
        <f t="shared" si="19"/>
        <v>0</v>
      </c>
      <c r="X43" s="116">
        <f t="shared" si="20"/>
        <v>0</v>
      </c>
      <c r="Y43" s="116">
        <f t="shared" si="21"/>
        <v>0</v>
      </c>
      <c r="Z43" s="116">
        <f t="shared" si="22"/>
        <v>0</v>
      </c>
      <c r="AA43" s="116">
        <f t="shared" si="23"/>
        <v>0</v>
      </c>
      <c r="AB43" s="76"/>
    </row>
    <row r="44" spans="1:30" ht="13">
      <c r="C44" s="68" t="s">
        <v>266</v>
      </c>
      <c r="D44" s="76"/>
      <c r="E44" s="3" t="s">
        <v>43</v>
      </c>
      <c r="F44" s="3" t="s">
        <v>110</v>
      </c>
      <c r="G44" s="76" t="s">
        <v>43</v>
      </c>
      <c r="H44" s="3" t="s">
        <v>110</v>
      </c>
      <c r="I44" s="248"/>
      <c r="J44" t="s">
        <v>272</v>
      </c>
      <c r="K44" s="115" t="e">
        <f t="shared" si="17"/>
        <v>#VALUE!</v>
      </c>
      <c r="L44" s="3" t="s">
        <v>36</v>
      </c>
      <c r="M44" s="33"/>
      <c r="N44" s="248"/>
      <c r="O44" s="3" t="s">
        <v>36</v>
      </c>
      <c r="P44" s="76"/>
      <c r="Q44" s="76"/>
      <c r="R44" s="76"/>
      <c r="S44" s="179"/>
      <c r="T44" s="76"/>
      <c r="U44" s="76"/>
      <c r="V44" s="116">
        <f t="shared" si="18"/>
        <v>0</v>
      </c>
      <c r="W44" s="116">
        <f t="shared" si="19"/>
        <v>0</v>
      </c>
      <c r="X44" s="116">
        <f t="shared" si="20"/>
        <v>0</v>
      </c>
      <c r="Y44" s="116">
        <f t="shared" si="21"/>
        <v>0</v>
      </c>
      <c r="Z44" s="116">
        <f t="shared" si="22"/>
        <v>0</v>
      </c>
      <c r="AA44" s="116">
        <f t="shared" si="23"/>
        <v>0</v>
      </c>
      <c r="AB44" s="76"/>
    </row>
    <row r="45" spans="1:30" ht="13">
      <c r="C45" s="68" t="s">
        <v>267</v>
      </c>
      <c r="D45" s="111"/>
      <c r="E45" s="3" t="s">
        <v>43</v>
      </c>
      <c r="F45" s="3" t="s">
        <v>110</v>
      </c>
      <c r="G45" s="76" t="s">
        <v>43</v>
      </c>
      <c r="H45" s="3" t="s">
        <v>110</v>
      </c>
      <c r="I45" s="248"/>
      <c r="J45" t="s">
        <v>272</v>
      </c>
      <c r="K45" s="115" t="e">
        <f t="shared" si="17"/>
        <v>#VALUE!</v>
      </c>
      <c r="L45" s="3" t="s">
        <v>36</v>
      </c>
      <c r="M45" s="33"/>
      <c r="N45" s="248"/>
      <c r="O45" s="3" t="s">
        <v>36</v>
      </c>
      <c r="P45" s="76"/>
      <c r="Q45" s="76"/>
      <c r="R45" s="76"/>
      <c r="S45" s="179"/>
      <c r="T45" s="76"/>
      <c r="U45" s="76"/>
      <c r="V45" s="116">
        <f t="shared" si="18"/>
        <v>0</v>
      </c>
      <c r="W45" s="116">
        <f t="shared" si="19"/>
        <v>0</v>
      </c>
      <c r="X45" s="116">
        <f t="shared" si="20"/>
        <v>0</v>
      </c>
      <c r="Y45" s="116">
        <f t="shared" si="21"/>
        <v>0</v>
      </c>
      <c r="Z45" s="116">
        <f t="shared" si="22"/>
        <v>0</v>
      </c>
      <c r="AA45" s="116">
        <f t="shared" si="23"/>
        <v>0</v>
      </c>
      <c r="AB45" s="76"/>
    </row>
    <row r="46" spans="1:30" ht="13">
      <c r="C46" s="68" t="s">
        <v>268</v>
      </c>
      <c r="D46" s="111"/>
      <c r="E46" s="3" t="s">
        <v>43</v>
      </c>
      <c r="F46" s="3" t="s">
        <v>110</v>
      </c>
      <c r="G46" s="76" t="s">
        <v>43</v>
      </c>
      <c r="H46" s="3" t="s">
        <v>110</v>
      </c>
      <c r="I46" s="248"/>
      <c r="J46" t="s">
        <v>272</v>
      </c>
      <c r="K46" s="115" t="e">
        <f t="shared" si="17"/>
        <v>#VALUE!</v>
      </c>
      <c r="L46" s="3" t="s">
        <v>36</v>
      </c>
      <c r="M46" s="33"/>
      <c r="N46" s="248"/>
      <c r="O46" s="3" t="s">
        <v>36</v>
      </c>
      <c r="P46" s="76"/>
      <c r="Q46" s="76"/>
      <c r="R46" s="76"/>
      <c r="S46" s="179"/>
      <c r="T46" s="76"/>
      <c r="U46" s="76"/>
      <c r="V46" s="116">
        <f t="shared" si="18"/>
        <v>0</v>
      </c>
      <c r="W46" s="116">
        <f t="shared" si="19"/>
        <v>0</v>
      </c>
      <c r="X46" s="116">
        <f t="shared" si="20"/>
        <v>0</v>
      </c>
      <c r="Y46" s="116">
        <f t="shared" si="21"/>
        <v>0</v>
      </c>
      <c r="Z46" s="116">
        <f t="shared" si="22"/>
        <v>0</v>
      </c>
      <c r="AA46" s="116">
        <f t="shared" si="23"/>
        <v>0</v>
      </c>
      <c r="AB46" s="76"/>
    </row>
    <row r="47" spans="1:30" ht="13">
      <c r="C47" s="68" t="s">
        <v>269</v>
      </c>
      <c r="D47" s="76"/>
      <c r="E47" s="3" t="s">
        <v>43</v>
      </c>
      <c r="F47" s="3" t="s">
        <v>110</v>
      </c>
      <c r="G47" s="76" t="s">
        <v>43</v>
      </c>
      <c r="H47" s="3" t="s">
        <v>110</v>
      </c>
      <c r="I47" s="248"/>
      <c r="J47" t="s">
        <v>272</v>
      </c>
      <c r="K47" s="115" t="e">
        <f t="shared" si="17"/>
        <v>#VALUE!</v>
      </c>
      <c r="L47" s="3" t="s">
        <v>36</v>
      </c>
      <c r="M47" s="33"/>
      <c r="N47" s="248"/>
      <c r="O47" s="3" t="s">
        <v>36</v>
      </c>
      <c r="P47" s="76"/>
      <c r="Q47" s="76"/>
      <c r="R47" s="76"/>
      <c r="S47" s="179"/>
      <c r="T47" s="76"/>
      <c r="U47" s="76"/>
      <c r="V47" s="116">
        <f t="shared" si="18"/>
        <v>0</v>
      </c>
      <c r="W47" s="116">
        <f t="shared" si="19"/>
        <v>0</v>
      </c>
      <c r="X47" s="116">
        <f t="shared" si="20"/>
        <v>0</v>
      </c>
      <c r="Y47" s="116">
        <f t="shared" si="21"/>
        <v>0</v>
      </c>
      <c r="Z47" s="116">
        <f t="shared" si="22"/>
        <v>0</v>
      </c>
      <c r="AA47" s="116">
        <f t="shared" si="23"/>
        <v>0</v>
      </c>
      <c r="AB47" s="76"/>
    </row>
    <row r="48" spans="1:30" ht="26">
      <c r="C48" s="68" t="s">
        <v>270</v>
      </c>
      <c r="D48" s="76"/>
      <c r="E48" s="3" t="s">
        <v>43</v>
      </c>
      <c r="F48" s="3" t="s">
        <v>110</v>
      </c>
      <c r="G48" s="76" t="s">
        <v>43</v>
      </c>
      <c r="H48" s="3" t="s">
        <v>110</v>
      </c>
      <c r="I48" s="248"/>
      <c r="J48" t="s">
        <v>272</v>
      </c>
      <c r="K48" s="115" t="e">
        <f t="shared" si="17"/>
        <v>#VALUE!</v>
      </c>
      <c r="L48" s="3" t="s">
        <v>36</v>
      </c>
      <c r="M48" s="33"/>
      <c r="N48" s="248"/>
      <c r="O48" s="3" t="s">
        <v>36</v>
      </c>
      <c r="P48" s="76"/>
      <c r="Q48" s="76"/>
      <c r="R48" s="76"/>
      <c r="S48" s="179"/>
      <c r="T48" s="76"/>
      <c r="U48" s="76"/>
      <c r="V48" s="116">
        <f t="shared" si="18"/>
        <v>0</v>
      </c>
      <c r="W48" s="116">
        <f t="shared" si="19"/>
        <v>0</v>
      </c>
      <c r="X48" s="116">
        <f t="shared" si="20"/>
        <v>0</v>
      </c>
      <c r="Y48" s="116">
        <f t="shared" si="21"/>
        <v>0</v>
      </c>
      <c r="Z48" s="116">
        <f t="shared" si="22"/>
        <v>0</v>
      </c>
      <c r="AA48" s="116">
        <f t="shared" si="23"/>
        <v>0</v>
      </c>
      <c r="AB48" s="76"/>
    </row>
    <row r="49" spans="2:30" ht="26">
      <c r="C49" s="68" t="s">
        <v>271</v>
      </c>
      <c r="D49" s="76"/>
      <c r="E49" s="3" t="s">
        <v>43</v>
      </c>
      <c r="F49" s="3" t="s">
        <v>110</v>
      </c>
      <c r="G49" s="76" t="s">
        <v>43</v>
      </c>
      <c r="H49" s="3" t="s">
        <v>110</v>
      </c>
      <c r="I49" s="248"/>
      <c r="J49" t="s">
        <v>272</v>
      </c>
      <c r="K49" s="115" t="e">
        <f t="shared" si="17"/>
        <v>#VALUE!</v>
      </c>
      <c r="L49" s="3" t="s">
        <v>36</v>
      </c>
      <c r="M49" s="33"/>
      <c r="N49" s="248"/>
      <c r="O49" s="3" t="s">
        <v>36</v>
      </c>
      <c r="P49" s="76"/>
      <c r="Q49" s="76"/>
      <c r="R49" s="76"/>
      <c r="S49" s="179"/>
      <c r="T49" s="76"/>
      <c r="U49" s="76"/>
      <c r="V49" s="116">
        <f t="shared" si="18"/>
        <v>0</v>
      </c>
      <c r="W49" s="116">
        <f t="shared" si="19"/>
        <v>0</v>
      </c>
      <c r="X49" s="116">
        <f t="shared" si="20"/>
        <v>0</v>
      </c>
      <c r="Y49" s="116">
        <f t="shared" si="21"/>
        <v>0</v>
      </c>
      <c r="Z49" s="116">
        <f t="shared" si="22"/>
        <v>0</v>
      </c>
      <c r="AA49" s="116">
        <f t="shared" si="23"/>
        <v>0</v>
      </c>
      <c r="AB49" s="76"/>
    </row>
    <row r="50" spans="2:30" s="55" customFormat="1" ht="13">
      <c r="B50" s="104"/>
      <c r="C50" s="175"/>
      <c r="D50" s="111"/>
      <c r="E50" s="104"/>
      <c r="F50" s="104"/>
      <c r="G50" s="76"/>
      <c r="H50" s="104"/>
      <c r="I50" s="248"/>
      <c r="J50" s="104"/>
      <c r="K50" s="168"/>
      <c r="L50" s="104"/>
      <c r="M50" s="164"/>
      <c r="N50" s="248"/>
      <c r="O50" s="104"/>
      <c r="P50" s="167"/>
      <c r="Q50" s="167"/>
      <c r="R50" s="167"/>
      <c r="S50" s="167"/>
      <c r="T50" s="167"/>
      <c r="U50" s="170"/>
      <c r="V50" s="116"/>
      <c r="W50" s="116"/>
      <c r="X50" s="116"/>
      <c r="Y50" s="116"/>
      <c r="Z50" s="116"/>
      <c r="AA50" s="116"/>
      <c r="AB50" s="76"/>
    </row>
    <row r="51" spans="2:30" ht="29">
      <c r="B51" s="3" t="s">
        <v>233</v>
      </c>
      <c r="C51" s="71" t="s">
        <v>231</v>
      </c>
      <c r="D51" s="111"/>
      <c r="E51" s="3" t="s">
        <v>43</v>
      </c>
      <c r="F51" s="3" t="s">
        <v>43</v>
      </c>
      <c r="G51" s="76" t="s">
        <v>43</v>
      </c>
      <c r="H51" s="3" t="s">
        <v>43</v>
      </c>
      <c r="I51" s="248"/>
      <c r="J51" t="s">
        <v>43</v>
      </c>
      <c r="K51" s="169" t="s">
        <v>43</v>
      </c>
      <c r="L51" s="3" t="s">
        <v>36</v>
      </c>
      <c r="M51" s="33"/>
      <c r="N51" s="248"/>
      <c r="O51" s="3" t="s">
        <v>36</v>
      </c>
      <c r="P51" s="76"/>
      <c r="Q51" s="76"/>
      <c r="R51" s="76"/>
      <c r="S51" s="76"/>
      <c r="T51" s="76"/>
      <c r="U51" s="76"/>
      <c r="V51" s="114">
        <f t="shared" ref="V51:AA51" si="24">$N51*P51</f>
        <v>0</v>
      </c>
      <c r="W51" s="114">
        <f t="shared" si="24"/>
        <v>0</v>
      </c>
      <c r="X51" s="114">
        <f t="shared" si="24"/>
        <v>0</v>
      </c>
      <c r="Y51" s="114">
        <f t="shared" si="24"/>
        <v>0</v>
      </c>
      <c r="Z51" s="114">
        <f t="shared" si="24"/>
        <v>0</v>
      </c>
      <c r="AA51" s="114">
        <f t="shared" si="24"/>
        <v>0</v>
      </c>
      <c r="AB51" s="76"/>
      <c r="AC51" s="25"/>
      <c r="AD51" s="3"/>
    </row>
    <row r="52" spans="2:30" s="55" customFormat="1" ht="14.5">
      <c r="B52" s="104"/>
      <c r="C52" s="176"/>
      <c r="D52" s="111"/>
      <c r="E52" s="104"/>
      <c r="F52" s="104"/>
      <c r="G52" s="76"/>
      <c r="H52" s="104"/>
      <c r="I52" s="248"/>
      <c r="K52" s="115"/>
      <c r="L52" s="104"/>
      <c r="M52" s="138"/>
      <c r="N52" s="248"/>
      <c r="O52" s="104"/>
      <c r="P52" s="76"/>
      <c r="Q52" s="76"/>
      <c r="R52" s="76"/>
      <c r="S52" s="76"/>
      <c r="T52" s="76"/>
      <c r="U52" s="76"/>
      <c r="V52" s="114"/>
      <c r="W52" s="114"/>
      <c r="X52" s="114"/>
      <c r="Y52" s="114"/>
      <c r="Z52" s="114"/>
      <c r="AA52" s="114"/>
      <c r="AB52" s="76"/>
      <c r="AC52" s="177"/>
      <c r="AD52" s="104"/>
    </row>
    <row r="53" spans="2:30" ht="28">
      <c r="B53" s="3" t="s">
        <v>234</v>
      </c>
      <c r="C53" s="72" t="s">
        <v>232</v>
      </c>
      <c r="D53" s="111"/>
      <c r="E53" s="3"/>
      <c r="F53" s="3"/>
      <c r="G53" s="76"/>
      <c r="H53" s="3"/>
      <c r="I53" s="248"/>
      <c r="K53" s="114"/>
      <c r="L53" s="3"/>
      <c r="M53" s="33"/>
      <c r="N53" s="248"/>
      <c r="O53" s="3"/>
      <c r="P53" s="76"/>
      <c r="Q53" s="76"/>
      <c r="R53" s="76"/>
      <c r="S53" s="76"/>
      <c r="T53" s="76"/>
      <c r="U53" s="76"/>
      <c r="V53" s="114">
        <f t="shared" ref="V53:AA53" si="25">SUM(V54:V70)</f>
        <v>0</v>
      </c>
      <c r="W53" s="114">
        <f t="shared" si="25"/>
        <v>0</v>
      </c>
      <c r="X53" s="114">
        <f t="shared" si="25"/>
        <v>0</v>
      </c>
      <c r="Y53" s="114">
        <f>SUM(Y54:Y70)</f>
        <v>0</v>
      </c>
      <c r="Z53" s="114">
        <f t="shared" si="25"/>
        <v>0</v>
      </c>
      <c r="AA53" s="114">
        <f t="shared" si="25"/>
        <v>0</v>
      </c>
      <c r="AB53" s="76"/>
      <c r="AC53" s="25"/>
      <c r="AD53" s="3"/>
    </row>
    <row r="54" spans="2:30" ht="14">
      <c r="B54" s="3"/>
      <c r="C54" s="73" t="s">
        <v>235</v>
      </c>
      <c r="D54" s="111"/>
      <c r="E54" s="3" t="s">
        <v>43</v>
      </c>
      <c r="F54" s="3" t="s">
        <v>43</v>
      </c>
      <c r="G54" s="76" t="s">
        <v>43</v>
      </c>
      <c r="H54" s="3" t="s">
        <v>43</v>
      </c>
      <c r="I54" s="248"/>
      <c r="J54" t="s">
        <v>43</v>
      </c>
      <c r="K54" s="115" t="s">
        <v>43</v>
      </c>
      <c r="L54" s="3" t="s">
        <v>36</v>
      </c>
      <c r="M54" s="33"/>
      <c r="N54" s="248"/>
      <c r="O54" s="3" t="s">
        <v>36</v>
      </c>
      <c r="P54" s="76"/>
      <c r="Q54" s="76"/>
      <c r="R54" s="76"/>
      <c r="S54" s="179"/>
      <c r="T54" s="76"/>
      <c r="U54" s="76"/>
      <c r="V54" s="116">
        <f t="shared" ref="V54:AA54" si="26">$N54*P54</f>
        <v>0</v>
      </c>
      <c r="W54" s="116">
        <f t="shared" si="26"/>
        <v>0</v>
      </c>
      <c r="X54" s="116">
        <f t="shared" si="26"/>
        <v>0</v>
      </c>
      <c r="Y54" s="116">
        <f t="shared" si="26"/>
        <v>0</v>
      </c>
      <c r="Z54" s="116">
        <f t="shared" si="26"/>
        <v>0</v>
      </c>
      <c r="AA54" s="116">
        <f t="shared" si="26"/>
        <v>0</v>
      </c>
      <c r="AB54" s="76"/>
    </row>
    <row r="55" spans="2:30" ht="14">
      <c r="B55" s="3"/>
      <c r="C55" s="73" t="s">
        <v>236</v>
      </c>
      <c r="D55" s="111"/>
      <c r="E55" s="3" t="s">
        <v>43</v>
      </c>
      <c r="F55" s="3" t="s">
        <v>43</v>
      </c>
      <c r="G55" s="76" t="s">
        <v>43</v>
      </c>
      <c r="H55" s="3" t="s">
        <v>43</v>
      </c>
      <c r="I55" s="248"/>
      <c r="J55" t="s">
        <v>43</v>
      </c>
      <c r="K55" s="115" t="s">
        <v>43</v>
      </c>
      <c r="L55" s="3" t="s">
        <v>36</v>
      </c>
      <c r="M55" s="33"/>
      <c r="N55" s="248"/>
      <c r="O55" s="3" t="s">
        <v>36</v>
      </c>
      <c r="P55" s="76"/>
      <c r="Q55" s="76"/>
      <c r="R55" s="76"/>
      <c r="S55" s="179"/>
      <c r="T55" s="76"/>
      <c r="U55" s="76"/>
      <c r="V55" s="116">
        <f t="shared" ref="V55:V69" si="27">$N55*P55</f>
        <v>0</v>
      </c>
      <c r="W55" s="116">
        <f t="shared" ref="W55:W69" si="28">$N55*Q55</f>
        <v>0</v>
      </c>
      <c r="X55" s="116">
        <f t="shared" ref="X55:Y69" si="29">$N55*R55</f>
        <v>0</v>
      </c>
      <c r="Y55" s="116">
        <f t="shared" si="29"/>
        <v>0</v>
      </c>
      <c r="Z55" s="116">
        <f t="shared" ref="Z55:Z69" si="30">$N55*T55</f>
        <v>0</v>
      </c>
      <c r="AA55" s="116">
        <f t="shared" ref="AA55:AA69" si="31">$N55*U55</f>
        <v>0</v>
      </c>
      <c r="AB55" s="76"/>
    </row>
    <row r="56" spans="2:30" ht="14">
      <c r="B56" s="3"/>
      <c r="C56" s="73" t="s">
        <v>237</v>
      </c>
      <c r="D56" s="111"/>
      <c r="E56" s="3" t="s">
        <v>43</v>
      </c>
      <c r="F56" s="3" t="s">
        <v>43</v>
      </c>
      <c r="G56" s="76" t="s">
        <v>43</v>
      </c>
      <c r="H56" s="3" t="s">
        <v>43</v>
      </c>
      <c r="I56" s="248"/>
      <c r="J56" t="s">
        <v>43</v>
      </c>
      <c r="K56" s="115" t="s">
        <v>43</v>
      </c>
      <c r="L56" s="3" t="s">
        <v>36</v>
      </c>
      <c r="M56" s="33"/>
      <c r="N56" s="248"/>
      <c r="O56" s="3" t="s">
        <v>36</v>
      </c>
      <c r="P56" s="76"/>
      <c r="Q56" s="76"/>
      <c r="R56" s="76"/>
      <c r="S56" s="179"/>
      <c r="T56" s="76"/>
      <c r="U56" s="76"/>
      <c r="V56" s="116">
        <f t="shared" si="27"/>
        <v>0</v>
      </c>
      <c r="W56" s="116">
        <f t="shared" si="28"/>
        <v>0</v>
      </c>
      <c r="X56" s="116">
        <f t="shared" si="29"/>
        <v>0</v>
      </c>
      <c r="Y56" s="116">
        <f t="shared" si="29"/>
        <v>0</v>
      </c>
      <c r="Z56" s="116">
        <f t="shared" si="30"/>
        <v>0</v>
      </c>
      <c r="AA56" s="116">
        <f t="shared" si="31"/>
        <v>0</v>
      </c>
      <c r="AB56" s="76"/>
    </row>
    <row r="57" spans="2:30" ht="14">
      <c r="B57" s="3"/>
      <c r="C57" s="73" t="s">
        <v>238</v>
      </c>
      <c r="D57" s="111"/>
      <c r="E57" s="3" t="s">
        <v>43</v>
      </c>
      <c r="F57" s="3" t="s">
        <v>43</v>
      </c>
      <c r="G57" s="76" t="s">
        <v>43</v>
      </c>
      <c r="H57" s="3" t="s">
        <v>43</v>
      </c>
      <c r="I57" s="248"/>
      <c r="J57" t="s">
        <v>43</v>
      </c>
      <c r="K57" s="115" t="s">
        <v>43</v>
      </c>
      <c r="L57" s="3" t="s">
        <v>36</v>
      </c>
      <c r="M57" s="33"/>
      <c r="N57" s="248"/>
      <c r="O57" s="3" t="s">
        <v>36</v>
      </c>
      <c r="P57" s="76"/>
      <c r="Q57" s="76"/>
      <c r="R57" s="76"/>
      <c r="S57" s="179"/>
      <c r="T57" s="76"/>
      <c r="U57" s="76"/>
      <c r="V57" s="116">
        <f t="shared" si="27"/>
        <v>0</v>
      </c>
      <c r="W57" s="116">
        <f t="shared" si="28"/>
        <v>0</v>
      </c>
      <c r="X57" s="116">
        <f t="shared" si="29"/>
        <v>0</v>
      </c>
      <c r="Y57" s="116">
        <f t="shared" si="29"/>
        <v>0</v>
      </c>
      <c r="Z57" s="116">
        <f t="shared" si="30"/>
        <v>0</v>
      </c>
      <c r="AA57" s="116">
        <f t="shared" si="31"/>
        <v>0</v>
      </c>
      <c r="AB57" s="76"/>
    </row>
    <row r="58" spans="2:30" ht="14">
      <c r="B58" s="3"/>
      <c r="C58" s="73" t="s">
        <v>239</v>
      </c>
      <c r="D58" s="111"/>
      <c r="E58" s="3" t="s">
        <v>43</v>
      </c>
      <c r="F58" s="3" t="s">
        <v>43</v>
      </c>
      <c r="G58" s="76" t="s">
        <v>43</v>
      </c>
      <c r="H58" s="3" t="s">
        <v>43</v>
      </c>
      <c r="I58" s="248"/>
      <c r="J58" t="s">
        <v>43</v>
      </c>
      <c r="K58" s="115" t="s">
        <v>43</v>
      </c>
      <c r="L58" s="3" t="s">
        <v>36</v>
      </c>
      <c r="M58" s="33"/>
      <c r="N58" s="248"/>
      <c r="O58" s="3" t="s">
        <v>36</v>
      </c>
      <c r="P58" s="76"/>
      <c r="Q58" s="76"/>
      <c r="R58" s="76"/>
      <c r="S58" s="179"/>
      <c r="T58" s="76"/>
      <c r="U58" s="76"/>
      <c r="V58" s="116">
        <f t="shared" si="27"/>
        <v>0</v>
      </c>
      <c r="W58" s="116">
        <f t="shared" si="28"/>
        <v>0</v>
      </c>
      <c r="X58" s="116">
        <f t="shared" si="29"/>
        <v>0</v>
      </c>
      <c r="Y58" s="116">
        <f t="shared" si="29"/>
        <v>0</v>
      </c>
      <c r="Z58" s="116">
        <f t="shared" si="30"/>
        <v>0</v>
      </c>
      <c r="AA58" s="116">
        <f t="shared" si="31"/>
        <v>0</v>
      </c>
      <c r="AB58" s="76"/>
    </row>
    <row r="59" spans="2:30" ht="28">
      <c r="B59" s="3"/>
      <c r="C59" s="73" t="s">
        <v>240</v>
      </c>
      <c r="D59" s="111"/>
      <c r="E59" s="3" t="s">
        <v>43</v>
      </c>
      <c r="F59" s="3" t="s">
        <v>43</v>
      </c>
      <c r="G59" s="76" t="s">
        <v>43</v>
      </c>
      <c r="H59" s="3" t="s">
        <v>43</v>
      </c>
      <c r="I59" s="248"/>
      <c r="J59" t="s">
        <v>43</v>
      </c>
      <c r="K59" s="115" t="s">
        <v>43</v>
      </c>
      <c r="L59" s="3" t="s">
        <v>36</v>
      </c>
      <c r="M59" s="33"/>
      <c r="N59" s="248"/>
      <c r="O59" s="3" t="s">
        <v>36</v>
      </c>
      <c r="P59" s="76"/>
      <c r="Q59" s="76"/>
      <c r="R59" s="76"/>
      <c r="S59" s="179"/>
      <c r="T59" s="76"/>
      <c r="U59" s="76"/>
      <c r="V59" s="116">
        <f t="shared" si="27"/>
        <v>0</v>
      </c>
      <c r="W59" s="116">
        <f t="shared" si="28"/>
        <v>0</v>
      </c>
      <c r="X59" s="116">
        <f t="shared" si="29"/>
        <v>0</v>
      </c>
      <c r="Y59" s="116">
        <f t="shared" si="29"/>
        <v>0</v>
      </c>
      <c r="Z59" s="116">
        <f t="shared" si="30"/>
        <v>0</v>
      </c>
      <c r="AA59" s="116">
        <f t="shared" si="31"/>
        <v>0</v>
      </c>
      <c r="AB59" s="76"/>
    </row>
    <row r="60" spans="2:30" ht="28">
      <c r="B60" s="3"/>
      <c r="C60" s="73" t="s">
        <v>241</v>
      </c>
      <c r="D60" s="111"/>
      <c r="E60" s="3" t="s">
        <v>43</v>
      </c>
      <c r="F60" s="3" t="s">
        <v>43</v>
      </c>
      <c r="G60" s="76" t="s">
        <v>43</v>
      </c>
      <c r="H60" s="3" t="s">
        <v>43</v>
      </c>
      <c r="I60" s="248"/>
      <c r="J60" t="s">
        <v>43</v>
      </c>
      <c r="K60" s="115" t="s">
        <v>43</v>
      </c>
      <c r="L60" s="3" t="s">
        <v>36</v>
      </c>
      <c r="M60" s="33"/>
      <c r="N60" s="248"/>
      <c r="O60" s="3" t="s">
        <v>36</v>
      </c>
      <c r="P60" s="76"/>
      <c r="Q60" s="76"/>
      <c r="R60" s="76"/>
      <c r="S60" s="179"/>
      <c r="T60" s="76"/>
      <c r="U60" s="76"/>
      <c r="V60" s="116">
        <f t="shared" si="27"/>
        <v>0</v>
      </c>
      <c r="W60" s="116">
        <f t="shared" si="28"/>
        <v>0</v>
      </c>
      <c r="X60" s="116">
        <f t="shared" si="29"/>
        <v>0</v>
      </c>
      <c r="Y60" s="116">
        <f t="shared" si="29"/>
        <v>0</v>
      </c>
      <c r="Z60" s="116">
        <f t="shared" si="30"/>
        <v>0</v>
      </c>
      <c r="AA60" s="116">
        <f t="shared" si="31"/>
        <v>0</v>
      </c>
      <c r="AB60" s="76"/>
    </row>
    <row r="61" spans="2:30" ht="42">
      <c r="B61" s="3"/>
      <c r="C61" s="73" t="s">
        <v>242</v>
      </c>
      <c r="D61" s="111"/>
      <c r="E61" s="3" t="s">
        <v>43</v>
      </c>
      <c r="F61" s="3" t="s">
        <v>43</v>
      </c>
      <c r="G61" s="76" t="s">
        <v>43</v>
      </c>
      <c r="H61" s="3" t="s">
        <v>43</v>
      </c>
      <c r="I61" s="248"/>
      <c r="J61" t="s">
        <v>43</v>
      </c>
      <c r="K61" s="115" t="s">
        <v>43</v>
      </c>
      <c r="L61" s="3" t="s">
        <v>36</v>
      </c>
      <c r="M61" s="33"/>
      <c r="N61" s="248"/>
      <c r="O61" s="3" t="s">
        <v>36</v>
      </c>
      <c r="P61" s="76"/>
      <c r="Q61" s="76"/>
      <c r="R61" s="76"/>
      <c r="S61" s="179"/>
      <c r="T61" s="76"/>
      <c r="U61" s="76"/>
      <c r="V61" s="116">
        <f t="shared" si="27"/>
        <v>0</v>
      </c>
      <c r="W61" s="116">
        <f t="shared" si="28"/>
        <v>0</v>
      </c>
      <c r="X61" s="116">
        <f t="shared" si="29"/>
        <v>0</v>
      </c>
      <c r="Y61" s="116">
        <f t="shared" si="29"/>
        <v>0</v>
      </c>
      <c r="Z61" s="116">
        <f t="shared" si="30"/>
        <v>0</v>
      </c>
      <c r="AA61" s="116">
        <f t="shared" si="31"/>
        <v>0</v>
      </c>
      <c r="AB61" s="76"/>
    </row>
    <row r="62" spans="2:30" ht="14">
      <c r="B62" s="3"/>
      <c r="C62" s="73" t="s">
        <v>243</v>
      </c>
      <c r="D62" s="111"/>
      <c r="E62" s="3" t="s">
        <v>43</v>
      </c>
      <c r="F62" s="3" t="s">
        <v>43</v>
      </c>
      <c r="G62" s="76" t="s">
        <v>43</v>
      </c>
      <c r="H62" s="3" t="s">
        <v>43</v>
      </c>
      <c r="I62" s="248"/>
      <c r="J62" t="s">
        <v>43</v>
      </c>
      <c r="K62" s="115" t="s">
        <v>43</v>
      </c>
      <c r="L62" s="3" t="s">
        <v>36</v>
      </c>
      <c r="M62" s="33"/>
      <c r="N62" s="248"/>
      <c r="O62" s="3" t="s">
        <v>36</v>
      </c>
      <c r="P62" s="76"/>
      <c r="Q62" s="76"/>
      <c r="R62" s="76"/>
      <c r="S62" s="179"/>
      <c r="T62" s="76"/>
      <c r="U62" s="76"/>
      <c r="V62" s="116">
        <f t="shared" si="27"/>
        <v>0</v>
      </c>
      <c r="W62" s="116">
        <f t="shared" si="28"/>
        <v>0</v>
      </c>
      <c r="X62" s="116">
        <f t="shared" si="29"/>
        <v>0</v>
      </c>
      <c r="Y62" s="116">
        <f t="shared" si="29"/>
        <v>0</v>
      </c>
      <c r="Z62" s="116">
        <f t="shared" si="30"/>
        <v>0</v>
      </c>
      <c r="AA62" s="116">
        <f t="shared" si="31"/>
        <v>0</v>
      </c>
      <c r="AB62" s="76"/>
    </row>
    <row r="63" spans="2:30" ht="14">
      <c r="B63" s="3"/>
      <c r="C63" s="73" t="s">
        <v>244</v>
      </c>
      <c r="D63" s="111"/>
      <c r="E63" s="3" t="s">
        <v>43</v>
      </c>
      <c r="F63" s="3" t="s">
        <v>43</v>
      </c>
      <c r="G63" s="76" t="s">
        <v>43</v>
      </c>
      <c r="H63" s="3" t="s">
        <v>43</v>
      </c>
      <c r="I63" s="248"/>
      <c r="J63" t="s">
        <v>43</v>
      </c>
      <c r="K63" s="115" t="s">
        <v>43</v>
      </c>
      <c r="L63" s="3" t="s">
        <v>36</v>
      </c>
      <c r="M63" s="33"/>
      <c r="N63" s="248"/>
      <c r="O63" s="3" t="s">
        <v>36</v>
      </c>
      <c r="P63" s="76"/>
      <c r="Q63" s="76"/>
      <c r="R63" s="76"/>
      <c r="S63" s="179"/>
      <c r="T63" s="76"/>
      <c r="U63" s="76"/>
      <c r="V63" s="116">
        <f t="shared" si="27"/>
        <v>0</v>
      </c>
      <c r="W63" s="116">
        <f t="shared" si="28"/>
        <v>0</v>
      </c>
      <c r="X63" s="116">
        <f t="shared" si="29"/>
        <v>0</v>
      </c>
      <c r="Y63" s="116">
        <f t="shared" si="29"/>
        <v>0</v>
      </c>
      <c r="Z63" s="116">
        <f t="shared" si="30"/>
        <v>0</v>
      </c>
      <c r="AA63" s="116">
        <f t="shared" si="31"/>
        <v>0</v>
      </c>
      <c r="AB63" s="76"/>
    </row>
    <row r="64" spans="2:30" ht="14">
      <c r="B64" s="3"/>
      <c r="C64" s="73" t="s">
        <v>245</v>
      </c>
      <c r="D64" s="111"/>
      <c r="E64" s="3" t="s">
        <v>43</v>
      </c>
      <c r="F64" s="3" t="s">
        <v>43</v>
      </c>
      <c r="G64" s="76" t="s">
        <v>43</v>
      </c>
      <c r="H64" s="3" t="s">
        <v>43</v>
      </c>
      <c r="I64" s="248"/>
      <c r="J64" t="s">
        <v>43</v>
      </c>
      <c r="K64" s="115" t="s">
        <v>43</v>
      </c>
      <c r="L64" s="3" t="s">
        <v>36</v>
      </c>
      <c r="M64" s="33"/>
      <c r="N64" s="248"/>
      <c r="O64" s="3" t="s">
        <v>36</v>
      </c>
      <c r="P64" s="76"/>
      <c r="Q64" s="76"/>
      <c r="R64" s="76"/>
      <c r="S64" s="179"/>
      <c r="T64" s="76"/>
      <c r="U64" s="76"/>
      <c r="V64" s="116">
        <f t="shared" si="27"/>
        <v>0</v>
      </c>
      <c r="W64" s="116">
        <f t="shared" si="28"/>
        <v>0</v>
      </c>
      <c r="X64" s="116">
        <f t="shared" si="29"/>
        <v>0</v>
      </c>
      <c r="Y64" s="116">
        <f t="shared" si="29"/>
        <v>0</v>
      </c>
      <c r="Z64" s="116">
        <f t="shared" si="30"/>
        <v>0</v>
      </c>
      <c r="AA64" s="116">
        <f t="shared" si="31"/>
        <v>0</v>
      </c>
      <c r="AB64" s="76"/>
    </row>
    <row r="65" spans="2:28" ht="28">
      <c r="B65" s="3"/>
      <c r="C65" s="73" t="s">
        <v>246</v>
      </c>
      <c r="D65" s="111"/>
      <c r="E65" s="3" t="s">
        <v>43</v>
      </c>
      <c r="F65" s="3" t="s">
        <v>43</v>
      </c>
      <c r="G65" s="76" t="s">
        <v>43</v>
      </c>
      <c r="H65" s="3" t="s">
        <v>43</v>
      </c>
      <c r="I65" s="248"/>
      <c r="J65" t="s">
        <v>43</v>
      </c>
      <c r="K65" s="115" t="s">
        <v>43</v>
      </c>
      <c r="L65" s="3" t="s">
        <v>36</v>
      </c>
      <c r="M65" s="33"/>
      <c r="N65" s="248"/>
      <c r="O65" s="3" t="s">
        <v>36</v>
      </c>
      <c r="P65" s="76"/>
      <c r="Q65" s="76"/>
      <c r="R65" s="76"/>
      <c r="S65" s="179"/>
      <c r="T65" s="76"/>
      <c r="U65" s="76"/>
      <c r="V65" s="116">
        <f t="shared" si="27"/>
        <v>0</v>
      </c>
      <c r="W65" s="116">
        <f t="shared" si="28"/>
        <v>0</v>
      </c>
      <c r="X65" s="116">
        <f t="shared" si="29"/>
        <v>0</v>
      </c>
      <c r="Y65" s="116">
        <f t="shared" si="29"/>
        <v>0</v>
      </c>
      <c r="Z65" s="116">
        <f t="shared" si="30"/>
        <v>0</v>
      </c>
      <c r="AA65" s="116">
        <f t="shared" si="31"/>
        <v>0</v>
      </c>
      <c r="AB65" s="76"/>
    </row>
    <row r="66" spans="2:28" ht="14">
      <c r="B66" s="3"/>
      <c r="C66" s="73" t="s">
        <v>247</v>
      </c>
      <c r="D66" s="111"/>
      <c r="E66" s="3" t="s">
        <v>43</v>
      </c>
      <c r="F66" s="3" t="s">
        <v>43</v>
      </c>
      <c r="G66" s="76" t="s">
        <v>43</v>
      </c>
      <c r="H66" s="3" t="s">
        <v>43</v>
      </c>
      <c r="I66" s="248"/>
      <c r="J66" t="s">
        <v>43</v>
      </c>
      <c r="K66" s="115" t="s">
        <v>43</v>
      </c>
      <c r="L66" s="3" t="s">
        <v>36</v>
      </c>
      <c r="M66" s="33"/>
      <c r="N66" s="248"/>
      <c r="O66" s="3" t="s">
        <v>36</v>
      </c>
      <c r="P66" s="76"/>
      <c r="Q66" s="76"/>
      <c r="R66" s="76"/>
      <c r="S66" s="179"/>
      <c r="T66" s="76"/>
      <c r="U66" s="76"/>
      <c r="V66" s="116">
        <f t="shared" si="27"/>
        <v>0</v>
      </c>
      <c r="W66" s="116">
        <f t="shared" si="28"/>
        <v>0</v>
      </c>
      <c r="X66" s="116">
        <f t="shared" si="29"/>
        <v>0</v>
      </c>
      <c r="Y66" s="116">
        <f t="shared" si="29"/>
        <v>0</v>
      </c>
      <c r="Z66" s="116">
        <f t="shared" si="30"/>
        <v>0</v>
      </c>
      <c r="AA66" s="116">
        <f t="shared" si="31"/>
        <v>0</v>
      </c>
      <c r="AB66" s="76"/>
    </row>
    <row r="67" spans="2:28" ht="14">
      <c r="B67" s="3"/>
      <c r="C67" s="73" t="s">
        <v>248</v>
      </c>
      <c r="D67" s="111"/>
      <c r="E67" s="3" t="s">
        <v>43</v>
      </c>
      <c r="F67" s="3" t="s">
        <v>43</v>
      </c>
      <c r="G67" s="76" t="s">
        <v>43</v>
      </c>
      <c r="H67" s="3" t="s">
        <v>43</v>
      </c>
      <c r="I67" s="248"/>
      <c r="J67" t="s">
        <v>43</v>
      </c>
      <c r="K67" s="115" t="s">
        <v>43</v>
      </c>
      <c r="L67" s="3" t="s">
        <v>36</v>
      </c>
      <c r="M67" s="33"/>
      <c r="N67" s="248"/>
      <c r="O67" s="3" t="s">
        <v>36</v>
      </c>
      <c r="P67" s="76"/>
      <c r="Q67" s="76"/>
      <c r="R67" s="76"/>
      <c r="S67" s="179"/>
      <c r="T67" s="76"/>
      <c r="U67" s="76"/>
      <c r="V67" s="116">
        <f t="shared" si="27"/>
        <v>0</v>
      </c>
      <c r="W67" s="116">
        <f t="shared" si="28"/>
        <v>0</v>
      </c>
      <c r="X67" s="116">
        <f t="shared" si="29"/>
        <v>0</v>
      </c>
      <c r="Y67" s="116">
        <f t="shared" si="29"/>
        <v>0</v>
      </c>
      <c r="Z67" s="116">
        <f t="shared" si="30"/>
        <v>0</v>
      </c>
      <c r="AA67" s="116">
        <f t="shared" si="31"/>
        <v>0</v>
      </c>
      <c r="AB67" s="76"/>
    </row>
    <row r="68" spans="2:28" ht="14">
      <c r="B68" s="3"/>
      <c r="C68" s="73" t="s">
        <v>249</v>
      </c>
      <c r="D68" s="111"/>
      <c r="E68" s="3" t="s">
        <v>43</v>
      </c>
      <c r="F68" s="3" t="s">
        <v>43</v>
      </c>
      <c r="G68" s="76" t="s">
        <v>43</v>
      </c>
      <c r="H68" s="3" t="s">
        <v>43</v>
      </c>
      <c r="I68" s="248"/>
      <c r="J68" t="s">
        <v>43</v>
      </c>
      <c r="K68" s="115" t="s">
        <v>43</v>
      </c>
      <c r="L68" s="3" t="s">
        <v>36</v>
      </c>
      <c r="M68" s="33"/>
      <c r="N68" s="248"/>
      <c r="O68" s="3" t="s">
        <v>36</v>
      </c>
      <c r="P68" s="76"/>
      <c r="Q68" s="76"/>
      <c r="R68" s="76"/>
      <c r="S68" s="179"/>
      <c r="T68" s="76"/>
      <c r="U68" s="76"/>
      <c r="V68" s="116">
        <f t="shared" si="27"/>
        <v>0</v>
      </c>
      <c r="W68" s="116">
        <f t="shared" si="28"/>
        <v>0</v>
      </c>
      <c r="X68" s="116">
        <f t="shared" si="29"/>
        <v>0</v>
      </c>
      <c r="Y68" s="116">
        <f t="shared" si="29"/>
        <v>0</v>
      </c>
      <c r="Z68" s="116">
        <f t="shared" si="30"/>
        <v>0</v>
      </c>
      <c r="AA68" s="116">
        <f t="shared" si="31"/>
        <v>0</v>
      </c>
      <c r="AB68" s="76"/>
    </row>
    <row r="69" spans="2:28" ht="14">
      <c r="B69" s="3"/>
      <c r="C69" s="73" t="s">
        <v>250</v>
      </c>
      <c r="D69" s="111"/>
      <c r="E69" s="3" t="s">
        <v>43</v>
      </c>
      <c r="F69" s="3" t="s">
        <v>43</v>
      </c>
      <c r="G69" s="76" t="s">
        <v>43</v>
      </c>
      <c r="H69" s="3" t="s">
        <v>43</v>
      </c>
      <c r="I69" s="248"/>
      <c r="J69" t="s">
        <v>43</v>
      </c>
      <c r="K69" s="115" t="s">
        <v>43</v>
      </c>
      <c r="L69" s="3" t="s">
        <v>36</v>
      </c>
      <c r="M69" s="33"/>
      <c r="N69" s="248"/>
      <c r="O69" s="3" t="s">
        <v>36</v>
      </c>
      <c r="P69" s="76"/>
      <c r="Q69" s="76"/>
      <c r="R69" s="76"/>
      <c r="S69" s="179"/>
      <c r="T69" s="76"/>
      <c r="U69" s="76"/>
      <c r="V69" s="116">
        <f t="shared" si="27"/>
        <v>0</v>
      </c>
      <c r="W69" s="116">
        <f t="shared" si="28"/>
        <v>0</v>
      </c>
      <c r="X69" s="116">
        <f t="shared" si="29"/>
        <v>0</v>
      </c>
      <c r="Y69" s="116">
        <f t="shared" si="29"/>
        <v>0</v>
      </c>
      <c r="Z69" s="116">
        <f t="shared" si="30"/>
        <v>0</v>
      </c>
      <c r="AA69" s="116">
        <f t="shared" si="31"/>
        <v>0</v>
      </c>
      <c r="AB69" s="76"/>
    </row>
    <row r="70" spans="2:28" ht="13">
      <c r="B70" s="3"/>
      <c r="C70" s="26" t="s">
        <v>251</v>
      </c>
      <c r="D70" s="111"/>
      <c r="E70" s="3" t="s">
        <v>43</v>
      </c>
      <c r="F70" s="3" t="s">
        <v>43</v>
      </c>
      <c r="G70" s="76" t="s">
        <v>43</v>
      </c>
      <c r="H70" s="3" t="s">
        <v>43</v>
      </c>
      <c r="I70" s="248"/>
      <c r="J70" t="s">
        <v>43</v>
      </c>
      <c r="K70" s="115" t="s">
        <v>43</v>
      </c>
      <c r="L70" s="3" t="s">
        <v>36</v>
      </c>
      <c r="M70" s="33"/>
      <c r="N70" s="248"/>
      <c r="O70" s="3" t="s">
        <v>36</v>
      </c>
      <c r="P70" s="76"/>
      <c r="Q70" s="76"/>
      <c r="R70" s="76"/>
      <c r="S70" s="179"/>
      <c r="T70" s="76"/>
      <c r="U70" s="76"/>
      <c r="V70" s="116">
        <f t="shared" ref="V70:AA70" si="32">$N70*P70</f>
        <v>0</v>
      </c>
      <c r="W70" s="116">
        <f t="shared" si="32"/>
        <v>0</v>
      </c>
      <c r="X70" s="116">
        <f t="shared" si="32"/>
        <v>0</v>
      </c>
      <c r="Y70" s="116">
        <f t="shared" si="32"/>
        <v>0</v>
      </c>
      <c r="Z70" s="116">
        <f t="shared" si="32"/>
        <v>0</v>
      </c>
      <c r="AA70" s="116">
        <f t="shared" si="32"/>
        <v>0</v>
      </c>
      <c r="AB70" s="76"/>
    </row>
    <row r="71" spans="2:28" ht="13">
      <c r="B71" s="3"/>
      <c r="C71" s="70"/>
      <c r="D71" s="111"/>
      <c r="E71" s="41"/>
      <c r="F71" s="3"/>
      <c r="G71" s="76"/>
      <c r="H71" s="3"/>
      <c r="I71" s="248"/>
      <c r="K71" s="115"/>
      <c r="L71" s="3"/>
      <c r="M71" s="16"/>
      <c r="N71" s="248"/>
      <c r="O71" s="17"/>
      <c r="P71" s="167"/>
      <c r="Q71" s="167"/>
      <c r="R71" s="167"/>
      <c r="S71" s="167"/>
      <c r="T71" s="167"/>
      <c r="U71" s="167"/>
      <c r="V71" s="116"/>
      <c r="W71" s="116"/>
      <c r="X71" s="116"/>
      <c r="Y71" s="116"/>
      <c r="Z71" s="116"/>
      <c r="AA71" s="116"/>
      <c r="AB71" s="76"/>
    </row>
    <row r="72" spans="2:28" s="55" customFormat="1" ht="13">
      <c r="B72" s="104"/>
      <c r="C72" s="178"/>
      <c r="D72" s="111"/>
      <c r="E72" s="104"/>
      <c r="F72" s="104"/>
      <c r="G72" s="76"/>
      <c r="H72" s="104"/>
      <c r="I72" s="248"/>
      <c r="K72" s="115"/>
      <c r="L72" s="104"/>
      <c r="M72" s="164"/>
      <c r="N72" s="247"/>
      <c r="O72" s="104"/>
      <c r="P72" s="131"/>
      <c r="Q72" s="131"/>
      <c r="R72" s="131"/>
      <c r="S72" s="131"/>
      <c r="T72" s="131"/>
      <c r="U72" s="131"/>
      <c r="V72" s="116"/>
      <c r="W72" s="116"/>
      <c r="X72" s="116"/>
      <c r="Y72" s="116"/>
      <c r="Z72" s="116"/>
      <c r="AA72" s="116"/>
      <c r="AB72" s="76"/>
    </row>
    <row r="73" spans="2:28" s="3" customFormat="1" ht="13">
      <c r="C73" s="40"/>
      <c r="D73" s="7"/>
      <c r="I73" s="249"/>
      <c r="K73" s="21"/>
      <c r="M73" s="59"/>
      <c r="N73" s="239"/>
      <c r="P73" s="60"/>
      <c r="Q73" s="60"/>
      <c r="R73" s="60"/>
      <c r="S73" s="60"/>
      <c r="T73" s="60"/>
      <c r="U73" s="60"/>
      <c r="V73" s="22"/>
      <c r="W73" s="22"/>
      <c r="X73" s="22"/>
      <c r="Y73" s="22"/>
      <c r="Z73" s="22"/>
      <c r="AA73" s="22"/>
    </row>
    <row r="74" spans="2:28" s="3" customFormat="1" ht="13">
      <c r="C74" s="7" t="s">
        <v>56</v>
      </c>
      <c r="D74" s="36" t="s">
        <v>219</v>
      </c>
      <c r="I74" s="249"/>
      <c r="K74" s="21"/>
      <c r="M74" s="59"/>
      <c r="N74" s="239"/>
      <c r="P74" s="60"/>
      <c r="Q74" s="60"/>
      <c r="R74" s="60"/>
      <c r="S74" s="60"/>
      <c r="T74" s="60"/>
      <c r="U74" s="60"/>
      <c r="V74" s="22"/>
      <c r="W74" s="22"/>
      <c r="X74" s="22"/>
      <c r="Y74" s="22"/>
      <c r="Z74" s="22"/>
      <c r="AA74" s="22"/>
    </row>
    <row r="75" spans="2:28" s="3" customFormat="1" ht="13">
      <c r="C75" s="40"/>
      <c r="D75" s="36" t="s">
        <v>220</v>
      </c>
      <c r="I75" s="249"/>
      <c r="K75" s="21"/>
      <c r="M75" s="59"/>
      <c r="N75" s="239"/>
      <c r="P75" s="60"/>
      <c r="Q75" s="60"/>
      <c r="R75" s="60"/>
      <c r="S75" s="60"/>
      <c r="T75" s="60"/>
      <c r="U75" s="60"/>
      <c r="V75" s="22"/>
      <c r="W75" s="22"/>
      <c r="X75" s="22"/>
      <c r="Y75" s="22"/>
      <c r="Z75" s="22"/>
      <c r="AA75" s="22"/>
    </row>
    <row r="76" spans="2:28" s="3" customFormat="1" ht="13">
      <c r="C76" s="40"/>
      <c r="D76" s="36" t="s">
        <v>350</v>
      </c>
      <c r="I76" s="249"/>
      <c r="K76" s="21"/>
      <c r="M76" s="59"/>
      <c r="N76" s="239"/>
      <c r="P76" s="60"/>
      <c r="Q76" s="60"/>
      <c r="R76" s="60"/>
      <c r="S76" s="60"/>
      <c r="T76" s="60"/>
      <c r="U76" s="60"/>
      <c r="V76" s="22"/>
      <c r="W76" s="22"/>
      <c r="X76" s="22"/>
      <c r="Y76" s="22"/>
      <c r="Z76" s="22"/>
      <c r="AA76" s="22"/>
    </row>
    <row r="77" spans="2:28" s="3" customFormat="1" ht="13">
      <c r="C77" s="40"/>
      <c r="D77" s="7"/>
      <c r="I77" s="249"/>
      <c r="K77" s="21"/>
      <c r="M77" s="59"/>
      <c r="N77" s="239"/>
      <c r="P77" s="60"/>
      <c r="Q77" s="60"/>
      <c r="R77" s="60"/>
      <c r="S77" s="60"/>
      <c r="T77" s="60"/>
      <c r="U77" s="60"/>
      <c r="V77" s="22"/>
      <c r="W77" s="22"/>
      <c r="X77" s="22"/>
      <c r="Y77" s="22"/>
      <c r="Z77" s="22"/>
      <c r="AA77" s="22"/>
    </row>
    <row r="78" spans="2:28" s="3" customFormat="1" ht="13">
      <c r="C78" s="61"/>
      <c r="D78" s="7"/>
      <c r="I78" s="249"/>
      <c r="K78" s="21"/>
      <c r="M78" s="59"/>
      <c r="N78" s="239"/>
      <c r="P78" s="60"/>
      <c r="Q78" s="60"/>
      <c r="R78" s="60"/>
      <c r="S78" s="60"/>
      <c r="T78" s="60"/>
      <c r="U78" s="60"/>
      <c r="V78" s="22"/>
      <c r="W78" s="22"/>
      <c r="X78" s="22"/>
      <c r="Y78" s="22"/>
      <c r="Z78" s="22"/>
      <c r="AA78" s="22"/>
    </row>
    <row r="79" spans="2:28" s="3" customFormat="1" ht="13">
      <c r="C79" s="61"/>
      <c r="E79" s="11"/>
      <c r="I79" s="249"/>
      <c r="K79" s="21"/>
      <c r="M79" s="62"/>
      <c r="N79" s="239"/>
      <c r="P79" s="60"/>
      <c r="Q79" s="60"/>
      <c r="R79" s="60"/>
      <c r="S79" s="60"/>
      <c r="T79" s="60"/>
      <c r="U79" s="60"/>
      <c r="V79" s="22"/>
      <c r="W79" s="22"/>
      <c r="X79" s="22"/>
      <c r="Y79" s="22"/>
      <c r="Z79" s="22"/>
      <c r="AA79" s="22"/>
    </row>
    <row r="80" spans="2:28" s="3" customFormat="1" ht="13">
      <c r="C80" s="61"/>
      <c r="E80" s="11"/>
      <c r="I80" s="249"/>
      <c r="K80" s="21"/>
      <c r="M80" s="62"/>
      <c r="N80" s="239"/>
      <c r="P80" s="60"/>
      <c r="Q80" s="60"/>
      <c r="R80" s="60"/>
      <c r="S80" s="60"/>
      <c r="T80" s="60"/>
      <c r="U80" s="60"/>
      <c r="V80" s="22"/>
      <c r="W80" s="22"/>
      <c r="X80" s="22"/>
      <c r="Y80" s="22"/>
      <c r="Z80" s="22"/>
      <c r="AA80" s="22"/>
    </row>
    <row r="81" spans="3:27" s="3" customFormat="1" ht="13">
      <c r="C81" s="61"/>
      <c r="E81" s="11"/>
      <c r="I81" s="249"/>
      <c r="K81" s="21"/>
      <c r="M81" s="62"/>
      <c r="N81" s="239"/>
      <c r="P81" s="60"/>
      <c r="Q81" s="60"/>
      <c r="R81" s="60"/>
      <c r="S81" s="60"/>
      <c r="T81" s="60"/>
      <c r="U81" s="60"/>
      <c r="V81" s="22"/>
      <c r="W81" s="22"/>
      <c r="X81" s="22"/>
      <c r="Y81" s="22"/>
      <c r="Z81" s="22"/>
      <c r="AA81" s="22"/>
    </row>
    <row r="82" spans="3:27" s="3" customFormat="1" ht="13">
      <c r="C82" s="61"/>
      <c r="E82" s="11"/>
      <c r="I82" s="249"/>
      <c r="K82" s="21"/>
      <c r="M82" s="63"/>
      <c r="N82" s="239"/>
      <c r="P82" s="23"/>
      <c r="Q82" s="23"/>
      <c r="R82" s="24"/>
      <c r="S82" s="24"/>
      <c r="T82" s="23"/>
      <c r="V82" s="22"/>
      <c r="W82" s="22"/>
      <c r="X82" s="22"/>
      <c r="Y82" s="22"/>
      <c r="Z82" s="22"/>
      <c r="AA82" s="22"/>
    </row>
    <row r="83" spans="3:27" s="3" customFormat="1" ht="13">
      <c r="C83" s="61"/>
      <c r="I83" s="239"/>
      <c r="M83" s="63"/>
      <c r="N83" s="239"/>
    </row>
    <row r="84" spans="3:27" s="3" customFormat="1" ht="13">
      <c r="C84" s="61"/>
      <c r="D84" s="7"/>
      <c r="I84" s="239"/>
      <c r="M84" s="64"/>
      <c r="N84" s="239"/>
      <c r="V84" s="25"/>
      <c r="W84" s="25"/>
      <c r="X84" s="25"/>
      <c r="Y84" s="25"/>
      <c r="Z84" s="25"/>
      <c r="AA84" s="25"/>
    </row>
    <row r="85" spans="3:27" s="3" customFormat="1" ht="13">
      <c r="C85" s="61"/>
      <c r="D85" s="7"/>
      <c r="I85" s="249"/>
      <c r="K85" s="21"/>
      <c r="M85" s="64"/>
      <c r="N85" s="249"/>
      <c r="P85" s="60"/>
      <c r="Q85" s="60"/>
      <c r="R85" s="60"/>
      <c r="S85" s="60"/>
      <c r="T85" s="60"/>
      <c r="U85" s="60"/>
      <c r="V85" s="22"/>
      <c r="W85" s="22"/>
      <c r="X85" s="22"/>
      <c r="Y85" s="22"/>
      <c r="Z85" s="22"/>
      <c r="AA85" s="22"/>
    </row>
    <row r="86" spans="3:27" ht="13">
      <c r="C86" s="42"/>
    </row>
    <row r="87" spans="3:27" ht="13">
      <c r="C87" s="42"/>
    </row>
    <row r="88" spans="3:27" ht="13">
      <c r="C88" s="42"/>
    </row>
    <row r="91" spans="3:27">
      <c r="H91">
        <f>35000000/500000000</f>
        <v>7.0000000000000007E-2</v>
      </c>
    </row>
    <row r="101" spans="7:7">
      <c r="G101" s="310"/>
    </row>
  </sheetData>
  <sheetProtection algorithmName="SHA-512" hashValue="PICbulqRYFe0SfhUsqxwSwqv+t2Nv+TFTZB1oteuXlmZvnspcKpJzk5NOzaXQc3sTAhGRGVLEYb1+Fz3giacew==" saltValue="0MoPOuSHlbq8PkiommHzlQ==" spinCount="100000" sheet="1" objects="1" scenarios="1"/>
  <phoneticPr fontId="2" type="noConversion"/>
  <pageMargins left="0.39370078740157483" right="0.39370078740157483" top="0.74803149606299213" bottom="0.74803149606299213" header="0.31496062992125984" footer="0.31496062992125984"/>
  <pageSetup paperSize="9" orientation="landscape" r:id="rId1"/>
  <headerFooter>
    <oddFooter>&amp;L&amp;A
Printed &amp;D</oddFooter>
  </headerFooter>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N10"/>
  <sheetViews>
    <sheetView topLeftCell="A2" workbookViewId="0">
      <selection activeCell="G33" sqref="G33"/>
    </sheetView>
  </sheetViews>
  <sheetFormatPr defaultColWidth="9.1796875" defaultRowHeight="12.5"/>
  <cols>
    <col min="1" max="1" width="39" style="339" customWidth="1"/>
    <col min="2" max="2" width="8.81640625" style="360" customWidth="1"/>
    <col min="3" max="3" width="11.6328125" style="339" customWidth="1"/>
    <col min="4" max="4" width="21" style="339" customWidth="1"/>
    <col min="5" max="5" width="13.81640625" style="339" customWidth="1"/>
    <col min="6" max="8" width="9.1796875" style="339"/>
    <col min="9" max="9" width="12.453125" style="339" customWidth="1"/>
    <col min="10" max="10" width="9.1796875" style="339"/>
    <col min="11" max="11" width="16.1796875" style="339" customWidth="1"/>
    <col min="12" max="12" width="12.1796875" style="339" customWidth="1"/>
    <col min="13" max="13" width="9.1796875" style="339"/>
    <col min="14" max="14" width="0" style="339" hidden="1" customWidth="1"/>
    <col min="15" max="16384" width="9.1796875" style="339"/>
  </cols>
  <sheetData>
    <row r="1" spans="1:14" ht="13">
      <c r="A1" s="356" t="s">
        <v>714</v>
      </c>
      <c r="B1" s="357"/>
    </row>
    <row r="2" spans="1:14" ht="30" customHeight="1">
      <c r="A2" s="807" t="str">
        <f>IF(ISNA(MATCH("n",N5:N6,0)),"","
The Estimated Hg input (or equivalent inserted IL2 results) marked in red colour is very high compared to previous observations. Data may be correct, but please confirm your activity rate data (or inserted IL2 data).")</f>
        <v/>
      </c>
      <c r="B2" s="808"/>
      <c r="C2" s="808"/>
      <c r="D2" s="808"/>
      <c r="E2" s="808"/>
      <c r="F2" s="808"/>
      <c r="G2" s="808"/>
      <c r="H2" s="808"/>
      <c r="I2" s="808"/>
      <c r="J2" s="808"/>
      <c r="K2" s="808"/>
      <c r="L2" s="809"/>
    </row>
    <row r="3" spans="1:14" s="361" customFormat="1" ht="25.5" customHeight="1">
      <c r="A3" s="721" t="s">
        <v>992</v>
      </c>
      <c r="B3" s="736" t="s">
        <v>840</v>
      </c>
      <c r="C3" s="736" t="s">
        <v>839</v>
      </c>
      <c r="D3" s="721"/>
      <c r="E3" s="735" t="s">
        <v>854</v>
      </c>
      <c r="F3" s="804" t="s">
        <v>855</v>
      </c>
      <c r="G3" s="805"/>
      <c r="H3" s="805"/>
      <c r="I3" s="805"/>
      <c r="J3" s="805"/>
      <c r="K3" s="806"/>
      <c r="L3" s="721"/>
    </row>
    <row r="4" spans="1:14" ht="65.5" thickBot="1">
      <c r="A4" s="721" t="s">
        <v>993</v>
      </c>
      <c r="B4" s="728" t="str">
        <f>quest</f>
        <v>S/N/?</v>
      </c>
      <c r="C4" s="725" t="s">
        <v>994</v>
      </c>
      <c r="D4" s="736" t="s">
        <v>843</v>
      </c>
      <c r="E4" s="736" t="s">
        <v>856</v>
      </c>
      <c r="F4" s="727" t="s">
        <v>857</v>
      </c>
      <c r="G4" s="727" t="s">
        <v>858</v>
      </c>
      <c r="H4" s="727" t="s">
        <v>859</v>
      </c>
      <c r="I4" s="736" t="s">
        <v>860</v>
      </c>
      <c r="J4" s="736" t="s">
        <v>861</v>
      </c>
      <c r="K4" s="736" t="s">
        <v>862</v>
      </c>
      <c r="L4" s="721" t="s">
        <v>863</v>
      </c>
      <c r="M4" s="323" t="s">
        <v>864</v>
      </c>
    </row>
    <row r="5" spans="1:14">
      <c r="A5" s="270" t="s">
        <v>995</v>
      </c>
      <c r="B5" s="366"/>
      <c r="C5" s="378"/>
      <c r="D5" s="680" t="s">
        <v>997</v>
      </c>
      <c r="E5" s="461" t="str">
        <f>IF(OR($B5=yes,$B5=yes),'5-10 Cremat and cem'!K6, IF(OR($B5=no,$B5=no),"-", IF($B5=que,que, pres)))</f>
        <v>¿Presente?</v>
      </c>
      <c r="F5" s="280" t="str">
        <f>IF(OR($B5=yes,$B5=yes),'5-10 Cremat and cem'!V6, IF(OR($B5=no,$B5=no),"-", IF($B5=que,que, pres)))</f>
        <v>¿Presente?</v>
      </c>
      <c r="G5" s="280" t="str">
        <f>IF(OR($B5=yes,$B5=yes),'5-10 Cremat and cem'!W6, IF(OR($B5=no,$B5=no),"-", IF($B5=que,que, pres)))</f>
        <v>¿Presente?</v>
      </c>
      <c r="H5" s="280" t="str">
        <f>IF(OR($B5=yes,$B5=yes),'5-10 Cremat and cem'!X6, IF(OR($B5=no,$B5=no),"-", IF($B5=que,que, pres)))</f>
        <v>¿Presente?</v>
      </c>
      <c r="I5" s="280" t="str">
        <f>IF(OR($B5=yes,$B5=yes),'5-10 Cremat and cem'!Y6, IF(OR($B5=no,$B5=no),"-", IF($B5=que,que, pres)))</f>
        <v>¿Presente?</v>
      </c>
      <c r="J5" s="280" t="str">
        <f>IF(OR($B5=yes,$B5=yes),'5-10 Cremat and cem'!Z6, IF(OR($B5=no,$B5=no),"-", IF($B5=que,que, pres)))</f>
        <v>¿Presente?</v>
      </c>
      <c r="K5" s="280" t="str">
        <f>IF(OR($B5=yes,$B5=yes),'5-10 Cremat and cem'!AA6, IF(OR($B5=no,$B5=no),"-", IF($B5=que,que, pres)))</f>
        <v>¿Presente?</v>
      </c>
      <c r="L5" s="273" t="s">
        <v>311</v>
      </c>
      <c r="M5" s="463"/>
      <c r="N5" s="339" t="str">
        <f>INDEX('Range-thresholds'!$G$6:$G$73,MATCH(A5,'Range-thresholds'!$A$6:$A$73,0))</f>
        <v/>
      </c>
    </row>
    <row r="6" spans="1:14" ht="13" thickBot="1">
      <c r="A6" s="270" t="s">
        <v>996</v>
      </c>
      <c r="B6" s="367"/>
      <c r="C6" s="401"/>
      <c r="D6" s="680" t="s">
        <v>998</v>
      </c>
      <c r="E6" s="461" t="str">
        <f>IF(OR($B6=yes,$B6=yes),'5-10 Cremat and cem'!K8, IF(OR($B6=no,$B6=no),"-", IF($B6=que,que, pres)))</f>
        <v>¿Presente?</v>
      </c>
      <c r="F6" s="280" t="str">
        <f>IF(OR($B6=yes,$B6=yes),'5-10 Cremat and cem'!V8, IF(OR($B6=no,$B6=no),"-", IF($B6=que,que, pres)))</f>
        <v>¿Presente?</v>
      </c>
      <c r="G6" s="280" t="str">
        <f>IF(OR($B6=yes,$B6=yes),'5-10 Cremat and cem'!W8, IF(OR($B6=no,$B6=no),"-", IF($B6=que,que, pres)))</f>
        <v>¿Presente?</v>
      </c>
      <c r="H6" s="280" t="str">
        <f>IF(OR($B6=yes,$B6=yes),'5-10 Cremat and cem'!X8, IF(OR($B6=no,$B6=no),"-", IF($B6=que,que, pres)))</f>
        <v>¿Presente?</v>
      </c>
      <c r="I6" s="280" t="str">
        <f>IF(OR($B6=yes,$B6=yes),'5-10 Cremat and cem'!Y8, IF(OR($B6=no,$B6=no),"-", IF($B6=que,que, pres)))</f>
        <v>¿Presente?</v>
      </c>
      <c r="J6" s="280" t="str">
        <f>IF(OR($B6=yes,$B6=yes),'5-10 Cremat and cem'!Z8, IF(OR($B6=no,$B6=no),"-", IF($B6=que,que, pres)))</f>
        <v>¿Presente?</v>
      </c>
      <c r="K6" s="280" t="str">
        <f>IF(OR($B6=yes,$B6=yes),'5-10 Cremat and cem'!AA8, IF(OR($B6=no,$B6=no),"-", IF($B6=que,que, pres)))</f>
        <v>¿Presente?</v>
      </c>
      <c r="L6" s="273" t="s">
        <v>312</v>
      </c>
      <c r="M6" s="463"/>
      <c r="N6" s="339" t="str">
        <f>INDEX('Range-thresholds'!$G$6:$G$73,MATCH(A6,'Range-thresholds'!$A$6:$A$73,0))</f>
        <v/>
      </c>
    </row>
    <row r="8" spans="1:14">
      <c r="C8" s="795">
        <f>'Paso 6-Prod. y sust. con Hg'!C11</f>
        <v>0.82919079065322876</v>
      </c>
      <c r="D8" s="818" t="str">
        <f>'Paso 6-Prod. y sust. con Hg'!D11</f>
        <v>Cantidad de personal odontológico cada 1000 habitantes</v>
      </c>
      <c r="E8" s="818"/>
      <c r="F8" s="818"/>
      <c r="G8" s="818"/>
    </row>
    <row r="9" spans="1:14">
      <c r="A9" s="600" t="s">
        <v>716</v>
      </c>
    </row>
    <row r="10" spans="1:14">
      <c r="A10" s="600" t="s">
        <v>715</v>
      </c>
    </row>
  </sheetData>
  <sheetProtection algorithmName="SHA-512" hashValue="XJ3Lof+EQhU5XR43lJdlX+YV3itM2kvPyDZmnSirPn78481LKCaGQftDMIqMlzVOFVKhp5jnQ1elHzuMo9p/WA==" saltValue="kFnsRA9JD0g6cuRd2/AnIg==" spinCount="100000" sheet="1"/>
  <mergeCells count="3">
    <mergeCell ref="F3:K3"/>
    <mergeCell ref="A2:L2"/>
    <mergeCell ref="D8:G8"/>
  </mergeCells>
  <conditionalFormatting sqref="E5:E6">
    <cfRule type="expression" dxfId="7" priority="5" stopIfTrue="1">
      <formula>AND(B5="y",N5="n")</formula>
    </cfRule>
  </conditionalFormatting>
  <conditionalFormatting sqref="A2">
    <cfRule type="expression" dxfId="6" priority="4" stopIfTrue="1">
      <formula>$A$2&lt;&gt;""</formula>
    </cfRule>
  </conditionalFormatting>
  <dataValidations count="2">
    <dataValidation type="decimal" allowBlank="1" showInputMessage="1" showErrorMessage="1" errorTitle="Input error" error="Use digits and decimal mark only." prompt="Use sólo dígitos y decimales" sqref="C5:C6" xr:uid="{00000000-0002-0000-1000-000000000000}">
      <formula1>-9.99999999999999E+22</formula1>
      <formula2>9.99999999999999E+22</formula2>
    </dataValidation>
    <dataValidation type="list" allowBlank="1" showInputMessage="1" showErrorMessage="1" errorTitle="Input error" error="Enter only y, n or ? (or translation of these)" prompt="Ingrese sólo s, n ó ?" sqref="B5:B6" xr:uid="{00000000-0002-0000-1000-000001000000}">
      <formula1>yn?</formula1>
    </dataValidation>
  </dataValidations>
  <pageMargins left="0.39370078740157483" right="0.39370078740157483" top="0.74803149606299213" bottom="0.74803149606299213" header="0.31496062992125984" footer="0.31496062992125984"/>
  <pageSetup paperSize="9" scale="84" orientation="landscape" r:id="rId1"/>
  <headerFooter>
    <oddFooter>&amp;L&amp;A
Printed &amp;D</oddFooter>
  </headerFooter>
  <extLst>
    <ext xmlns:x14="http://schemas.microsoft.com/office/spreadsheetml/2009/9/main" uri="{78C0D931-6437-407d-A8EE-F0AAD7539E65}">
      <x14:conditionalFormattings>
        <x14:conditionalFormatting xmlns:xm="http://schemas.microsoft.com/office/excel/2006/main">
          <x14:cfRule type="expression" priority="1" id="{171663B9-D7F6-46C8-B10B-8985F1E572F4}">
            <xm:f>'Inserte resultados de NI2'!$K77&lt;&gt;""</xm:f>
            <x14:dxf>
              <font>
                <color rgb="FFFF0000"/>
              </font>
            </x14:dxf>
          </x14:cfRule>
          <xm:sqref>A9</xm:sqref>
        </x14:conditionalFormatting>
      </x14:conditionalFormatting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D31"/>
  <sheetViews>
    <sheetView workbookViewId="0">
      <selection activeCell="H18" sqref="H18"/>
    </sheetView>
  </sheetViews>
  <sheetFormatPr defaultColWidth="9.1796875" defaultRowHeight="12.5"/>
  <cols>
    <col min="1" max="1" width="66.81640625" style="339" customWidth="1"/>
    <col min="2" max="2" width="8.81640625" style="360" customWidth="1"/>
    <col min="3" max="16384" width="9.1796875" style="339"/>
  </cols>
  <sheetData>
    <row r="1" spans="1:4" ht="13">
      <c r="A1" s="391" t="s">
        <v>1022</v>
      </c>
      <c r="B1" s="393"/>
      <c r="C1" s="370"/>
    </row>
    <row r="2" spans="1:4" s="361" customFormat="1" ht="38.25" customHeight="1">
      <c r="A2" s="721" t="s">
        <v>837</v>
      </c>
      <c r="B2" s="723" t="s">
        <v>840</v>
      </c>
      <c r="C2" s="433"/>
      <c r="D2" s="467" t="s">
        <v>864</v>
      </c>
    </row>
    <row r="3" spans="1:4" ht="13.5" thickBot="1">
      <c r="A3" s="265"/>
      <c r="B3" s="266" t="str">
        <f>quest</f>
        <v>S/N/?</v>
      </c>
      <c r="C3" s="432"/>
      <c r="D3" s="463"/>
    </row>
    <row r="4" spans="1:4">
      <c r="A4" s="275" t="s">
        <v>1023</v>
      </c>
      <c r="B4" s="489"/>
      <c r="C4" s="432"/>
      <c r="D4" s="463"/>
    </row>
    <row r="5" spans="1:4">
      <c r="A5" s="270" t="s">
        <v>999</v>
      </c>
      <c r="B5" s="490"/>
      <c r="C5" s="432"/>
      <c r="D5" s="463"/>
    </row>
    <row r="6" spans="1:4">
      <c r="A6" s="270" t="s">
        <v>1000</v>
      </c>
      <c r="B6" s="490"/>
      <c r="C6" s="432"/>
      <c r="D6" s="463"/>
    </row>
    <row r="7" spans="1:4">
      <c r="A7" s="270" t="s">
        <v>1001</v>
      </c>
      <c r="B7" s="490"/>
      <c r="C7" s="432"/>
      <c r="D7" s="463"/>
    </row>
    <row r="8" spans="1:4">
      <c r="A8" s="270" t="s">
        <v>1002</v>
      </c>
      <c r="B8" s="490"/>
      <c r="C8" s="432"/>
      <c r="D8" s="463"/>
    </row>
    <row r="9" spans="1:4" ht="25">
      <c r="A9" s="270" t="s">
        <v>1003</v>
      </c>
      <c r="B9" s="490"/>
      <c r="C9" s="432"/>
      <c r="D9" s="468"/>
    </row>
    <row r="10" spans="1:4" ht="25">
      <c r="A10" s="275" t="s">
        <v>1024</v>
      </c>
      <c r="B10" s="490"/>
      <c r="C10" s="432"/>
      <c r="D10" s="463"/>
    </row>
    <row r="11" spans="1:4">
      <c r="A11" s="270" t="s">
        <v>1004</v>
      </c>
      <c r="B11" s="490"/>
      <c r="C11" s="432"/>
      <c r="D11" s="463"/>
    </row>
    <row r="12" spans="1:4">
      <c r="A12" s="270" t="s">
        <v>1005</v>
      </c>
      <c r="B12" s="490"/>
      <c r="C12" s="432"/>
      <c r="D12" s="463"/>
    </row>
    <row r="13" spans="1:4">
      <c r="A13" s="270" t="s">
        <v>1006</v>
      </c>
      <c r="B13" s="490"/>
      <c r="C13" s="432"/>
      <c r="D13" s="463"/>
    </row>
    <row r="14" spans="1:4">
      <c r="A14" s="275" t="s">
        <v>1025</v>
      </c>
      <c r="B14" s="490"/>
      <c r="C14" s="432"/>
      <c r="D14" s="463"/>
    </row>
    <row r="15" spans="1:4">
      <c r="A15" s="270" t="s">
        <v>1007</v>
      </c>
      <c r="B15" s="490"/>
      <c r="C15" s="432"/>
      <c r="D15" s="463"/>
    </row>
    <row r="16" spans="1:4">
      <c r="A16" s="270" t="s">
        <v>1008</v>
      </c>
      <c r="B16" s="490"/>
      <c r="C16" s="432"/>
      <c r="D16" s="463"/>
    </row>
    <row r="17" spans="1:4">
      <c r="A17" s="270" t="s">
        <v>1009</v>
      </c>
      <c r="B17" s="490"/>
      <c r="C17" s="432"/>
      <c r="D17" s="463"/>
    </row>
    <row r="18" spans="1:4">
      <c r="A18" s="270" t="s">
        <v>1010</v>
      </c>
      <c r="B18" s="490"/>
      <c r="C18" s="432"/>
      <c r="D18" s="463"/>
    </row>
    <row r="19" spans="1:4" ht="25">
      <c r="A19" s="270" t="s">
        <v>1011</v>
      </c>
      <c r="B19" s="490"/>
      <c r="C19" s="432"/>
      <c r="D19" s="463"/>
    </row>
    <row r="20" spans="1:4">
      <c r="A20" s="270" t="s">
        <v>1012</v>
      </c>
      <c r="B20" s="490"/>
      <c r="C20" s="432"/>
      <c r="D20" s="463"/>
    </row>
    <row r="21" spans="1:4">
      <c r="A21" s="275" t="s">
        <v>1026</v>
      </c>
      <c r="B21" s="490"/>
      <c r="C21" s="432"/>
      <c r="D21" s="463"/>
    </row>
    <row r="22" spans="1:4" ht="25">
      <c r="A22" s="270" t="s">
        <v>1013</v>
      </c>
      <c r="B22" s="490"/>
      <c r="C22" s="432"/>
      <c r="D22" s="463"/>
    </row>
    <row r="23" spans="1:4">
      <c r="A23" s="270" t="s">
        <v>1014</v>
      </c>
      <c r="B23" s="490"/>
      <c r="C23" s="432"/>
      <c r="D23" s="463"/>
    </row>
    <row r="24" spans="1:4">
      <c r="A24" s="270" t="s">
        <v>1015</v>
      </c>
      <c r="B24" s="490"/>
      <c r="C24" s="432"/>
      <c r="D24" s="463"/>
    </row>
    <row r="25" spans="1:4">
      <c r="A25" s="270" t="s">
        <v>1016</v>
      </c>
      <c r="B25" s="490"/>
      <c r="C25" s="432"/>
      <c r="D25" s="463"/>
    </row>
    <row r="26" spans="1:4">
      <c r="A26" s="270" t="s">
        <v>1017</v>
      </c>
      <c r="B26" s="490"/>
      <c r="C26" s="432"/>
      <c r="D26" s="463"/>
    </row>
    <row r="27" spans="1:4">
      <c r="A27" s="270" t="s">
        <v>1018</v>
      </c>
      <c r="B27" s="490"/>
      <c r="C27" s="432"/>
      <c r="D27" s="463"/>
    </row>
    <row r="28" spans="1:4">
      <c r="A28" s="270" t="s">
        <v>1019</v>
      </c>
      <c r="B28" s="490"/>
      <c r="C28" s="432"/>
      <c r="D28" s="463"/>
    </row>
    <row r="29" spans="1:4">
      <c r="A29" s="270" t="s">
        <v>1020</v>
      </c>
      <c r="B29" s="490"/>
      <c r="C29" s="432"/>
      <c r="D29" s="463"/>
    </row>
    <row r="30" spans="1:4" ht="13" thickBot="1">
      <c r="A30" s="270" t="s">
        <v>1021</v>
      </c>
      <c r="B30" s="491"/>
      <c r="C30" s="432"/>
      <c r="D30" s="463"/>
    </row>
    <row r="31" spans="1:4">
      <c r="A31" s="487"/>
      <c r="B31" s="488"/>
      <c r="C31" s="355"/>
    </row>
  </sheetData>
  <sheetProtection algorithmName="SHA-512" hashValue="8MQP/TzKbhGAGFij8na/j7OSMJInqtemCq94Ce/E7MzVEdIiX9YSjs82epcE+n0ICZf9IjNgQApEDqEXbTAjuQ==" saltValue="ggpj1CjOR3WNl1znhNz2bA==" spinCount="100000" sheet="1" objects="1" scenarios="1"/>
  <pageMargins left="0.39370078740157483" right="0.39370078740157483" top="0.74803149606299213" bottom="0.74803149606299213" header="0.31496062992125984" footer="0.31496062992125984"/>
  <pageSetup paperSize="9" orientation="portrait" r:id="rId1"/>
  <headerFooter>
    <oddFooter>&amp;L&amp;A
Printed &amp;D</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pageSetUpPr fitToPage="1"/>
  </sheetPr>
  <dimension ref="A1:N91"/>
  <sheetViews>
    <sheetView topLeftCell="A42" zoomScale="90" zoomScaleNormal="90" workbookViewId="0">
      <selection activeCell="G91" sqref="G91"/>
    </sheetView>
  </sheetViews>
  <sheetFormatPr defaultColWidth="9.1796875" defaultRowHeight="12.5"/>
  <cols>
    <col min="1" max="1" width="46.81640625" style="339" customWidth="1"/>
    <col min="2" max="2" width="10.81640625" style="339" customWidth="1"/>
    <col min="3" max="3" width="12.453125" style="339" customWidth="1"/>
    <col min="4" max="4" width="12.81640625" style="339" customWidth="1"/>
    <col min="5" max="5" width="11.6328125" style="339" customWidth="1"/>
    <col min="6" max="8" width="12.453125" style="339" customWidth="1"/>
    <col min="9" max="9" width="16.1796875" style="339" customWidth="1"/>
    <col min="10" max="10" width="102.1796875" style="339" customWidth="1"/>
    <col min="11" max="11" width="5.36328125" style="339" customWidth="1"/>
    <col min="12" max="16384" width="9.1796875" style="339"/>
  </cols>
  <sheetData>
    <row r="1" spans="1:14" ht="13">
      <c r="A1" s="356" t="s">
        <v>1220</v>
      </c>
    </row>
    <row r="2" spans="1:14" ht="13">
      <c r="A2" s="356"/>
    </row>
    <row r="3" spans="1:14" ht="13">
      <c r="A3" s="356" t="s">
        <v>1221</v>
      </c>
    </row>
    <row r="4" spans="1:14" ht="13">
      <c r="A4" s="356" t="s">
        <v>1222</v>
      </c>
    </row>
    <row r="5" spans="1:14" ht="13">
      <c r="A5" s="356" t="s">
        <v>1223</v>
      </c>
    </row>
    <row r="6" spans="1:14" ht="13">
      <c r="A6" s="526" t="s">
        <v>1224</v>
      </c>
    </row>
    <row r="7" spans="1:14" ht="13">
      <c r="A7" s="526" t="s">
        <v>1225</v>
      </c>
    </row>
    <row r="8" spans="1:14" ht="13.5" thickBot="1">
      <c r="A8" s="526"/>
    </row>
    <row r="9" spans="1:14" s="361" customFormat="1" ht="44.25" customHeight="1" thickBot="1">
      <c r="A9" s="530" t="s">
        <v>837</v>
      </c>
      <c r="B9" s="531"/>
      <c r="C9" s="737" t="s">
        <v>1032</v>
      </c>
      <c r="D9" s="819" t="s">
        <v>1068</v>
      </c>
      <c r="E9" s="820"/>
      <c r="F9" s="820"/>
      <c r="G9" s="820"/>
      <c r="H9" s="820"/>
      <c r="I9" s="821"/>
      <c r="J9" s="532"/>
      <c r="K9" s="822"/>
      <c r="L9" s="822"/>
      <c r="M9" s="822"/>
      <c r="N9" s="822"/>
    </row>
    <row r="10" spans="1:14" ht="75" customHeight="1" thickBot="1">
      <c r="A10" s="801"/>
      <c r="B10" s="537" t="s">
        <v>1027</v>
      </c>
      <c r="C10" s="533" t="s">
        <v>1028</v>
      </c>
      <c r="D10" s="534" t="s">
        <v>857</v>
      </c>
      <c r="E10" s="534" t="s">
        <v>858</v>
      </c>
      <c r="F10" s="534" t="s">
        <v>859</v>
      </c>
      <c r="G10" s="533" t="s">
        <v>860</v>
      </c>
      <c r="H10" s="533" t="s">
        <v>861</v>
      </c>
      <c r="I10" s="533" t="s">
        <v>1029</v>
      </c>
      <c r="J10" s="607" t="s">
        <v>1030</v>
      </c>
      <c r="K10" s="616" t="s">
        <v>1031</v>
      </c>
      <c r="L10" s="602"/>
    </row>
    <row r="11" spans="1:14" ht="13">
      <c r="A11" s="802" t="str">
        <f>'Paso 2-Energía'!A4</f>
        <v>Consumo de energía</v>
      </c>
      <c r="B11" s="620"/>
      <c r="C11" s="620"/>
      <c r="D11" s="620"/>
      <c r="E11" s="620"/>
      <c r="F11" s="620"/>
      <c r="G11" s="620"/>
      <c r="H11" s="620"/>
      <c r="I11" s="620"/>
      <c r="J11" s="604"/>
      <c r="K11" s="611" t="str">
        <f>IF(SUM(C12:I20)+SUM(C22:I24)&lt;&gt;0,"IL2","")</f>
        <v/>
      </c>
    </row>
    <row r="12" spans="1:14">
      <c r="A12" s="527" t="str">
        <f>'Paso 2-Energía'!A5</f>
        <v>Combustión de carbón en centrales eléctricas</v>
      </c>
      <c r="B12" s="263" t="str">
        <f>'Paso 2-Energía'!M5</f>
        <v>5.1.1</v>
      </c>
      <c r="C12" s="540"/>
      <c r="D12" s="540"/>
      <c r="E12" s="540"/>
      <c r="F12" s="540"/>
      <c r="G12" s="540"/>
      <c r="H12" s="540"/>
      <c r="I12" s="540"/>
      <c r="J12" s="605"/>
      <c r="K12" s="609"/>
    </row>
    <row r="13" spans="1:14" ht="25">
      <c r="A13" s="527" t="str">
        <f>'Paso 2-Energía'!A8</f>
        <v>Combustión de carbón en calderas industriales de carbón</v>
      </c>
      <c r="B13" s="263"/>
      <c r="C13" s="540"/>
      <c r="D13" s="540"/>
      <c r="E13" s="540"/>
      <c r="F13" s="540"/>
      <c r="G13" s="540"/>
      <c r="H13" s="540"/>
      <c r="I13" s="540"/>
      <c r="J13" s="605"/>
      <c r="K13" s="609"/>
    </row>
    <row r="14" spans="1:14">
      <c r="A14" s="527" t="str">
        <f>'Paso 2-Energía'!A11</f>
        <v>Otros usos del carbón</v>
      </c>
      <c r="B14" s="263" t="str">
        <f>'Paso 2-Energía'!M11</f>
        <v>5.1.2.2</v>
      </c>
      <c r="C14" s="540"/>
      <c r="D14" s="540"/>
      <c r="E14" s="540"/>
      <c r="F14" s="540"/>
      <c r="G14" s="540"/>
      <c r="H14" s="540"/>
      <c r="I14" s="540"/>
      <c r="J14" s="605"/>
      <c r="K14" s="609"/>
    </row>
    <row r="15" spans="1:14" ht="25">
      <c r="A15" s="527" t="str">
        <f>'Paso 2-Energía'!A12</f>
        <v>Combustión/uso de coque de petróleo y petróleo pesado</v>
      </c>
      <c r="B15" s="263" t="str">
        <f>'Paso 2-Energía'!M12</f>
        <v>5.1.3</v>
      </c>
      <c r="C15" s="540"/>
      <c r="D15" s="540"/>
      <c r="E15" s="540"/>
      <c r="F15" s="540"/>
      <c r="G15" s="540"/>
      <c r="H15" s="540"/>
      <c r="I15" s="540"/>
      <c r="J15" s="605"/>
      <c r="K15" s="609"/>
    </row>
    <row r="16" spans="1:14" ht="15.75" customHeight="1">
      <c r="A16" s="527" t="str">
        <f>'Paso 2-Energía'!A15</f>
        <v>Combustión/uso de diesel, gasoil, petróleo, querosén, GLP y otros destilados livianos a medios</v>
      </c>
      <c r="B16" s="263" t="str">
        <f>'Paso 2-Energía'!M15</f>
        <v>5.1.3</v>
      </c>
      <c r="C16" s="540"/>
      <c r="D16" s="540"/>
      <c r="E16" s="540"/>
      <c r="F16" s="540"/>
      <c r="G16" s="540"/>
      <c r="H16" s="540"/>
      <c r="I16" s="540"/>
      <c r="J16" s="605"/>
      <c r="K16" s="609"/>
    </row>
    <row r="17" spans="1:11" ht="15.75" customHeight="1">
      <c r="A17" s="527" t="str">
        <f>'Paso 2-Energía'!A18</f>
        <v>Uso de gas natural o limpio</v>
      </c>
      <c r="B17" s="263" t="str">
        <f>'Paso 2-Energía'!M18</f>
        <v>5.1.4</v>
      </c>
      <c r="C17" s="540"/>
      <c r="D17" s="540"/>
      <c r="E17" s="540"/>
      <c r="F17" s="540"/>
      <c r="G17" s="540"/>
      <c r="H17" s="540"/>
      <c r="I17" s="540"/>
      <c r="J17" s="605"/>
      <c r="K17" s="609"/>
    </row>
    <row r="18" spans="1:11" ht="15.75" customHeight="1">
      <c r="A18" s="527" t="str">
        <f>'Paso 2-Energía'!A19</f>
        <v>Uso de gas por cañería (calidad de consumo)</v>
      </c>
      <c r="B18" s="263" t="str">
        <f>'Paso 2-Energía'!M19</f>
        <v>5.1.4</v>
      </c>
      <c r="C18" s="540"/>
      <c r="D18" s="540"/>
      <c r="E18" s="540"/>
      <c r="F18" s="540"/>
      <c r="G18" s="540"/>
      <c r="H18" s="540"/>
      <c r="I18" s="540"/>
      <c r="J18" s="605"/>
      <c r="K18" s="609"/>
    </row>
    <row r="19" spans="1:11">
      <c r="A19" s="527" t="str">
        <f>'Paso 2-Energía'!A20</f>
        <v>Energía y producción de calor de biomasa</v>
      </c>
      <c r="B19" s="263" t="str">
        <f>'Paso 2-Energía'!M20</f>
        <v>5.1.6</v>
      </c>
      <c r="C19" s="540"/>
      <c r="D19" s="540"/>
      <c r="E19" s="540"/>
      <c r="F19" s="540"/>
      <c r="G19" s="540"/>
      <c r="H19" s="540"/>
      <c r="I19" s="540"/>
      <c r="J19" s="605"/>
      <c r="K19" s="609"/>
    </row>
    <row r="20" spans="1:11" ht="13" thickBot="1">
      <c r="A20" s="528" t="str">
        <f>'Paso 2-Energía'!A21</f>
        <v>Combustión de carbón vegetal</v>
      </c>
      <c r="B20" s="529" t="str">
        <f>'Paso 2-Energía'!M21</f>
        <v>5.1.6</v>
      </c>
      <c r="C20" s="540"/>
      <c r="D20" s="540"/>
      <c r="E20" s="540"/>
      <c r="F20" s="540"/>
      <c r="G20" s="540"/>
      <c r="H20" s="540"/>
      <c r="I20" s="540"/>
      <c r="J20" s="606"/>
      <c r="K20" s="609"/>
    </row>
    <row r="21" spans="1:11" ht="13">
      <c r="A21" s="802" t="str">
        <f>'Paso 2-Energía'!A23</f>
        <v>Producción de combustible</v>
      </c>
      <c r="B21" s="620"/>
      <c r="C21" s="620"/>
      <c r="D21" s="620"/>
      <c r="E21" s="620"/>
      <c r="F21" s="620"/>
      <c r="G21" s="620"/>
      <c r="H21" s="620"/>
      <c r="I21" s="620"/>
      <c r="J21" s="604"/>
      <c r="K21" s="609"/>
    </row>
    <row r="22" spans="1:11">
      <c r="A22" s="527" t="str">
        <f>'Paso 2-Energía'!A24</f>
        <v>Extracción de petróleo</v>
      </c>
      <c r="B22" s="263" t="str">
        <f>'Paso 2-Energía'!M24</f>
        <v>5.1.3</v>
      </c>
      <c r="C22" s="540"/>
      <c r="D22" s="540"/>
      <c r="E22" s="540"/>
      <c r="F22" s="540"/>
      <c r="G22" s="540"/>
      <c r="H22" s="540"/>
      <c r="I22" s="540"/>
      <c r="J22" s="605"/>
      <c r="K22" s="609"/>
    </row>
    <row r="23" spans="1:11">
      <c r="A23" s="527" t="str">
        <f>'Paso 2-Energía'!A25</f>
        <v>Refinación de petróleo</v>
      </c>
      <c r="B23" s="263" t="str">
        <f>'Paso 2-Energía'!M25</f>
        <v>5.1.3</v>
      </c>
      <c r="C23" s="540"/>
      <c r="D23" s="540"/>
      <c r="E23" s="540"/>
      <c r="F23" s="540"/>
      <c r="G23" s="540"/>
      <c r="H23" s="540"/>
      <c r="I23" s="540"/>
      <c r="J23" s="605"/>
      <c r="K23" s="609"/>
    </row>
    <row r="24" spans="1:11" ht="13" thickBot="1">
      <c r="A24" s="528" t="str">
        <f>'Paso 2-Energía'!A26</f>
        <v>Extracción y procesamiento de gas natural</v>
      </c>
      <c r="B24" s="529" t="str">
        <f>'Paso 2-Energía'!M26</f>
        <v>5.1.4</v>
      </c>
      <c r="C24" s="540"/>
      <c r="D24" s="540"/>
      <c r="E24" s="540"/>
      <c r="F24" s="540"/>
      <c r="G24" s="540"/>
      <c r="H24" s="540"/>
      <c r="I24" s="540"/>
      <c r="J24" s="606"/>
      <c r="K24" s="609"/>
    </row>
    <row r="25" spans="1:11" ht="13">
      <c r="A25" s="802" t="str">
        <f>'Paso 3-Metales-Materias primas'!A5</f>
        <v>Producción de metales primarios</v>
      </c>
      <c r="B25" s="620"/>
      <c r="C25" s="620"/>
      <c r="D25" s="620"/>
      <c r="E25" s="620"/>
      <c r="F25" s="620"/>
      <c r="G25" s="620"/>
      <c r="H25" s="620"/>
      <c r="I25" s="620"/>
      <c r="J25" s="604"/>
      <c r="K25" s="608" t="str">
        <f>IF(SUM(C26:I34)+SUM(C36:I37)&lt;&gt;0,"IL2","")</f>
        <v/>
      </c>
    </row>
    <row r="26" spans="1:11">
      <c r="A26" s="527" t="str">
        <f>'Paso 3-Metales-Materias primas'!A6</f>
        <v>Extracción (primaria) de mercurio y procesamiento inicial</v>
      </c>
      <c r="B26" s="263" t="str">
        <f>'Paso 3-Metales-Materias primas'!M6</f>
        <v>5.2.1</v>
      </c>
      <c r="C26" s="540"/>
      <c r="D26" s="540"/>
      <c r="E26" s="540"/>
      <c r="F26" s="540"/>
      <c r="G26" s="540"/>
      <c r="H26" s="540"/>
      <c r="I26" s="540"/>
      <c r="J26" s="605"/>
      <c r="K26" s="609"/>
    </row>
    <row r="27" spans="1:11">
      <c r="A27" s="527" t="str">
        <f>'Paso 3-Metales-Materias primas'!A7</f>
        <v>Producción de zinc a partir de concentrados</v>
      </c>
      <c r="B27" s="263" t="str">
        <f>'Paso 3-Metales-Materias primas'!M7</f>
        <v>5.2.3</v>
      </c>
      <c r="C27" s="540"/>
      <c r="D27" s="540"/>
      <c r="E27" s="540"/>
      <c r="F27" s="540"/>
      <c r="G27" s="540"/>
      <c r="H27" s="540"/>
      <c r="I27" s="540"/>
      <c r="J27" s="605"/>
      <c r="K27" s="609"/>
    </row>
    <row r="28" spans="1:11">
      <c r="A28" s="527" t="str">
        <f>'Paso 3-Metales-Materias primas'!A10</f>
        <v>Producción de cobre a partir de concentrados</v>
      </c>
      <c r="B28" s="263" t="str">
        <f>'Paso 3-Metales-Materias primas'!M10</f>
        <v>5.2.4</v>
      </c>
      <c r="C28" s="540"/>
      <c r="D28" s="540"/>
      <c r="E28" s="540"/>
      <c r="F28" s="540"/>
      <c r="G28" s="540"/>
      <c r="H28" s="540"/>
      <c r="I28" s="540"/>
      <c r="J28" s="605"/>
      <c r="K28" s="609"/>
    </row>
    <row r="29" spans="1:11">
      <c r="A29" s="527" t="str">
        <f>'Paso 3-Metales-Materias primas'!A13</f>
        <v>Producción de plomo a partir de concentrados</v>
      </c>
      <c r="B29" s="263" t="str">
        <f>'Paso 3-Metales-Materias primas'!M13</f>
        <v>5.2.5</v>
      </c>
      <c r="C29" s="540"/>
      <c r="D29" s="540"/>
      <c r="E29" s="540"/>
      <c r="F29" s="540"/>
      <c r="G29" s="540"/>
      <c r="H29" s="540"/>
      <c r="I29" s="540"/>
      <c r="J29" s="605"/>
      <c r="K29" s="609"/>
    </row>
    <row r="30" spans="1:11" ht="25">
      <c r="A30" s="527" t="str">
        <f>'Paso 3-Metales-Materias primas'!A16</f>
        <v>Extracción de oro por métodos distintos a la amalgamación de mercurio</v>
      </c>
      <c r="B30" s="263" t="str">
        <f>'Paso 3-Metales-Materias primas'!M16</f>
        <v>5.2.6</v>
      </c>
      <c r="C30" s="540"/>
      <c r="D30" s="540"/>
      <c r="E30" s="540"/>
      <c r="F30" s="540"/>
      <c r="G30" s="540"/>
      <c r="H30" s="540"/>
      <c r="I30" s="540"/>
      <c r="J30" s="605"/>
      <c r="K30" s="609"/>
    </row>
    <row r="31" spans="1:11" ht="26.25" customHeight="1">
      <c r="A31" s="527" t="str">
        <f>'Paso 3-Metales-Materias primas'!A17</f>
        <v>Producción de alúmina a partir de bauxita (producción de aluminio)</v>
      </c>
      <c r="B31" s="263" t="str">
        <f>'Paso 3-Metales-Materias primas'!M17</f>
        <v>5.2.7</v>
      </c>
      <c r="C31" s="540"/>
      <c r="D31" s="540"/>
      <c r="E31" s="540"/>
      <c r="F31" s="540"/>
      <c r="G31" s="540"/>
      <c r="H31" s="540"/>
      <c r="I31" s="540"/>
      <c r="J31" s="605"/>
      <c r="K31" s="609"/>
    </row>
    <row r="32" spans="1:11" ht="28.5" customHeight="1">
      <c r="A32" s="527" t="str">
        <f>'Paso 3-Metales-Materias primas'!A18</f>
        <v>Producción primaria de metal ferroso (producción de arrabio)</v>
      </c>
      <c r="B32" s="263" t="str">
        <f>'Paso 3-Metales-Materias primas'!M18</f>
        <v>5.2.9</v>
      </c>
      <c r="C32" s="540"/>
      <c r="D32" s="540"/>
      <c r="E32" s="540"/>
      <c r="F32" s="540"/>
      <c r="G32" s="540"/>
      <c r="H32" s="540"/>
      <c r="I32" s="540"/>
      <c r="J32" s="605"/>
      <c r="K32" s="609"/>
    </row>
    <row r="33" spans="1:11" ht="25">
      <c r="A33" s="527" t="str">
        <f>'Paso 3-Metales-Materias primas'!A19</f>
        <v>Extracción de oro con amalgamación de mercurio -  a partir del mineral entero (mineral en bruto)</v>
      </c>
      <c r="B33" s="263" t="str">
        <f>'Paso 3-Metales-Materias primas'!M19</f>
        <v>5.2.2</v>
      </c>
      <c r="C33" s="540"/>
      <c r="D33" s="540"/>
      <c r="E33" s="540"/>
      <c r="F33" s="540"/>
      <c r="G33" s="540"/>
      <c r="H33" s="540"/>
      <c r="I33" s="540"/>
      <c r="J33" s="605"/>
      <c r="K33" s="609"/>
    </row>
    <row r="34" spans="1:11" ht="25.5" thickBot="1">
      <c r="A34" s="528" t="str">
        <f>'Paso 3-Metales-Materias primas'!A22</f>
        <v>Extracción de oro con amalgamación de mercurio - a partir de concentrados</v>
      </c>
      <c r="B34" s="529" t="str">
        <f>'Paso 3-Metales-Materias primas'!M22</f>
        <v>5.2.2</v>
      </c>
      <c r="C34" s="540"/>
      <c r="D34" s="540"/>
      <c r="E34" s="540"/>
      <c r="F34" s="540"/>
      <c r="G34" s="540"/>
      <c r="H34" s="540"/>
      <c r="I34" s="540"/>
      <c r="J34" s="606"/>
      <c r="K34" s="609"/>
    </row>
    <row r="35" spans="1:11" ht="17.25" customHeight="1">
      <c r="A35" s="802" t="str">
        <f>'Paso 3-Metales-Materias primas'!A25</f>
        <v>Producción de otros materiales</v>
      </c>
      <c r="B35" s="620"/>
      <c r="C35" s="620"/>
      <c r="D35" s="620"/>
      <c r="E35" s="620"/>
      <c r="F35" s="620"/>
      <c r="G35" s="620"/>
      <c r="H35" s="620"/>
      <c r="I35" s="620"/>
      <c r="J35" s="604"/>
      <c r="K35" s="609"/>
    </row>
    <row r="36" spans="1:11">
      <c r="A36" s="527" t="str">
        <f>'Paso 3-Metales-Materias primas'!A26</f>
        <v>Producción de cemento</v>
      </c>
      <c r="B36" s="263" t="str">
        <f>'Paso 3-Metales-Materias primas'!M26</f>
        <v>5.3.1</v>
      </c>
      <c r="C36" s="540"/>
      <c r="D36" s="540"/>
      <c r="E36" s="540"/>
      <c r="F36" s="540"/>
      <c r="G36" s="540"/>
      <c r="H36" s="540"/>
      <c r="I36" s="540"/>
      <c r="J36" s="605"/>
      <c r="K36" s="609"/>
    </row>
    <row r="37" spans="1:11" ht="13" thickBot="1">
      <c r="A37" s="528" t="str">
        <f>'Paso 3-Metales-Materias primas'!A31</f>
        <v>Producción de pasta y papel</v>
      </c>
      <c r="B37" s="529" t="str">
        <f>'Paso 3-Metales-Materias primas'!M31</f>
        <v>5.3.2</v>
      </c>
      <c r="C37" s="540"/>
      <c r="D37" s="540"/>
      <c r="E37" s="540"/>
      <c r="F37" s="540"/>
      <c r="G37" s="540"/>
      <c r="H37" s="540"/>
      <c r="I37" s="540"/>
      <c r="J37" s="606"/>
      <c r="K37" s="609"/>
    </row>
    <row r="38" spans="1:11" ht="13">
      <c r="A38" s="802" t="str">
        <f>'Paso 4-Uso industrial de Hg'!A4</f>
        <v>Producción de productos químicos</v>
      </c>
      <c r="B38" s="620"/>
      <c r="C38" s="620"/>
      <c r="D38" s="620"/>
      <c r="E38" s="620"/>
      <c r="F38" s="620"/>
      <c r="G38" s="620"/>
      <c r="H38" s="620"/>
      <c r="I38" s="620"/>
      <c r="J38" s="604"/>
      <c r="K38" s="608" t="str">
        <f>IF(SUM(C39:I41)+SUM(C43:I50)&lt;&gt;0,"IL2","")</f>
        <v/>
      </c>
    </row>
    <row r="39" spans="1:11">
      <c r="A39" s="527" t="str">
        <f>'Paso 4-Uso industrial de Hg'!A5</f>
        <v>Producción de cloro-álcali con celdas de mercurio</v>
      </c>
      <c r="B39" s="272" t="str">
        <f>'Paso 4-Uso industrial de Hg'!L5</f>
        <v>5.4.1</v>
      </c>
      <c r="C39" s="540"/>
      <c r="D39" s="540"/>
      <c r="E39" s="540"/>
      <c r="F39" s="540"/>
      <c r="G39" s="540"/>
      <c r="H39" s="540"/>
      <c r="I39" s="540"/>
      <c r="J39" s="605"/>
      <c r="K39" s="609"/>
    </row>
    <row r="40" spans="1:11">
      <c r="A40" s="527" t="str">
        <f>'Paso 4-Uso industrial de Hg'!A6</f>
        <v>Producción de CVM con catalizador de mercurio</v>
      </c>
      <c r="B40" s="272" t="str">
        <f>'Paso 4-Uso industrial de Hg'!L6</f>
        <v>5.4.2</v>
      </c>
      <c r="C40" s="540"/>
      <c r="D40" s="540"/>
      <c r="E40" s="540"/>
      <c r="F40" s="540"/>
      <c r="G40" s="540"/>
      <c r="H40" s="540"/>
      <c r="I40" s="540"/>
      <c r="J40" s="605"/>
      <c r="K40" s="609"/>
    </row>
    <row r="41" spans="1:11" ht="13" thickBot="1">
      <c r="A41" s="528" t="str">
        <f>'Paso 4-Uso industrial de Hg'!A7</f>
        <v>Producción de acetaldehído con catalizador de mercurio</v>
      </c>
      <c r="B41" s="535" t="str">
        <f>'Paso 4-Uso industrial de Hg'!L7</f>
        <v>5.4.3</v>
      </c>
      <c r="C41" s="540"/>
      <c r="D41" s="540"/>
      <c r="E41" s="540"/>
      <c r="F41" s="540"/>
      <c r="G41" s="540"/>
      <c r="H41" s="540"/>
      <c r="I41" s="540"/>
      <c r="J41" s="606"/>
      <c r="K41" s="609"/>
    </row>
    <row r="42" spans="1:11" ht="26">
      <c r="A42" s="802" t="str">
        <f>'Paso 4-Uso industrial de Hg'!A9</f>
        <v>Producción de productos con contenido de mercurio</v>
      </c>
      <c r="B42" s="620"/>
      <c r="C42" s="620"/>
      <c r="D42" s="620"/>
      <c r="E42" s="620"/>
      <c r="F42" s="620"/>
      <c r="G42" s="620"/>
      <c r="H42" s="620"/>
      <c r="I42" s="620"/>
      <c r="J42" s="604"/>
      <c r="K42" s="609"/>
    </row>
    <row r="43" spans="1:11" ht="25">
      <c r="A43" s="527" t="str">
        <f>'Paso 4-Uso industrial de Hg'!A10</f>
        <v xml:space="preserve">Termómetros de Hg (médicos, atmosféricos, de laboratorio, industriales, etc.) </v>
      </c>
      <c r="B43" s="280" t="str">
        <f>'Paso 4-Uso industrial de Hg'!L10</f>
        <v>5.5.1</v>
      </c>
      <c r="C43" s="540"/>
      <c r="D43" s="540"/>
      <c r="E43" s="540"/>
      <c r="F43" s="540"/>
      <c r="G43" s="540"/>
      <c r="H43" s="540"/>
      <c r="I43" s="540"/>
      <c r="J43" s="605"/>
      <c r="K43" s="609"/>
    </row>
    <row r="44" spans="1:11">
      <c r="A44" s="527" t="str">
        <f>'Paso 4-Uso industrial de Hg'!A11</f>
        <v xml:space="preserve">Conmutadores eléctricos y relés con mercurio </v>
      </c>
      <c r="B44" s="280" t="str">
        <f>'Paso 4-Uso industrial de Hg'!L11</f>
        <v>5.5.2</v>
      </c>
      <c r="C44" s="540"/>
      <c r="D44" s="540"/>
      <c r="E44" s="540"/>
      <c r="F44" s="540"/>
      <c r="G44" s="540"/>
      <c r="H44" s="540"/>
      <c r="I44" s="540"/>
      <c r="J44" s="605"/>
      <c r="K44" s="609"/>
    </row>
    <row r="45" spans="1:11" ht="25">
      <c r="A45" s="527" t="str">
        <f>'Paso 4-Uso industrial de Hg'!A12</f>
        <v xml:space="preserve">Fuentes lumínicas con mercurio (fluorescentes, compactas, otras: ver pauta) </v>
      </c>
      <c r="B45" s="280" t="str">
        <f>'Paso 4-Uso industrial de Hg'!L12</f>
        <v>5.5.3</v>
      </c>
      <c r="C45" s="540"/>
      <c r="D45" s="540"/>
      <c r="E45" s="540"/>
      <c r="F45" s="540"/>
      <c r="G45" s="540"/>
      <c r="H45" s="540"/>
      <c r="I45" s="540"/>
      <c r="J45" s="605"/>
      <c r="K45" s="609"/>
    </row>
    <row r="46" spans="1:11">
      <c r="A46" s="527" t="str">
        <f>'Paso 4-Uso industrial de Hg'!A13</f>
        <v xml:space="preserve">Pilas con mercurio </v>
      </c>
      <c r="B46" s="280" t="str">
        <f>'Paso 4-Uso industrial de Hg'!L13</f>
        <v>5.5.4</v>
      </c>
      <c r="C46" s="540"/>
      <c r="D46" s="540"/>
      <c r="E46" s="540"/>
      <c r="F46" s="540"/>
      <c r="G46" s="540"/>
      <c r="H46" s="540"/>
      <c r="I46" s="540"/>
      <c r="J46" s="605"/>
      <c r="K46" s="609"/>
    </row>
    <row r="47" spans="1:11">
      <c r="A47" s="527" t="str">
        <f>'Paso 4-Uso industrial de Hg'!A14</f>
        <v xml:space="preserve">Manómetros e indicadores con mercurio </v>
      </c>
      <c r="B47" s="272" t="str">
        <f>'Paso 4-Uso industrial de Hg'!L14</f>
        <v>5.6.2</v>
      </c>
      <c r="C47" s="540"/>
      <c r="D47" s="540"/>
      <c r="E47" s="540"/>
      <c r="F47" s="540"/>
      <c r="G47" s="540"/>
      <c r="H47" s="540"/>
      <c r="I47" s="540"/>
      <c r="J47" s="605"/>
      <c r="K47" s="609"/>
    </row>
    <row r="48" spans="1:11">
      <c r="A48" s="527" t="str">
        <f>'Paso 4-Uso industrial de Hg'!A15</f>
        <v xml:space="preserve">Biocidas y pesticidas con mercurio </v>
      </c>
      <c r="B48" s="272" t="str">
        <f>'Paso 4-Uso industrial de Hg'!L15</f>
        <v>5.5.5</v>
      </c>
      <c r="C48" s="540"/>
      <c r="D48" s="540"/>
      <c r="E48" s="540"/>
      <c r="F48" s="540"/>
      <c r="G48" s="540"/>
      <c r="H48" s="540"/>
      <c r="I48" s="540"/>
      <c r="J48" s="605"/>
      <c r="K48" s="609"/>
    </row>
    <row r="49" spans="1:11">
      <c r="A49" s="527" t="str">
        <f>'Paso 4-Uso industrial de Hg'!A16</f>
        <v xml:space="preserve">Pinturas con mercurio </v>
      </c>
      <c r="B49" s="272" t="str">
        <f>'Paso 4-Uso industrial de Hg'!L16</f>
        <v>5.5.6</v>
      </c>
      <c r="C49" s="540"/>
      <c r="D49" s="540"/>
      <c r="E49" s="540"/>
      <c r="F49" s="540"/>
      <c r="G49" s="540"/>
      <c r="H49" s="540"/>
      <c r="I49" s="540"/>
      <c r="J49" s="605"/>
      <c r="K49" s="609"/>
    </row>
    <row r="50" spans="1:11" ht="25.5" thickBot="1">
      <c r="A50" s="528" t="str">
        <f>'Paso 4-Uso industrial de Hg'!A17</f>
        <v xml:space="preserve">Cremas y jabones aclarantes de la piel con productos químicos con mercurio </v>
      </c>
      <c r="B50" s="535" t="str">
        <f>'Paso 4-Uso industrial de Hg'!L17</f>
        <v>5.5.7</v>
      </c>
      <c r="C50" s="540"/>
      <c r="D50" s="540"/>
      <c r="E50" s="540"/>
      <c r="F50" s="540"/>
      <c r="G50" s="540"/>
      <c r="H50" s="540"/>
      <c r="I50" s="540"/>
      <c r="J50" s="606"/>
      <c r="K50" s="610"/>
    </row>
    <row r="51" spans="1:11" ht="16.5" customHeight="1">
      <c r="A51" s="802" t="str">
        <f>'Paso 6-Prod. y sust. con Hg'!A6</f>
        <v>Uso y desecho de productos con contenido de mercurio</v>
      </c>
      <c r="B51" s="620"/>
      <c r="C51" s="620"/>
      <c r="D51" s="620"/>
      <c r="E51" s="620"/>
      <c r="F51" s="620"/>
      <c r="G51" s="620"/>
      <c r="H51" s="620"/>
      <c r="I51" s="620"/>
      <c r="J51" s="604"/>
      <c r="K51" s="609" t="str">
        <f>IF(SUM(C52:I63)&lt;&gt;0,"IL2","")</f>
        <v/>
      </c>
    </row>
    <row r="52" spans="1:11" ht="25">
      <c r="A52" s="527" t="str">
        <f>'Paso 6-Prod. y sust. con Hg'!A7</f>
        <v>Empastes de amalgamas dentales (empastes de "plata")</v>
      </c>
      <c r="B52" s="272" t="str">
        <f>'Paso 6-Prod. y sust. con Hg'!M7</f>
        <v>5.6.1</v>
      </c>
      <c r="C52" s="540"/>
      <c r="D52" s="540"/>
      <c r="E52" s="540"/>
      <c r="F52" s="540"/>
      <c r="G52" s="540"/>
      <c r="H52" s="540"/>
      <c r="I52" s="540"/>
      <c r="J52" s="605"/>
      <c r="K52" s="609"/>
    </row>
    <row r="53" spans="1:11">
      <c r="A53" s="527" t="str">
        <f>'Paso 6-Prod. y sust. con Hg'!A15</f>
        <v>Termómetros</v>
      </c>
      <c r="B53" s="272" t="str">
        <f>'Paso 6-Prod. y sust. con Hg'!M15</f>
        <v>5.5.1</v>
      </c>
      <c r="C53" s="540"/>
      <c r="D53" s="540"/>
      <c r="E53" s="540"/>
      <c r="F53" s="540"/>
      <c r="G53" s="540"/>
      <c r="H53" s="540"/>
      <c r="I53" s="540"/>
      <c r="J53" s="605"/>
      <c r="K53" s="609"/>
    </row>
    <row r="54" spans="1:11">
      <c r="A54" s="527" t="str">
        <f>'Paso 6-Prod. y sust. con Hg'!A20</f>
        <v>Conmutadores eléctricos y relés con mercurio</v>
      </c>
      <c r="B54" s="272" t="str">
        <f>'Paso 6-Prod. y sust. con Hg'!M20</f>
        <v>5.5.2</v>
      </c>
      <c r="C54" s="540"/>
      <c r="D54" s="540"/>
      <c r="E54" s="540"/>
      <c r="F54" s="540"/>
      <c r="G54" s="540"/>
      <c r="H54" s="540"/>
      <c r="I54" s="540"/>
      <c r="J54" s="605"/>
      <c r="K54" s="609"/>
    </row>
    <row r="55" spans="1:11">
      <c r="A55" s="527" t="str">
        <f>'Paso 6-Prod. y sust. con Hg'!A23</f>
        <v>Fuentes de luz con mercurio</v>
      </c>
      <c r="B55" s="272" t="str">
        <f>'Paso 6-Prod. y sust. con Hg'!M23</f>
        <v>5.5.3</v>
      </c>
      <c r="C55" s="540"/>
      <c r="D55" s="540"/>
      <c r="E55" s="540"/>
      <c r="F55" s="540"/>
      <c r="G55" s="540"/>
      <c r="H55" s="540"/>
      <c r="I55" s="540"/>
      <c r="J55" s="605"/>
      <c r="K55" s="609"/>
    </row>
    <row r="56" spans="1:11">
      <c r="A56" s="536" t="str">
        <f>'Paso 6-Prod. y sust. con Hg'!A28</f>
        <v>Pilas con mercurio</v>
      </c>
      <c r="B56" s="272" t="str">
        <f>'Paso 6-Prod. y sust. con Hg'!M28</f>
        <v>5.5.4</v>
      </c>
      <c r="C56" s="540"/>
      <c r="D56" s="540"/>
      <c r="E56" s="540"/>
      <c r="F56" s="540"/>
      <c r="G56" s="540"/>
      <c r="H56" s="540"/>
      <c r="I56" s="540"/>
      <c r="J56" s="605"/>
      <c r="K56" s="609"/>
    </row>
    <row r="57" spans="1:11" ht="25">
      <c r="A57" s="527" t="str">
        <f>'Paso 6-Prod. y sust. con Hg'!A33</f>
        <v>Poliuretano (PU, PUR) producido con catalizador de mercurio</v>
      </c>
      <c r="B57" s="272" t="str">
        <f>'Paso 6-Prod. y sust. con Hg'!M33</f>
        <v>5.5.5.</v>
      </c>
      <c r="C57" s="540"/>
      <c r="D57" s="540"/>
      <c r="E57" s="540"/>
      <c r="F57" s="540"/>
      <c r="G57" s="540"/>
      <c r="H57" s="540"/>
      <c r="I57" s="540"/>
      <c r="J57" s="605"/>
      <c r="K57" s="609"/>
    </row>
    <row r="58" spans="1:11">
      <c r="A58" s="527" t="str">
        <f>'Paso 6-Prod. y sust. con Hg'!A36</f>
        <v>Pinturas con conservantes de mercurio</v>
      </c>
      <c r="B58" s="272" t="str">
        <f>'Paso 6-Prod. y sust. con Hg'!M36</f>
        <v>5.5.7</v>
      </c>
      <c r="C58" s="540"/>
      <c r="D58" s="540"/>
      <c r="E58" s="540"/>
      <c r="F58" s="540"/>
      <c r="G58" s="540"/>
      <c r="H58" s="540"/>
      <c r="I58" s="540"/>
      <c r="J58" s="605"/>
      <c r="K58" s="609"/>
    </row>
    <row r="59" spans="1:11" ht="25">
      <c r="A59" s="527" t="str">
        <f>'Paso 6-Prod. y sust. con Hg'!A38</f>
        <v>Cremas y jabones aclarantes de la piel con productos químicos con mercurio</v>
      </c>
      <c r="B59" s="272" t="str">
        <f>'Paso 6-Prod. y sust. con Hg'!M38</f>
        <v>5.5.8</v>
      </c>
      <c r="C59" s="540"/>
      <c r="D59" s="540"/>
      <c r="E59" s="540"/>
      <c r="F59" s="540"/>
      <c r="G59" s="540"/>
      <c r="H59" s="540"/>
      <c r="I59" s="540"/>
      <c r="J59" s="605"/>
      <c r="K59" s="609"/>
    </row>
    <row r="60" spans="1:11" ht="29.25" customHeight="1">
      <c r="A60" s="527" t="str">
        <f>'Paso 6-Prod. y sust. con Hg'!A40</f>
        <v>Dispositivos médicos para tomar la presión sanguínea (esfingomanómetros de mercurio)</v>
      </c>
      <c r="B60" s="272" t="str">
        <f>'Paso 6-Prod. y sust. con Hg'!M40</f>
        <v>5.6.2</v>
      </c>
      <c r="C60" s="540"/>
      <c r="D60" s="540"/>
      <c r="E60" s="540"/>
      <c r="F60" s="540"/>
      <c r="G60" s="540"/>
      <c r="H60" s="540"/>
      <c r="I60" s="540"/>
      <c r="J60" s="605"/>
      <c r="K60" s="609"/>
    </row>
    <row r="61" spans="1:11">
      <c r="A61" s="527" t="str">
        <f>'Paso 6-Prod. y sust. con Hg'!A42</f>
        <v>Otros manómetros e indicadores con mercurio</v>
      </c>
      <c r="B61" s="272" t="str">
        <f>'Paso 6-Prod. y sust. con Hg'!M42</f>
        <v>5.6.2</v>
      </c>
      <c r="C61" s="540"/>
      <c r="D61" s="540"/>
      <c r="E61" s="540"/>
      <c r="F61" s="540"/>
      <c r="G61" s="540"/>
      <c r="H61" s="540"/>
      <c r="I61" s="540"/>
      <c r="J61" s="605"/>
      <c r="K61" s="609"/>
    </row>
    <row r="62" spans="1:11">
      <c r="A62" s="527" t="str">
        <f>'Paso 6-Prod. y sust. con Hg'!A45</f>
        <v>Productos químicos de laboratorio</v>
      </c>
      <c r="B62" s="272" t="str">
        <f>'Paso 6-Prod. y sust. con Hg'!M45</f>
        <v>5.6.3</v>
      </c>
      <c r="C62" s="540"/>
      <c r="D62" s="540"/>
      <c r="E62" s="540"/>
      <c r="F62" s="540"/>
      <c r="G62" s="540"/>
      <c r="H62" s="540"/>
      <c r="I62" s="540"/>
      <c r="J62" s="605"/>
      <c r="K62" s="609"/>
    </row>
    <row r="63" spans="1:11" ht="13" thickBot="1">
      <c r="A63" s="528" t="str">
        <f>'Paso 6-Prod. y sust. con Hg'!A48</f>
        <v xml:space="preserve">Demás equipos médicos y de laboratorio con mercurio </v>
      </c>
      <c r="B63" s="535" t="str">
        <f>'Paso 6-Prod. y sust. con Hg'!M48</f>
        <v>5.6.3, 5.6.5</v>
      </c>
      <c r="C63" s="540"/>
      <c r="D63" s="540"/>
      <c r="E63" s="540"/>
      <c r="F63" s="540"/>
      <c r="G63" s="540"/>
      <c r="H63" s="540"/>
      <c r="I63" s="540"/>
      <c r="J63" s="606"/>
      <c r="K63" s="609"/>
    </row>
    <row r="64" spans="1:11" ht="13">
      <c r="A64" s="802" t="str">
        <f>'Paso 5-Trat.+recicl. desechos'!A8</f>
        <v>Producción de metales reciclados</v>
      </c>
      <c r="B64" s="620"/>
      <c r="C64" s="620"/>
      <c r="D64" s="620"/>
      <c r="E64" s="620"/>
      <c r="F64" s="620"/>
      <c r="G64" s="620"/>
      <c r="H64" s="620"/>
      <c r="I64" s="620"/>
      <c r="J64" s="604"/>
      <c r="K64" s="608" t="str">
        <f>IF(SUM(C65:I66)+SUM(C68:I72)+SUM(C74:I76)&lt;&gt;0,"IL2","")</f>
        <v/>
      </c>
    </row>
    <row r="65" spans="1:11" ht="25">
      <c r="A65" s="527" t="str">
        <f>'Paso 5-Trat.+recicl. desechos'!A9</f>
        <v>Producción de mercurio reciclado ("producción secundaria")</v>
      </c>
      <c r="B65" s="272" t="str">
        <f>'Paso 5-Trat.+recicl. desechos'!M9</f>
        <v>5.7.1</v>
      </c>
      <c r="C65" s="540"/>
      <c r="D65" s="540"/>
      <c r="E65" s="540"/>
      <c r="F65" s="540"/>
      <c r="G65" s="540"/>
      <c r="H65" s="540"/>
      <c r="I65" s="540"/>
      <c r="J65" s="605"/>
      <c r="K65" s="609"/>
    </row>
    <row r="66" spans="1:11" ht="25.5" thickBot="1">
      <c r="A66" s="528" t="str">
        <f>'Paso 5-Trat.+recicl. desechos'!A10</f>
        <v>Producción de metales ferrosos reciclados (hierro y acero)</v>
      </c>
      <c r="B66" s="535" t="str">
        <f>'Paso 5-Trat.+recicl. desechos'!M10</f>
        <v>5.7.2</v>
      </c>
      <c r="C66" s="540"/>
      <c r="D66" s="540"/>
      <c r="E66" s="540"/>
      <c r="F66" s="540"/>
      <c r="G66" s="540"/>
      <c r="H66" s="540"/>
      <c r="I66" s="540"/>
      <c r="J66" s="606"/>
      <c r="K66" s="609"/>
    </row>
    <row r="67" spans="1:11" ht="13">
      <c r="A67" s="802" t="str">
        <f>'Paso 5-Trat.+recicl. desechos'!A12</f>
        <v>Incineración de desechos</v>
      </c>
      <c r="B67" s="620"/>
      <c r="C67" s="620"/>
      <c r="D67" s="620"/>
      <c r="E67" s="620"/>
      <c r="F67" s="620"/>
      <c r="G67" s="620"/>
      <c r="H67" s="620"/>
      <c r="I67" s="620"/>
      <c r="J67" s="604"/>
      <c r="K67" s="609"/>
    </row>
    <row r="68" spans="1:11">
      <c r="A68" s="263" t="str">
        <f>'Paso 5-Trat.+recicl. desechos'!A13</f>
        <v>Incineración de desechos municipales o generales</v>
      </c>
      <c r="B68" s="272" t="str">
        <f>'Paso 5-Trat.+recicl. desechos'!M13</f>
        <v>5.8.1</v>
      </c>
      <c r="C68" s="540"/>
      <c r="D68" s="540"/>
      <c r="E68" s="540"/>
      <c r="F68" s="540"/>
      <c r="G68" s="540"/>
      <c r="H68" s="540"/>
      <c r="I68" s="540"/>
      <c r="J68" s="605"/>
      <c r="K68" s="609"/>
    </row>
    <row r="69" spans="1:11">
      <c r="A69" s="263" t="str">
        <f>'Paso 5-Trat.+recicl. desechos'!A16</f>
        <v>Incineración residuos peligrosos</v>
      </c>
      <c r="B69" s="272" t="str">
        <f>'Paso 5-Trat.+recicl. desechos'!M16</f>
        <v>5.8.2</v>
      </c>
      <c r="C69" s="540"/>
      <c r="D69" s="540"/>
      <c r="E69" s="540"/>
      <c r="F69" s="540"/>
      <c r="G69" s="540"/>
      <c r="H69" s="540"/>
      <c r="I69" s="540"/>
      <c r="J69" s="605"/>
      <c r="K69" s="609"/>
    </row>
    <row r="70" spans="1:11">
      <c r="A70" s="263" t="str">
        <f>'Paso 5-Trat.+recicl. desechos'!A19</f>
        <v>Incineración y quema al aire libre de desechos médicos</v>
      </c>
      <c r="B70" s="272" t="str">
        <f>'Paso 5-Trat.+recicl. desechos'!M19</f>
        <v>5.8.3</v>
      </c>
      <c r="C70" s="540"/>
      <c r="D70" s="540"/>
      <c r="E70" s="540"/>
      <c r="F70" s="540"/>
      <c r="G70" s="540"/>
      <c r="H70" s="540"/>
      <c r="I70" s="540"/>
      <c r="J70" s="605"/>
      <c r="K70" s="609"/>
    </row>
    <row r="71" spans="1:11">
      <c r="A71" s="263" t="str">
        <f>'Paso 5-Trat.+recicl. desechos'!A22</f>
        <v>Incineración de lodos residuales</v>
      </c>
      <c r="B71" s="272" t="str">
        <f>'Paso 5-Trat.+recicl. desechos'!M22</f>
        <v>5.8.4</v>
      </c>
      <c r="C71" s="540"/>
      <c r="D71" s="540"/>
      <c r="E71" s="540"/>
      <c r="F71" s="540"/>
      <c r="G71" s="540"/>
      <c r="H71" s="540"/>
      <c r="I71" s="540"/>
      <c r="J71" s="605"/>
      <c r="K71" s="609"/>
    </row>
    <row r="72" spans="1:11" ht="25.5" thickBot="1">
      <c r="A72" s="433" t="str">
        <f>'Paso 5-Trat.+recicl. desechos'!A23</f>
        <v>Quema al aire libre de desechos (en vertederos y de manera informal)</v>
      </c>
      <c r="B72" s="617" t="str">
        <f>'Paso 5-Trat.+recicl. desechos'!M23</f>
        <v>5.8.5</v>
      </c>
      <c r="C72" s="618"/>
      <c r="D72" s="618"/>
      <c r="E72" s="618"/>
      <c r="F72" s="618"/>
      <c r="G72" s="618"/>
      <c r="H72" s="618"/>
      <c r="I72" s="618"/>
      <c r="J72" s="619"/>
      <c r="K72" s="609"/>
    </row>
    <row r="73" spans="1:11" ht="26">
      <c r="A73" s="802" t="str">
        <f>'Paso 5-Trat.+recicl. desechos'!A25</f>
        <v>Depósito/vertido de desechos y tratamiento de aguas residuales</v>
      </c>
      <c r="B73" s="620"/>
      <c r="C73" s="620"/>
      <c r="D73" s="620"/>
      <c r="E73" s="620"/>
      <c r="F73" s="620"/>
      <c r="G73" s="620"/>
      <c r="H73" s="620"/>
      <c r="I73" s="620"/>
      <c r="J73" s="612"/>
      <c r="K73" s="609"/>
    </row>
    <row r="74" spans="1:11">
      <c r="A74" s="263" t="str">
        <f>'Paso 5-Trat.+recicl. desechos'!A26</f>
        <v>Vertederos o depósitos controlados</v>
      </c>
      <c r="B74" s="272" t="str">
        <f>'Paso 5-Trat.+recicl. desechos'!M26</f>
        <v>5.9.1</v>
      </c>
      <c r="C74" s="540"/>
      <c r="D74" s="540"/>
      <c r="E74" s="540"/>
      <c r="F74" s="540"/>
      <c r="G74" s="540"/>
      <c r="H74" s="540"/>
      <c r="I74" s="540"/>
      <c r="J74" s="613"/>
      <c r="K74" s="609"/>
    </row>
    <row r="75" spans="1:11">
      <c r="A75" s="263" t="str">
        <f>'Paso 5-Trat.+recicl. desechos'!A27</f>
        <v>Vertido informal de desechos generales *1</v>
      </c>
      <c r="B75" s="272" t="str">
        <f>'Paso 5-Trat.+recicl. desechos'!M27</f>
        <v>5.9.4</v>
      </c>
      <c r="C75" s="540"/>
      <c r="D75" s="540"/>
      <c r="E75" s="540"/>
      <c r="F75" s="540"/>
      <c r="G75" s="540"/>
      <c r="H75" s="540"/>
      <c r="I75" s="540"/>
      <c r="J75" s="613"/>
      <c r="K75" s="609"/>
    </row>
    <row r="76" spans="1:11" ht="13" thickBot="1">
      <c r="A76" s="529" t="str">
        <f>'Paso 5-Trat.+recicl. desechos'!A29</f>
        <v>Sistema/tratamiento de aguas residuales</v>
      </c>
      <c r="B76" s="535" t="str">
        <f>'Paso 5-Trat.+recicl. desechos'!M29</f>
        <v>5.9.5</v>
      </c>
      <c r="C76" s="614"/>
      <c r="D76" s="614"/>
      <c r="E76" s="614"/>
      <c r="F76" s="614"/>
      <c r="G76" s="614"/>
      <c r="H76" s="614"/>
      <c r="I76" s="614"/>
      <c r="J76" s="615"/>
      <c r="K76" s="610"/>
    </row>
    <row r="77" spans="1:11" ht="13">
      <c r="A77" s="802" t="str">
        <f>'Paso 7-Crematorios-cementerios'!A4</f>
        <v>Crematorios y cementerios</v>
      </c>
      <c r="B77" s="621"/>
      <c r="C77" s="621"/>
      <c r="D77" s="621"/>
      <c r="E77" s="621"/>
      <c r="F77" s="621"/>
      <c r="G77" s="621"/>
      <c r="H77" s="621"/>
      <c r="I77" s="621"/>
      <c r="J77" s="612"/>
      <c r="K77" s="609" t="str">
        <f>IF(SUM(C78:I79)&lt;&gt;0,"IL2","")</f>
        <v/>
      </c>
    </row>
    <row r="78" spans="1:11">
      <c r="A78" s="527" t="str">
        <f>'Paso 7-Crematorios-cementerios'!A5</f>
        <v>Crematorios</v>
      </c>
      <c r="B78" s="272" t="str">
        <f>'Paso 7-Crematorios-cementerios'!L5</f>
        <v>5.10.1</v>
      </c>
      <c r="C78" s="540"/>
      <c r="D78" s="540"/>
      <c r="E78" s="540"/>
      <c r="F78" s="540"/>
      <c r="G78" s="540"/>
      <c r="H78" s="540"/>
      <c r="I78" s="540"/>
      <c r="J78" s="613"/>
      <c r="K78" s="609"/>
    </row>
    <row r="79" spans="1:11" ht="13" thickBot="1">
      <c r="A79" s="528" t="str">
        <f>'Paso 7-Crematorios-cementerios'!A6</f>
        <v>Cementerios</v>
      </c>
      <c r="B79" s="535" t="str">
        <f>'Paso 7-Crematorios-cementerios'!L6</f>
        <v>5.10.2</v>
      </c>
      <c r="C79" s="614"/>
      <c r="D79" s="614"/>
      <c r="E79" s="614"/>
      <c r="F79" s="614"/>
      <c r="G79" s="614"/>
      <c r="H79" s="614"/>
      <c r="I79" s="614"/>
      <c r="J79" s="615"/>
      <c r="K79" s="610"/>
    </row>
    <row r="80" spans="1:11">
      <c r="A80" s="323"/>
      <c r="C80" s="3"/>
    </row>
    <row r="81" spans="1:11">
      <c r="A81" s="323"/>
    </row>
    <row r="82" spans="1:11">
      <c r="K82" s="474"/>
    </row>
    <row r="85" spans="1:11">
      <c r="A85" s="323"/>
    </row>
    <row r="86" spans="1:11">
      <c r="A86" s="323"/>
    </row>
    <row r="87" spans="1:11">
      <c r="A87" s="323"/>
      <c r="K87" s="474"/>
    </row>
    <row r="88" spans="1:11">
      <c r="A88" s="323"/>
    </row>
    <row r="89" spans="1:11">
      <c r="K89" s="474"/>
    </row>
    <row r="91" spans="1:11">
      <c r="K91" s="474"/>
    </row>
  </sheetData>
  <sheetProtection algorithmName="SHA-512" hashValue="DFal4khanXUpDRLOoQs59MEfoiH1Lh5WaFmkMX+q91kDZOAJpLZVz7C/7oVZNKAxNNGDI6qp3jHhGjMQtKD7Ww==" saltValue="5GsizGUutcT2TnMqR7LDTg==" spinCount="100000" sheet="1" objects="1" scenarios="1"/>
  <mergeCells count="2">
    <mergeCell ref="D9:I9"/>
    <mergeCell ref="K9:N9"/>
  </mergeCells>
  <dataValidations count="1">
    <dataValidation type="decimal" allowBlank="1" showInputMessage="1" showErrorMessage="1" errorTitle="Input error" error="Use digits and decimal mark only." prompt="Use sólo dígitos y decimales" sqref="C12:I20 C22:I24 C26:I34 C36:I37 C39:I41 C43:I50 C52:I63 C65:I66 C68:I72 C74:I76 C78:I79" xr:uid="{00000000-0002-0000-1200-000000000000}">
      <formula1>-9.99999999999999E+22</formula1>
      <formula2>9.99999999999999E+22</formula2>
    </dataValidation>
  </dataValidations>
  <pageMargins left="0.39370078740157483" right="0.39370078740157483" top="0.74803149606299213" bottom="0.74803149606299213" header="0.31496062992125984" footer="0.31496062992125984"/>
  <pageSetup paperSize="9" scale="90" fitToHeight="2" orientation="landscape" r:id="rId1"/>
  <headerFooter>
    <oddFooter>&amp;L&amp;A
Printed &amp;D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Q40"/>
  <sheetViews>
    <sheetView topLeftCell="A5" zoomScaleNormal="100" zoomScaleSheetLayoutView="80" workbookViewId="0">
      <selection activeCell="M28" sqref="M28"/>
    </sheetView>
  </sheetViews>
  <sheetFormatPr defaultColWidth="9.1796875" defaultRowHeight="12.5" outlineLevelRow="1"/>
  <cols>
    <col min="1" max="1" width="29.6328125" style="339" customWidth="1"/>
    <col min="2" max="2" width="11.1796875" style="360" customWidth="1"/>
    <col min="3" max="3" width="16" style="339" customWidth="1"/>
    <col min="4" max="4" width="24.1796875" style="339" customWidth="1"/>
    <col min="5" max="5" width="23" style="339" customWidth="1"/>
    <col min="6" max="6" width="15.1796875" style="339" customWidth="1"/>
    <col min="7" max="7" width="13.6328125" style="339" customWidth="1"/>
    <col min="8" max="8" width="11.81640625" style="339" customWidth="1"/>
    <col min="9" max="9" width="11.453125" style="339" customWidth="1"/>
    <col min="10" max="10" width="13.453125" style="339" customWidth="1"/>
    <col min="11" max="11" width="10.36328125" style="339" customWidth="1"/>
    <col min="12" max="12" width="15.6328125" style="339" customWidth="1"/>
    <col min="13" max="13" width="7" style="339" customWidth="1"/>
    <col min="14" max="14" width="8" style="339" customWidth="1"/>
    <col min="15" max="15" width="4.36328125" style="339" hidden="1" customWidth="1"/>
    <col min="16" max="16" width="20.1796875" style="339" customWidth="1"/>
    <col min="17" max="16384" width="9.1796875" style="339"/>
  </cols>
  <sheetData>
    <row r="1" spans="1:17" ht="13">
      <c r="A1" s="356" t="s">
        <v>360</v>
      </c>
      <c r="B1" s="357"/>
    </row>
    <row r="2" spans="1:17" ht="30" customHeight="1">
      <c r="A2" s="807" t="str">
        <f>IF(ISNA(MATCH("n",O5:O26,0)),"", trans_warning)</f>
        <v/>
      </c>
      <c r="B2" s="808"/>
      <c r="C2" s="808"/>
      <c r="D2" s="808"/>
      <c r="E2" s="808"/>
      <c r="F2" s="808"/>
      <c r="G2" s="808"/>
      <c r="H2" s="808"/>
      <c r="I2" s="808"/>
      <c r="J2" s="808"/>
      <c r="K2" s="808"/>
      <c r="L2" s="808"/>
      <c r="M2" s="809"/>
    </row>
    <row r="3" spans="1:17" s="361" customFormat="1" ht="39">
      <c r="A3" s="721" t="s">
        <v>837</v>
      </c>
      <c r="B3" s="722" t="s">
        <v>840</v>
      </c>
      <c r="C3" s="723" t="s">
        <v>839</v>
      </c>
      <c r="D3" s="721"/>
      <c r="E3" s="724"/>
      <c r="F3" s="735" t="s">
        <v>854</v>
      </c>
      <c r="G3" s="804" t="s">
        <v>855</v>
      </c>
      <c r="H3" s="805"/>
      <c r="I3" s="805"/>
      <c r="J3" s="805"/>
      <c r="K3" s="805"/>
      <c r="L3" s="806"/>
      <c r="M3" s="721"/>
    </row>
    <row r="4" spans="1:17" ht="65.5" thickBot="1">
      <c r="A4" s="719" t="s">
        <v>841</v>
      </c>
      <c r="B4" s="720" t="str">
        <f>quest</f>
        <v>S/N/?</v>
      </c>
      <c r="C4" s="725" t="s">
        <v>842</v>
      </c>
      <c r="D4" s="726" t="s">
        <v>843</v>
      </c>
      <c r="E4" s="726" t="s">
        <v>768</v>
      </c>
      <c r="F4" s="736" t="s">
        <v>856</v>
      </c>
      <c r="G4" s="727" t="s">
        <v>857</v>
      </c>
      <c r="H4" s="727" t="s">
        <v>858</v>
      </c>
      <c r="I4" s="727" t="s">
        <v>859</v>
      </c>
      <c r="J4" s="736" t="s">
        <v>860</v>
      </c>
      <c r="K4" s="736" t="s">
        <v>861</v>
      </c>
      <c r="L4" s="736" t="s">
        <v>862</v>
      </c>
      <c r="M4" s="721" t="s">
        <v>863</v>
      </c>
      <c r="N4" s="323" t="s">
        <v>864</v>
      </c>
    </row>
    <row r="5" spans="1:17" ht="25.5" thickBot="1">
      <c r="A5" s="270" t="s">
        <v>868</v>
      </c>
      <c r="B5" s="625"/>
      <c r="C5" s="800"/>
      <c r="D5" s="748" t="s">
        <v>865</v>
      </c>
      <c r="E5" s="677"/>
      <c r="F5" s="461" t="str">
        <f>IF(OR($B5=yes,$B5=yes),'5-1 Fuels'!$K$6, IF(OR($B5=no,$B5=no),"-", IF($B5=que,que, pres)))</f>
        <v>¿Presente?</v>
      </c>
      <c r="G5" s="462" t="str">
        <f>IF(OR($B5=yes,$B5=yes),'5-1 Fuels'!V6, IF(OR($B5=no,$B5=no),"-", IF($B5=que,que, pres)))</f>
        <v>¿Presente?</v>
      </c>
      <c r="H5" s="462" t="str">
        <f>IF(OR($B5=yes,$B5=yes),'5-1 Fuels'!W6, IF(OR($B5=no,$B5=no),"-", IF($B5=que,que, pres)))</f>
        <v>¿Presente?</v>
      </c>
      <c r="I5" s="462" t="str">
        <f>IF(OR($B5=yes,$B5=yes),'5-1 Fuels'!X6, IF(OR($B5=no,$B5=no),"-", IF($B5=que,que, pres)))</f>
        <v>¿Presente?</v>
      </c>
      <c r="J5" s="462" t="str">
        <f>IF(OR($B5=yes,$B5=yes),'5-1 Fuels'!Y6, IF(OR($B5=no,$B5=no),"-", IF($B5=que,que, pres)))</f>
        <v>¿Presente?</v>
      </c>
      <c r="K5" s="462" t="str">
        <f>IF(OR($B5=yes,$B5=yes),'5-1 Fuels'!Z6, IF(OR($B5=no,$B5=no),"-", IF($B5=que,que, pres)))</f>
        <v>¿Presente?</v>
      </c>
      <c r="L5" s="462" t="str">
        <f>IF(OR($B5=yes,$B5=yes),'5-1 Fuels'!AA6, IF(OR($B5=no,$B5=no),"-", IF($B5=que,que, pres)))</f>
        <v>¿Presente?</v>
      </c>
      <c r="M5" s="272" t="str">
        <f>'5-1 Fuels'!B6</f>
        <v>5.1.1</v>
      </c>
      <c r="N5" s="464"/>
      <c r="O5" s="339" t="str">
        <f>INDEX('Range-thresholds'!$G$6:$G$73,MATCH(A5,'Range-thresholds'!$A$6:$A$73,0))</f>
        <v/>
      </c>
      <c r="P5" s="323"/>
      <c r="Q5" s="474"/>
    </row>
    <row r="6" spans="1:17" ht="50" outlineLevel="1">
      <c r="A6" s="270"/>
      <c r="B6" s="659"/>
      <c r="C6" s="350"/>
      <c r="D6" s="663"/>
      <c r="E6" s="685" t="s">
        <v>1176</v>
      </c>
      <c r="F6" s="664"/>
      <c r="G6" s="664" t="s">
        <v>1179</v>
      </c>
      <c r="H6" s="664" t="s">
        <v>1177</v>
      </c>
      <c r="I6" s="664" t="s">
        <v>1180</v>
      </c>
      <c r="J6" s="664" t="s">
        <v>1181</v>
      </c>
      <c r="K6" s="664" t="s">
        <v>1182</v>
      </c>
      <c r="L6" s="664" t="s">
        <v>1183</v>
      </c>
      <c r="M6" s="272"/>
      <c r="N6" s="464"/>
      <c r="P6" s="323"/>
    </row>
    <row r="7" spans="1:17" ht="38" outlineLevel="1" thickBot="1">
      <c r="A7" s="270"/>
      <c r="B7" s="660"/>
      <c r="C7" s="347"/>
      <c r="D7" s="665" t="s">
        <v>766</v>
      </c>
      <c r="E7" s="664" t="s">
        <v>1175</v>
      </c>
      <c r="F7" s="664"/>
      <c r="G7" s="666">
        <f>100-H7-I7-J7-K7-L7</f>
        <v>0</v>
      </c>
      <c r="H7" s="671">
        <v>100</v>
      </c>
      <c r="I7" s="671"/>
      <c r="J7" s="671"/>
      <c r="K7" s="671"/>
      <c r="L7" s="671"/>
      <c r="M7" s="707" t="s">
        <v>1169</v>
      </c>
      <c r="N7" s="464"/>
      <c r="P7" s="323"/>
    </row>
    <row r="8" spans="1:17" ht="25.5" thickBot="1">
      <c r="A8" s="603" t="s">
        <v>1168</v>
      </c>
      <c r="B8" s="625"/>
      <c r="C8" s="404"/>
      <c r="D8" s="748" t="s">
        <v>865</v>
      </c>
      <c r="E8" s="677"/>
      <c r="F8" s="461" t="str">
        <f>IF(OR($B8=yes,$B8=yes),'5-1 Fuels'!K16, IF(OR($B8=no,$B8=no),"-", IF($B8=que,que, pres)))</f>
        <v>¿Presente?</v>
      </c>
      <c r="G8" s="462" t="str">
        <f>IF(OR($B8=yes,$B8=yes),'5-1 Fuels'!V16, IF(OR($B8=no,$B8=no),"-", IF($B8=que,que, pres)))</f>
        <v>¿Presente?</v>
      </c>
      <c r="H8" s="462" t="str">
        <f>IF(OR($B8=yes,$B8=yes),'5-1 Fuels'!W16, IF(OR($B8=no,$B8=no),"-", IF($B8=que,que, pres)))</f>
        <v>¿Presente?</v>
      </c>
      <c r="I8" s="462" t="str">
        <f>IF(OR($B8=yes,$B8=yes),'5-1 Fuels'!X16, IF(OR($B8=no,$B8=no),"-", IF($B8=que,que, pres)))</f>
        <v>¿Presente?</v>
      </c>
      <c r="J8" s="462" t="str">
        <f>IF(OR($B8=yes,$B8=yes),'5-1 Fuels'!Y16, IF(OR($B8=no,$B8=no),"-", IF($B8=que,que, pres)))</f>
        <v>¿Presente?</v>
      </c>
      <c r="K8" s="462" t="str">
        <f>IF(OR($B8=yes,$B8=yes),'5-1 Fuels'!Z16, IF(OR($B8=no,$B8=no),"-", IF($B8=que,que, pres)))</f>
        <v>¿Presente?</v>
      </c>
      <c r="L8" s="462" t="str">
        <f>IF(OR($B8=yes,$B8=yes),'5-1 Fuels'!AA16, IF(OR($B8=no,$B8=no),"-", IF($B8=que,que, pres)))</f>
        <v>¿Presente?</v>
      </c>
      <c r="M8" s="272" t="str">
        <f>'5-1 Fuels'!B16</f>
        <v>5.1.2.1</v>
      </c>
      <c r="N8" s="464"/>
      <c r="P8" s="323"/>
      <c r="Q8" s="474"/>
    </row>
    <row r="9" spans="1:17" ht="50" outlineLevel="1">
      <c r="A9" s="270"/>
      <c r="B9" s="661"/>
      <c r="C9" s="350"/>
      <c r="D9" s="345"/>
      <c r="E9" s="685" t="s">
        <v>1176</v>
      </c>
      <c r="F9" s="664"/>
      <c r="G9" s="664" t="s">
        <v>1179</v>
      </c>
      <c r="H9" s="664" t="s">
        <v>1177</v>
      </c>
      <c r="I9" s="664" t="s">
        <v>1180</v>
      </c>
      <c r="J9" s="664" t="s">
        <v>1181</v>
      </c>
      <c r="K9" s="664" t="s">
        <v>1182</v>
      </c>
      <c r="L9" s="664" t="s">
        <v>1183</v>
      </c>
      <c r="M9" s="272"/>
      <c r="N9" s="464"/>
      <c r="P9" s="323"/>
    </row>
    <row r="10" spans="1:17" ht="38" outlineLevel="1" thickBot="1">
      <c r="A10" s="270"/>
      <c r="B10" s="662"/>
      <c r="C10" s="347"/>
      <c r="D10" s="665" t="s">
        <v>766</v>
      </c>
      <c r="E10" s="664" t="s">
        <v>1175</v>
      </c>
      <c r="F10" s="664"/>
      <c r="G10" s="666">
        <f>100-H10-I10-J10-K10-L10</f>
        <v>100</v>
      </c>
      <c r="H10" s="671"/>
      <c r="I10" s="671"/>
      <c r="J10" s="671"/>
      <c r="K10" s="671"/>
      <c r="L10" s="671"/>
      <c r="M10" s="707" t="s">
        <v>1169</v>
      </c>
      <c r="N10" s="464"/>
      <c r="P10" s="323"/>
    </row>
    <row r="11" spans="1:17" ht="13" thickBot="1">
      <c r="A11" s="270" t="s">
        <v>866</v>
      </c>
      <c r="B11" s="622"/>
      <c r="C11" s="747"/>
      <c r="D11" s="748" t="s">
        <v>867</v>
      </c>
      <c r="E11" s="345"/>
      <c r="F11" s="461" t="str">
        <f>IF(OR($B11=yes,$B11=yes),'5-1 Fuels'!K26, IF(OR($B11=no,$B11=no),"-", IF($B11=que,que, pres)))</f>
        <v>¿Presente?</v>
      </c>
      <c r="G11" s="462" t="str">
        <f>IF(OR($B11=yes,$B11=yes),'5-1 Fuels'!V26, IF(OR($B11=no,$B11=no),"-", IF($B11=que,que, pres)))</f>
        <v>¿Presente?</v>
      </c>
      <c r="H11" s="462" t="str">
        <f>IF(OR($B11=yes,$B11=yes),'5-1 Fuels'!W26, IF(OR($B11=no,$B11=no),"-", IF($B11=que,que, pres)))</f>
        <v>¿Presente?</v>
      </c>
      <c r="I11" s="462" t="str">
        <f>IF(OR($B11=yes,$B11=yes),'5-1 Fuels'!X26, IF(OR($B11=no,$B11=no),"-", IF($B11=que,que, pres)))</f>
        <v>¿Presente?</v>
      </c>
      <c r="J11" s="462" t="str">
        <f>IF(OR($B11=yes,$B11=yes),'5-1 Fuels'!Y26, IF(OR($B11=no,$B11=no),"-", IF($B11=que,que, pres)))</f>
        <v>¿Presente?</v>
      </c>
      <c r="K11" s="462" t="str">
        <f>IF(OR($B11=yes,$B11=yes),'5-1 Fuels'!Z26, IF(OR($B11=no,$B11=no),"-", IF($B11=que,que, pres)))</f>
        <v>¿Presente?</v>
      </c>
      <c r="L11" s="462" t="str">
        <f>IF(OR($B11=yes,$B11=yes),'5-1 Fuels'!AA26, IF(OR($B11=no,$B11=no),"-", IF($B11=que,que, pres)))</f>
        <v>¿Presente?</v>
      </c>
      <c r="M11" s="272" t="str">
        <f>'5-1 Fuels'!B26</f>
        <v>5.1.2.2</v>
      </c>
      <c r="N11" s="463"/>
      <c r="O11" s="339" t="str">
        <f>INDEX('Range-thresholds'!$G$6:$G$73,MATCH(A11,'Range-thresholds'!$A$6:$A$73,0))</f>
        <v/>
      </c>
      <c r="Q11" s="474"/>
    </row>
    <row r="12" spans="1:17" ht="25.5" thickBot="1">
      <c r="A12" s="603" t="s">
        <v>869</v>
      </c>
      <c r="B12" s="623"/>
      <c r="C12" s="750"/>
      <c r="D12" s="681" t="s">
        <v>870</v>
      </c>
      <c r="E12" s="677"/>
      <c r="F12" s="461" t="str">
        <f>IF(OR($B12=yes,$B12=yes),SUM('5-1 Fuels'!K38:K41), IF(OR($B12=no,$B12=no),"-", IF($B12=que,que, pres)))</f>
        <v>¿Presente?</v>
      </c>
      <c r="G12" s="462" t="str">
        <f>IF(OR($B12=yes,$B12=yes),SUM('5-1 Fuels'!V38:V41), IF(OR($B12=no,$B12=no),"-", IF($B12=que,que, pres)))</f>
        <v>¿Presente?</v>
      </c>
      <c r="H12" s="462" t="str">
        <f>IF(OR($B12=yes,$B12=yes),SUM('5-1 Fuels'!W38:W41), IF(OR($B12=no,$B12=no),"-", IF($B12=que,que, pres)))</f>
        <v>¿Presente?</v>
      </c>
      <c r="I12" s="462" t="str">
        <f>IF(OR($B12=yes,$B12=yes),SUM('5-1 Fuels'!X38:X41), IF(OR($B12=no,$B12=no),"-", IF($B12=que,que, pres)))</f>
        <v>¿Presente?</v>
      </c>
      <c r="J12" s="462" t="str">
        <f>IF(OR($B12=yes,$B12=yes),SUM('5-1 Fuels'!Y38:Y41), IF(OR($B12=no,$B12=no),"-", IF($B12=que,que, pres)))</f>
        <v>¿Presente?</v>
      </c>
      <c r="K12" s="462" t="str">
        <f>IF(OR($B12=yes,$B12=yes),SUM('5-1 Fuels'!Z38:Z41), IF(OR($B12=no,$B12=no),"-", IF($B12=que,que, pres)))</f>
        <v>¿Presente?</v>
      </c>
      <c r="L12" s="462" t="str">
        <f>IF(OR($B12=yes,$B12=yes),SUM('5-1 Fuels'!AA38:AA41), IF(OR($B12=no,$B12=no),"-", IF($B12=que,que, pres)))</f>
        <v>¿Presente?</v>
      </c>
      <c r="M12" s="272" t="str">
        <f>'5-1 Fuels'!B34</f>
        <v>5.1.3</v>
      </c>
      <c r="N12" s="463"/>
      <c r="O12" s="339" t="str">
        <f>INDEX('Range-thresholds'!$G$6:$G$73,MATCH(A12,'Range-thresholds'!$A$6:$A$73,0))</f>
        <v/>
      </c>
      <c r="Q12" s="474"/>
    </row>
    <row r="13" spans="1:17" ht="82" customHeight="1" outlineLevel="1">
      <c r="A13" s="275"/>
      <c r="B13" s="659"/>
      <c r="C13" s="350"/>
      <c r="D13" s="663"/>
      <c r="E13" s="685" t="s">
        <v>1176</v>
      </c>
      <c r="F13" s="664"/>
      <c r="G13" s="664" t="s">
        <v>1178</v>
      </c>
      <c r="H13" s="664" t="s">
        <v>1184</v>
      </c>
      <c r="I13" s="664" t="s">
        <v>1185</v>
      </c>
      <c r="J13" s="462"/>
      <c r="K13" s="462"/>
      <c r="L13" s="462"/>
      <c r="M13" s="272"/>
      <c r="N13" s="463"/>
    </row>
    <row r="14" spans="1:17" ht="38" outlineLevel="1" thickBot="1">
      <c r="A14" s="275"/>
      <c r="B14" s="660"/>
      <c r="C14" s="347"/>
      <c r="D14" s="665" t="s">
        <v>766</v>
      </c>
      <c r="E14" s="664" t="s">
        <v>1175</v>
      </c>
      <c r="F14" s="664"/>
      <c r="G14" s="666">
        <f>100-H14-I14</f>
        <v>100</v>
      </c>
      <c r="H14" s="671"/>
      <c r="I14" s="671"/>
      <c r="J14" s="462"/>
      <c r="K14" s="462"/>
      <c r="L14" s="462"/>
      <c r="M14" s="707" t="s">
        <v>1169</v>
      </c>
      <c r="N14" s="464"/>
    </row>
    <row r="15" spans="1:17" ht="38" thickBot="1">
      <c r="A15" s="603" t="s">
        <v>871</v>
      </c>
      <c r="B15" s="625"/>
      <c r="C15" s="800"/>
      <c r="D15" s="681" t="s">
        <v>870</v>
      </c>
      <c r="E15" s="677"/>
      <c r="F15" s="461" t="str">
        <f>IF(OR($B15=yes,$B15=yes),'5-1 Fuels'!K43, IF(OR($B15=no,$B15=no),"-", IF($B15=que,que, pres)))</f>
        <v>¿Presente?</v>
      </c>
      <c r="G15" s="462" t="str">
        <f>IF(OR($B15=yes,$B15=yes),SUM('5-1 Fuels'!V43:V47), IF(OR($B15=no,$B15=no),"-", IF($B15=que,que, pres)))</f>
        <v>¿Presente?</v>
      </c>
      <c r="H15" s="462" t="str">
        <f>IF(OR($B15=yes,$B15=yes),SUM('5-1 Fuels'!W43:W47), IF(OR($B15=no,$B15=no),"-", IF($B15=que,que, pres)))</f>
        <v>¿Presente?</v>
      </c>
      <c r="I15" s="462" t="str">
        <f>IF(OR($B15=yes,$B15=yes),SUM('5-1 Fuels'!X43:X47), IF(OR($B15=no,$B15=no),"-", IF($B15=que,que, pres)))</f>
        <v>¿Presente?</v>
      </c>
      <c r="J15" s="462" t="str">
        <f>IF(OR($B15=yes,$B15=yes),SUM('5-1 Fuels'!Y43:Y47), IF(OR($B15=no,$B15=no),"-", IF($B15=que,que, pres)))</f>
        <v>¿Presente?</v>
      </c>
      <c r="K15" s="462" t="str">
        <f>IF(OR($B15=yes,$B15=yes),SUM('5-1 Fuels'!Z43:Z47), IF(OR($B15=no,$B15=no),"-", IF($B15=que,que, pres)))</f>
        <v>¿Presente?</v>
      </c>
      <c r="L15" s="462" t="str">
        <f>IF(OR($B15=yes,$B15=yes),SUM('5-1 Fuels'!AA43:AA47), IF(OR($B15=no,$B15=no),"-", IF($B15=que,que, pres)))</f>
        <v>¿Presente?</v>
      </c>
      <c r="M15" s="272" t="str">
        <f>M24</f>
        <v>5.1.3</v>
      </c>
      <c r="N15" s="464"/>
      <c r="O15" s="339" t="str">
        <f>INDEX('Range-thresholds'!$G$6:$G$73,MATCH(A15,'Range-thresholds'!$A$6:$A$73,0))</f>
        <v/>
      </c>
      <c r="Q15" s="474"/>
    </row>
    <row r="16" spans="1:17" ht="81" customHeight="1">
      <c r="A16" s="603"/>
      <c r="B16" s="659"/>
      <c r="C16" s="350"/>
      <c r="D16" s="663"/>
      <c r="E16" s="685" t="s">
        <v>1176</v>
      </c>
      <c r="F16" s="664"/>
      <c r="G16" s="664" t="s">
        <v>1178</v>
      </c>
      <c r="H16" s="664" t="s">
        <v>1184</v>
      </c>
      <c r="I16" s="664" t="s">
        <v>1185</v>
      </c>
      <c r="J16" s="462"/>
      <c r="K16" s="462"/>
      <c r="L16" s="462"/>
      <c r="M16" s="272"/>
      <c r="N16" s="464"/>
    </row>
    <row r="17" spans="1:17" ht="38" thickBot="1">
      <c r="A17" s="603"/>
      <c r="B17" s="660"/>
      <c r="C17" s="347"/>
      <c r="D17" s="665" t="s">
        <v>766</v>
      </c>
      <c r="E17" s="664" t="s">
        <v>1175</v>
      </c>
      <c r="F17" s="664"/>
      <c r="G17" s="666">
        <f>100-H17-I17</f>
        <v>100</v>
      </c>
      <c r="H17" s="671"/>
      <c r="I17" s="671"/>
      <c r="J17" s="462"/>
      <c r="K17" s="462"/>
      <c r="L17" s="462"/>
      <c r="M17" s="707" t="s">
        <v>1169</v>
      </c>
      <c r="N17" s="464"/>
    </row>
    <row r="18" spans="1:17">
      <c r="A18" s="603" t="s">
        <v>872</v>
      </c>
      <c r="B18" s="622"/>
      <c r="C18" s="747"/>
      <c r="D18" s="748" t="s">
        <v>873</v>
      </c>
      <c r="E18" s="345"/>
      <c r="F18" s="461" t="str">
        <f>IF(OR($B18=yes,$B18=yes),'5-1 Fuels'!K52, IF(OR($B18=no,$B18=no),"-", IF($B18=que,que, pres)))</f>
        <v>¿Presente?</v>
      </c>
      <c r="G18" s="462" t="str">
        <f>IF(OR($B18=yes,$B18=yes),'5-1 Fuels'!V52, IF(OR($B18=no,$B18=no),"-", IF($B18=que,que, pres)))</f>
        <v>¿Presente?</v>
      </c>
      <c r="H18" s="462" t="str">
        <f>IF(OR($B18=yes,$B18=yes),'5-1 Fuels'!W52, IF(OR($B18=no,$B18=no),"-", IF($B18=que,que, pres)))</f>
        <v>¿Presente?</v>
      </c>
      <c r="I18" s="462" t="str">
        <f>IF(OR($B18=yes,$B18=yes),'5-1 Fuels'!X52, IF(OR($B18=no,$B18=no),"-", IF($B18=que,que, pres)))</f>
        <v>¿Presente?</v>
      </c>
      <c r="J18" s="462" t="str">
        <f>IF(OR($B18=yes,$B18=yes),'5-1 Fuels'!Y52, IF(OR($B18=no,$B18=no),"-", IF($B18=que,que, pres)))</f>
        <v>¿Presente?</v>
      </c>
      <c r="K18" s="462" t="str">
        <f>IF(OR($B18=yes,$B18=yes),'5-1 Fuels'!Z52, IF(OR($B18=no,$B18=no),"-", IF($B18=que,que, pres)))</f>
        <v>¿Presente?</v>
      </c>
      <c r="L18" s="462" t="str">
        <f>IF(OR($B18=yes,$B18=yes),'5-1 Fuels'!AA52, IF(OR($B18=no,$B18=no),"-", IF($B18=que,que, pres)))</f>
        <v>¿Presente?</v>
      </c>
      <c r="M18" s="272" t="str">
        <f>'5-1 Fuels'!B49</f>
        <v>5.1.4</v>
      </c>
      <c r="N18" s="464"/>
      <c r="O18" s="339" t="str">
        <f>INDEX('Range-thresholds'!$G$6:$G$73,MATCH(A18,'Range-thresholds'!$A$6:$A$73,0))</f>
        <v/>
      </c>
      <c r="Q18" s="474"/>
    </row>
    <row r="19" spans="1:17" ht="25">
      <c r="A19" s="603" t="s">
        <v>874</v>
      </c>
      <c r="B19" s="624"/>
      <c r="C19" s="749"/>
      <c r="D19" s="748" t="s">
        <v>873</v>
      </c>
      <c r="E19" s="345"/>
      <c r="F19" s="461" t="str">
        <f>IF(OR($B19=yes,$B19=yes),'5-1 Fuels'!K53, IF(OR($B19=no,$B19=no),"-", IF($B19=que,que, pres)))</f>
        <v>¿Presente?</v>
      </c>
      <c r="G19" s="462" t="str">
        <f>IF(OR($B19=yes,$B19=yes),'5-1 Fuels'!V53, IF(OR($B19=no,$B19=no),"-", IF($B19=que,que, pres)))</f>
        <v>¿Presente?</v>
      </c>
      <c r="H19" s="462" t="str">
        <f>IF(OR($B19=yes,$B19=yes),'5-1 Fuels'!W53, IF(OR($B19=no,$B19=no),"-", IF($B19=que,que, pres)))</f>
        <v>¿Presente?</v>
      </c>
      <c r="I19" s="462" t="str">
        <f>IF(OR($B19=yes,$B19=yes),'5-1 Fuels'!X53, IF(OR($B19=no,$B19=no),"-", IF($B19=que,que, pres)))</f>
        <v>¿Presente?</v>
      </c>
      <c r="J19" s="462" t="str">
        <f>IF(OR($B19=yes,$B19=yes),'5-1 Fuels'!Y53, IF(OR($B19=no,$B19=no),"-", IF($B19=que,que, pres)))</f>
        <v>¿Presente?</v>
      </c>
      <c r="K19" s="462" t="str">
        <f>IF(OR($B19=yes,$B19=yes),'5-1 Fuels'!Z53, IF(OR($B19=no,$B19=no),"-", IF($B19=que,que, pres)))</f>
        <v>¿Presente?</v>
      </c>
      <c r="L19" s="462" t="str">
        <f>IF(OR($B19=yes,$B19=yes),'5-1 Fuels'!AA53, IF(OR($B19=no,$B19=no),"-", IF($B19=que,que, pres)))</f>
        <v>¿Presente?</v>
      </c>
      <c r="M19" s="272" t="str">
        <f>M18</f>
        <v>5.1.4</v>
      </c>
      <c r="N19" s="463"/>
      <c r="O19" s="339" t="str">
        <f>INDEX('Range-thresholds'!$G$6:$G$73,MATCH(A19,'Range-thresholds'!$A$6:$A$73,0))</f>
        <v/>
      </c>
      <c r="Q19" s="474"/>
    </row>
    <row r="20" spans="1:17" ht="25">
      <c r="A20" s="270" t="s">
        <v>885</v>
      </c>
      <c r="B20" s="624"/>
      <c r="C20" s="380"/>
      <c r="D20" s="748" t="s">
        <v>875</v>
      </c>
      <c r="E20" s="345"/>
      <c r="F20" s="461" t="str">
        <f>IF(OR($B20=yes,$B20=yes),'5-1 Fuels'!K62, IF(OR($B20=no,$B20=no),"-", IF($B20=que,que, pres)))</f>
        <v>¿Presente?</v>
      </c>
      <c r="G20" s="462" t="str">
        <f>IF(OR($B20=yes,$B20=yes),'5-1 Fuels'!V62, IF(OR($B20=no,$B20=no),"-", IF($B20=que,que, pres)))</f>
        <v>¿Presente?</v>
      </c>
      <c r="H20" s="462" t="str">
        <f>IF(OR($B20=yes,$B20=yes),'5-1 Fuels'!W62, IF(OR($B20=no,$B20=no),"-", IF($B20=que,que, pres)))</f>
        <v>¿Presente?</v>
      </c>
      <c r="I20" s="462" t="str">
        <f>IF(OR($B20=yes,$B20=yes),'5-1 Fuels'!X62, IF(OR($B20=no,$B20=no),"-", IF($B20=que,que, pres)))</f>
        <v>¿Presente?</v>
      </c>
      <c r="J20" s="462" t="str">
        <f>IF(OR($B20=yes,$B20=yes),'5-1 Fuels'!Y62, IF(OR($B20=no,$B20=no),"-", IF($B20=que,que, pres)))</f>
        <v>¿Presente?</v>
      </c>
      <c r="K20" s="462" t="str">
        <f>IF(OR($B20=yes,$B20=yes),'5-1 Fuels'!Z62, IF(OR($B20=no,$B20=no),"-", IF($B20=que,que, pres)))</f>
        <v>¿Presente?</v>
      </c>
      <c r="L20" s="462" t="str">
        <f>IF(OR($B20=yes,$B20=yes),'5-1 Fuels'!AA62, IF(OR($B20=no,$B20=no),"-", IF($B20=que,que, pres)))</f>
        <v>¿Presente?</v>
      </c>
      <c r="M20" s="272" t="str">
        <f>'5-1 Fuels'!B62</f>
        <v>5.1.6</v>
      </c>
      <c r="N20" s="463"/>
      <c r="O20" s="339" t="str">
        <f>INDEX('Range-thresholds'!$G$6:$G$73,MATCH(A20,'Range-thresholds'!$A$6:$A$73,0))</f>
        <v/>
      </c>
      <c r="Q20" s="474"/>
    </row>
    <row r="21" spans="1:17" ht="13" thickBot="1">
      <c r="A21" s="270" t="s">
        <v>876</v>
      </c>
      <c r="B21" s="623"/>
      <c r="C21" s="750"/>
      <c r="D21" s="748" t="s">
        <v>877</v>
      </c>
      <c r="E21" s="345"/>
      <c r="F21" s="461" t="str">
        <f>IF(OR($B21=yes,$B21=yes),'5-1 Fuels'!K63, IF(OR($B21=no,$B21=no),"-", IF($B21=que,que, pres)))</f>
        <v>¿Presente?</v>
      </c>
      <c r="G21" s="462" t="str">
        <f>IF(OR($B21=yes,$B21=yes),'5-1 Fuels'!V63, IF(OR($B21=no,$B21=no),"-", IF($B21=que,que, pres)))</f>
        <v>¿Presente?</v>
      </c>
      <c r="H21" s="462" t="str">
        <f>IF(OR($B21=yes,$B21=yes),'5-1 Fuels'!W63, IF(OR($B21=no,$B21=no),"-", IF($B21=que,que, pres)))</f>
        <v>¿Presente?</v>
      </c>
      <c r="I21" s="462" t="str">
        <f>IF(OR($B21=yes,$B21=yes),'5-1 Fuels'!X63, IF(OR($B21=no,$B21=no),"-", IF($B21=que,que, pres)))</f>
        <v>¿Presente?</v>
      </c>
      <c r="J21" s="462" t="str">
        <f>IF(OR($B21=yes,$B21=yes),'5-1 Fuels'!Y63, IF(OR($B21=no,$B21=no),"-", IF($B21=que,que, pres)))</f>
        <v>¿Presente?</v>
      </c>
      <c r="K21" s="462" t="str">
        <f>IF(OR($B21=yes,$B21=yes),'5-1 Fuels'!Z63, IF(OR($B21=no,$B21=no),"-", IF($B21=que,que, pres)))</f>
        <v>¿Presente?</v>
      </c>
      <c r="L21" s="462" t="str">
        <f>IF(OR($B21=yes,$B21=yes),'5-1 Fuels'!AA63, IF(OR($B21=no,$B21=no),"-", IF($B21=que,que, pres)))</f>
        <v>¿Presente?</v>
      </c>
      <c r="M21" s="272" t="str">
        <f>'5-1 Fuels'!B62</f>
        <v>5.1.6</v>
      </c>
      <c r="N21" s="463"/>
      <c r="O21" s="339" t="str">
        <f>INDEX('Range-thresholds'!$G$6:$G$73,MATCH(A21,'Range-thresholds'!$A$6:$A$73,0))</f>
        <v/>
      </c>
      <c r="Q21" s="474"/>
    </row>
    <row r="22" spans="1:17">
      <c r="A22" s="272"/>
      <c r="B22" s="482"/>
      <c r="C22" s="377"/>
      <c r="D22" s="272"/>
      <c r="E22" s="272"/>
      <c r="F22" s="461"/>
      <c r="G22" s="461"/>
      <c r="H22" s="461"/>
      <c r="I22" s="461"/>
      <c r="J22" s="461"/>
      <c r="K22" s="461"/>
      <c r="L22" s="461"/>
      <c r="M22" s="272"/>
      <c r="N22" s="463"/>
      <c r="Q22" s="474"/>
    </row>
    <row r="23" spans="1:17" ht="13.5" thickBot="1">
      <c r="A23" s="375" t="s">
        <v>878</v>
      </c>
      <c r="B23" s="481"/>
      <c r="C23" s="382"/>
      <c r="D23" s="272"/>
      <c r="E23" s="272"/>
      <c r="F23" s="461"/>
      <c r="G23" s="461"/>
      <c r="H23" s="461"/>
      <c r="I23" s="461"/>
      <c r="J23" s="461"/>
      <c r="K23" s="461"/>
      <c r="L23" s="461"/>
      <c r="M23" s="272"/>
      <c r="N23" s="463"/>
      <c r="Q23" s="474"/>
    </row>
    <row r="24" spans="1:17">
      <c r="A24" s="751" t="s">
        <v>879</v>
      </c>
      <c r="B24" s="678"/>
      <c r="C24" s="384"/>
      <c r="D24" s="272" t="s">
        <v>880</v>
      </c>
      <c r="E24" s="272"/>
      <c r="F24" s="461" t="str">
        <f>IF(OR($B24=yes,$B24=yes),'5-1 Fuels'!K35, IF(OR($B24=no,$B24=no),"-", IF($B24=que,que, pres)))</f>
        <v>¿Presente?</v>
      </c>
      <c r="G24" s="462" t="str">
        <f>IF(OR($B24=yes,$B24=yes),'5-1 Fuels'!V35, IF(OR($B24=no,$B24=no),"-", IF($B24=que,que, pres)))</f>
        <v>¿Presente?</v>
      </c>
      <c r="H24" s="462" t="str">
        <f>IF(OR($B24=yes,$B24=yes),'5-1 Fuels'!W35, IF(OR($B24=no,$B24=no),"-", IF($B24=que,que, pres)))</f>
        <v>¿Presente?</v>
      </c>
      <c r="I24" s="462" t="str">
        <f>IF(OR($B24=yes,$B24=yes),'5-1 Fuels'!X35, IF(OR($B24=no,$B24=no),"-", IF($B24=que,que, pres)))</f>
        <v>¿Presente?</v>
      </c>
      <c r="J24" s="462" t="str">
        <f>IF(OR($B24=yes,$B24=yes),'5-1 Fuels'!Y35, IF(OR($B24=no,$B24=no),"-", IF($B24=que,que, pres)))</f>
        <v>¿Presente?</v>
      </c>
      <c r="K24" s="462" t="str">
        <f>IF(OR($B24=yes,$B24=yes),'5-1 Fuels'!Z35, IF(OR($B24=no,$B24=no),"-", IF($B24=que,que, pres)))</f>
        <v>¿Presente?</v>
      </c>
      <c r="L24" s="462" t="str">
        <f>IF(OR($B24=yes,$B24=yes),'5-1 Fuels'!AA35, IF(OR($B24=no,$B24=no),"-", IF($B24=que,que, pres)))</f>
        <v>¿Presente?</v>
      </c>
      <c r="M24" s="272" t="str">
        <f>M12</f>
        <v>5.1.3</v>
      </c>
      <c r="N24" s="463"/>
      <c r="O24" s="339" t="str">
        <f>INDEX('Range-thresholds'!$G$6:$G$73,MATCH(A24,'Range-thresholds'!$A$6:$A$73,0))</f>
        <v/>
      </c>
      <c r="Q24" s="474"/>
    </row>
    <row r="25" spans="1:17" ht="13" thickBot="1">
      <c r="A25" s="603" t="s">
        <v>881</v>
      </c>
      <c r="B25" s="624"/>
      <c r="C25" s="380"/>
      <c r="D25" s="355" t="s">
        <v>882</v>
      </c>
      <c r="E25" s="355"/>
      <c r="F25" s="461" t="str">
        <f>IF(OR($B25=yes,$B25=yes),'5-1 Fuels'!K36, IF(OR($B25=no,$B25=no),"-", IF($B25=que,que, pres)))</f>
        <v>¿Presente?</v>
      </c>
      <c r="G25" s="462" t="str">
        <f>IF(OR($B25=yes,$B25=yes),'5-1 Fuels'!V36, IF(OR($B25=no,$B25=no),"-", IF($B25=que,que, pres)))</f>
        <v>¿Presente?</v>
      </c>
      <c r="H25" s="462" t="str">
        <f>IF(OR($B25=yes,$B25=yes),'5-1 Fuels'!W36, IF(OR($B25=no,$B25=no),"-", IF($B25=que,que, pres)))</f>
        <v>¿Presente?</v>
      </c>
      <c r="I25" s="462" t="str">
        <f>IF(OR($B25=yes,$B25=yes),'5-1 Fuels'!X36, IF(OR($B25=no,$B25=no),"-", IF($B25=que,que, pres)))</f>
        <v>¿Presente?</v>
      </c>
      <c r="J25" s="462" t="str">
        <f>IF(OR($B25=yes,$B25=yes),'5-1 Fuels'!Y36, IF(OR($B25=no,$B25=no),"-", IF($B25=que,que, pres)))</f>
        <v>¿Presente?</v>
      </c>
      <c r="K25" s="462" t="str">
        <f>IF(OR($B25=yes,$B25=yes),'5-1 Fuels'!Z36, IF(OR($B25=no,$B25=no),"-", IF($B25=que,que, pres)))</f>
        <v>¿Presente?</v>
      </c>
      <c r="L25" s="462" t="str">
        <f>IF(OR($B25=yes,$B25=yes),'5-1 Fuels'!AA36, IF(OR($B25=no,$B25=no),"-", IF($B25=que,que, pres)))</f>
        <v>¿Presente?</v>
      </c>
      <c r="M25" s="272" t="str">
        <f>M24</f>
        <v>5.1.3</v>
      </c>
      <c r="N25" s="463"/>
      <c r="O25" s="339" t="str">
        <f>INDEX('Range-thresholds'!$G$6:$G$73,MATCH(A25,'Range-thresholds'!$A$6:$A$73,0))</f>
        <v/>
      </c>
      <c r="Q25" s="474"/>
    </row>
    <row r="26" spans="1:17" ht="25.5" thickBot="1">
      <c r="A26" s="603" t="s">
        <v>883</v>
      </c>
      <c r="B26" s="623"/>
      <c r="C26" s="750"/>
      <c r="D26" s="748" t="s">
        <v>884</v>
      </c>
      <c r="E26" s="677" t="s">
        <v>830</v>
      </c>
      <c r="F26" s="656" t="str">
        <f>IF(OR($B26=yes,$B26=yes),'5-1 Fuels'!K50, IF(OR($B26=no,$B26=no),"-", IF($B26=que,que, pres)))</f>
        <v>¿Presente?</v>
      </c>
      <c r="G26" s="657" t="str">
        <f>IF(OR($B26=yes,$B26=yes),SUM('5-1 Fuels'!V50:V51), IF(OR($B26=no,$B26=no),"-", IF($B26=que,que, pres)))</f>
        <v>¿Presente?</v>
      </c>
      <c r="H26" s="657" t="str">
        <f>IF(OR($B26=yes,$B26=yes),SUM('5-1 Fuels'!W50:W51), IF(OR($B26=no,$B26=no),"-", IF($B26=que,que, pres)))</f>
        <v>¿Presente?</v>
      </c>
      <c r="I26" s="657" t="str">
        <f>IF(OR($B26=yes,$B26=yes),SUM('5-1 Fuels'!X50:X51), IF(OR($B26=no,$B26=no),"-", IF($B26=que,que, pres)))</f>
        <v>¿Presente?</v>
      </c>
      <c r="J26" s="657" t="str">
        <f>IF(OR($B26=yes,$B26=yes),SUM('5-1 Fuels'!Y50:Y51), IF(OR($B26=no,$B26=no),"-", IF($B26=que,que, pres)))</f>
        <v>¿Presente?</v>
      </c>
      <c r="K26" s="657" t="str">
        <f>IF(OR($B26=yes,$B26=yes),SUM('5-1 Fuels'!Z50:Z51), IF(OR($B26=no,$B26=no),"-", IF($B26=que,que, pres)))</f>
        <v>¿Presente?</v>
      </c>
      <c r="L26" s="657" t="str">
        <f>IF(OR($B26=yes,$B26=yes),'5-1 Fuels'!AA49, IF(OR($B26=no,$B26=no),"-", IF($B26=que,que, pres)))</f>
        <v>¿Presente?</v>
      </c>
      <c r="M26" s="617" t="str">
        <f>'5-1 Fuels'!B49</f>
        <v>5.1.4</v>
      </c>
      <c r="N26" s="463"/>
      <c r="O26" s="339" t="str">
        <f>INDEX('Range-thresholds'!$G$6:$G$73,MATCH(A26,'Range-thresholds'!$A$6:$A$73,0))</f>
        <v/>
      </c>
      <c r="Q26" s="474"/>
    </row>
    <row r="27" spans="1:17" ht="50">
      <c r="A27" s="368"/>
      <c r="B27" s="659"/>
      <c r="C27" s="350"/>
      <c r="D27" s="663"/>
      <c r="E27" s="685" t="s">
        <v>1176</v>
      </c>
      <c r="F27" s="664"/>
      <c r="G27" s="664" t="s">
        <v>1186</v>
      </c>
      <c r="H27" s="664" t="s">
        <v>1187</v>
      </c>
      <c r="I27" s="462"/>
      <c r="J27" s="462"/>
      <c r="K27" s="462"/>
      <c r="L27" s="462"/>
      <c r="M27" s="272"/>
      <c r="N27" s="463"/>
    </row>
    <row r="28" spans="1:17" ht="37.5">
      <c r="A28" s="368"/>
      <c r="B28" s="658"/>
      <c r="C28" s="376"/>
      <c r="D28" s="665" t="s">
        <v>766</v>
      </c>
      <c r="E28" s="664" t="s">
        <v>1175</v>
      </c>
      <c r="F28" s="664"/>
      <c r="G28" s="666">
        <f>100-H28-I28</f>
        <v>50</v>
      </c>
      <c r="H28" s="671">
        <v>50</v>
      </c>
      <c r="I28" s="462"/>
      <c r="J28" s="462"/>
      <c r="K28" s="462"/>
      <c r="L28" s="462"/>
      <c r="M28" s="707" t="s">
        <v>1169</v>
      </c>
      <c r="N28" s="464"/>
      <c r="P28" s="361"/>
    </row>
    <row r="31" spans="1:17">
      <c r="A31" s="600" t="s">
        <v>716</v>
      </c>
    </row>
    <row r="32" spans="1:17">
      <c r="A32" s="600"/>
    </row>
    <row r="40" spans="9:9">
      <c r="I40" s="602"/>
    </row>
  </sheetData>
  <sheetProtection algorithmName="SHA-512" hashValue="8i+cUoAgfRveEMPBx6Uil+0UbsE+8w+cVtXg/KUJ/bznhuwaD1Zd+JAD12jvT7aYp56otAM+F+q6Z/4bILiTVg==" saltValue="Px7hNIeOqRWlo254dCwVQw==" spinCount="100000" sheet="1" objects="1" scenarios="1"/>
  <dataConsolidate/>
  <mergeCells count="2">
    <mergeCell ref="G3:L3"/>
    <mergeCell ref="A2:M2"/>
  </mergeCells>
  <conditionalFormatting sqref="A2">
    <cfRule type="expression" dxfId="124" priority="53" stopIfTrue="1">
      <formula>$A$2&lt;&gt;""</formula>
    </cfRule>
  </conditionalFormatting>
  <conditionalFormatting sqref="F5 F11:F12 F15 F18:F26">
    <cfRule type="expression" dxfId="123" priority="55" stopIfTrue="1">
      <formula>AND(B5="y",O5="n")</formula>
    </cfRule>
  </conditionalFormatting>
  <conditionalFormatting sqref="F8">
    <cfRule type="expression" dxfId="122" priority="49" stopIfTrue="1">
      <formula>AND(B8="y",O8="n")</formula>
    </cfRule>
  </conditionalFormatting>
  <conditionalFormatting sqref="E6:L6">
    <cfRule type="expression" dxfId="121" priority="47">
      <formula>OR($E$5="y", $E$5="s", $E$5="o", $E$5="da")</formula>
    </cfRule>
  </conditionalFormatting>
  <conditionalFormatting sqref="E7:G7">
    <cfRule type="expression" dxfId="120" priority="46">
      <formula>OR($E$5="y", $E$5="s", $E$5="o", $E$5="da")</formula>
    </cfRule>
  </conditionalFormatting>
  <conditionalFormatting sqref="H7:L7">
    <cfRule type="expression" dxfId="119" priority="45">
      <formula>OR($E$5="y", $E$5="s", $E$5="o", $E$5="da")</formula>
    </cfRule>
  </conditionalFormatting>
  <conditionalFormatting sqref="G7">
    <cfRule type="expression" dxfId="118" priority="44">
      <formula>$G$7&lt;0</formula>
    </cfRule>
  </conditionalFormatting>
  <conditionalFormatting sqref="D7">
    <cfRule type="expression" dxfId="117" priority="43">
      <formula>$G$7&lt;0</formula>
    </cfRule>
  </conditionalFormatting>
  <conditionalFormatting sqref="F9:L9">
    <cfRule type="expression" dxfId="116" priority="41">
      <formula>OR($E$8="y", $E$8="s", $E$8="o", $E$8="da")</formula>
    </cfRule>
  </conditionalFormatting>
  <conditionalFormatting sqref="E10:F10">
    <cfRule type="expression" dxfId="115" priority="40">
      <formula>OR($E$8="y", $E$8="s", $E$8="o", $E$8="da")</formula>
    </cfRule>
  </conditionalFormatting>
  <conditionalFormatting sqref="H10:L10">
    <cfRule type="expression" dxfId="114" priority="39">
      <formula>OR($E$8="y", $E$8="s", $E$8="o", $E$8="da")</formula>
    </cfRule>
  </conditionalFormatting>
  <conditionalFormatting sqref="D10">
    <cfRule type="expression" dxfId="113" priority="37">
      <formula>$G$10&lt;0</formula>
    </cfRule>
  </conditionalFormatting>
  <conditionalFormatting sqref="E13:I13">
    <cfRule type="expression" dxfId="112" priority="32">
      <formula>OR($E$12="y", $E$12="s", $E$12="o", $E$12="da")</formula>
    </cfRule>
  </conditionalFormatting>
  <conditionalFormatting sqref="E14:G14">
    <cfRule type="expression" dxfId="111" priority="31">
      <formula>OR($E$12="y", $E$12="s", $E$12="o", $E$12="da")</formula>
    </cfRule>
  </conditionalFormatting>
  <conditionalFormatting sqref="H14:I14">
    <cfRule type="expression" dxfId="110" priority="30">
      <formula>OR($E$12="y", $E$12="s", $E$12="o", $E$12="da")</formula>
    </cfRule>
  </conditionalFormatting>
  <conditionalFormatting sqref="G14">
    <cfRule type="expression" dxfId="109" priority="29">
      <formula>$G$14&lt;0</formula>
    </cfRule>
  </conditionalFormatting>
  <conditionalFormatting sqref="D14">
    <cfRule type="expression" dxfId="108" priority="28">
      <formula>$G$14&lt;0</formula>
    </cfRule>
  </conditionalFormatting>
  <conditionalFormatting sqref="E16:I16">
    <cfRule type="expression" dxfId="107" priority="27">
      <formula>OR($E$15="y", $E$15="s", $E$15="o", $E$15="da")</formula>
    </cfRule>
  </conditionalFormatting>
  <conditionalFormatting sqref="E17:G17">
    <cfRule type="expression" dxfId="106" priority="26">
      <formula>OR($E$15="y", $E$15="s", $E$15="o", $E$15="da")</formula>
    </cfRule>
  </conditionalFormatting>
  <conditionalFormatting sqref="H17:I17">
    <cfRule type="expression" dxfId="105" priority="25">
      <formula>OR($E$15="y", $E$15="s", $E$15="o", $E$15="da")</formula>
    </cfRule>
  </conditionalFormatting>
  <conditionalFormatting sqref="G17">
    <cfRule type="expression" dxfId="104" priority="24">
      <formula>$G$17&lt;0</formula>
    </cfRule>
  </conditionalFormatting>
  <conditionalFormatting sqref="D17">
    <cfRule type="expression" dxfId="103" priority="23">
      <formula>$G$17&lt;0</formula>
    </cfRule>
  </conditionalFormatting>
  <conditionalFormatting sqref="E27:H27">
    <cfRule type="expression" dxfId="102" priority="22">
      <formula>OR($E$26="y", $E$26="s", $E$26="o", $E$26="da")</formula>
    </cfRule>
  </conditionalFormatting>
  <conditionalFormatting sqref="E28:G28">
    <cfRule type="expression" dxfId="101" priority="21">
      <formula>OR($E$26="y", $E$26="s", $E$26="o", $E$26="da")</formula>
    </cfRule>
  </conditionalFormatting>
  <conditionalFormatting sqref="H28">
    <cfRule type="expression" dxfId="100" priority="20">
      <formula>OR($E$26="y", $E$26="s", $E$26="o", $E$26="da")</formula>
    </cfRule>
  </conditionalFormatting>
  <conditionalFormatting sqref="G28">
    <cfRule type="expression" dxfId="99" priority="19">
      <formula>$G$28&lt;0</formula>
    </cfRule>
  </conditionalFormatting>
  <conditionalFormatting sqref="D28">
    <cfRule type="expression" dxfId="98" priority="18">
      <formula>$G$28&lt;0</formula>
    </cfRule>
  </conditionalFormatting>
  <conditionalFormatting sqref="E9">
    <cfRule type="expression" dxfId="97" priority="17">
      <formula>OR($E$8="y", $E$8="s", $E$8="o", $E$8="da")</formula>
    </cfRule>
  </conditionalFormatting>
  <conditionalFormatting sqref="G10">
    <cfRule type="expression" dxfId="96" priority="10">
      <formula>OR($E$8="y", $E$8="s", $E$8="o", $E$8="da")</formula>
    </cfRule>
  </conditionalFormatting>
  <conditionalFormatting sqref="G10">
    <cfRule type="expression" dxfId="95" priority="9">
      <formula>$G$10&lt;0</formula>
    </cfRule>
  </conditionalFormatting>
  <dataValidations count="14">
    <dataValidation type="decimal" allowBlank="1" showErrorMessage="1" errorTitle="Input error" error="Use digits and decimal mark only." promptTitle="Input cell" prompt="Use digits and decimal mark only." sqref="C27:C28 C22:C23 C16:C17 C13:C14 C9:C10 C6:C7" xr:uid="{00000000-0002-0000-0100-000000000000}">
      <formula1>-9.99999999999999E+22</formula1>
      <formula2>9.99999999999999E+22</formula2>
    </dataValidation>
    <dataValidation type="list" allowBlank="1" showInputMessage="1" showErrorMessage="1" errorTitle="Input error" error="Enter only y, n or ? (or translation of these)" sqref="B16:B17 B6:B7 B9:B10 B13:B14 B27:B28" xr:uid="{00000000-0002-0000-0100-000001000000}">
      <formula1>yn?</formula1>
    </dataValidation>
    <dataValidation allowBlank="1" showInputMessage="1" showErrorMessage="1" prompt="Introduzca el porcentaje de tasas de actividad total que es empleado en instalaciones con los mecanismos de control mencionados arriba" sqref="H28 H7:L7 H10:L10 H14:I14 H17:I17" xr:uid="{00000000-0002-0000-0100-00000B000000}"/>
    <dataValidation type="list" allowBlank="1" showInputMessage="1" showErrorMessage="1" sqref="E5 E8 E12 E15 E26" xr:uid="{00000000-0002-0000-0100-000010000000}">
      <formula1>yn</formula1>
    </dataValidation>
    <dataValidation allowBlank="1" showInputMessage="1" showErrorMessage="1" prompt="La celda es azul y se lee &quot;sin empleo de controles default&quot;, si usted ha cambiado la selección de controles default originales. Para restaurarlo (no incluir controles), ingrese la selección de controles default mostrados en el tab &quot;controles default&quot; para" sqref="M7 M10 M14 M17 M28" xr:uid="{8B6B9216-2EEF-8C4E-ADD1-6DE0E42FA9DF}"/>
    <dataValidation type="decimal" allowBlank="1" showInputMessage="1" showErrorMessage="1" errorTitle="Input error" error="Use digits and decimal mark only." prompt="Use sólo dígitos y decimales" sqref="C5 C8 C11 C12 C15 C18:C21 C24:C26" xr:uid="{3B073C63-5256-7F48-8D4A-90E75481FDAC}">
      <formula1>-9.99999999999999E+22</formula1>
      <formula2>9.99999999999999E+22</formula2>
    </dataValidation>
    <dataValidation type="list" allowBlank="1" showInputMessage="1" showErrorMessage="1" errorTitle="Input error" error="Enter only y, n or ? (or translation of these)" prompt="Ingrese sólo s, n ó ?" sqref="B24:B26 B18:B21 B15 B11:B12 B8 B5" xr:uid="{C7A63D93-381E-734E-9A3B-F3CD92670B32}">
      <formula1>yn?</formula1>
    </dataValidation>
    <dataValidation allowBlank="1" showErrorMessage="1" sqref="G17 G28 G14 G10 G7" xr:uid="{ED8C1BE5-F156-844D-9BA9-8BF5EBB7E739}"/>
    <dataValidation allowBlank="1" showInputMessage="1" showErrorMessage="1" prompt="Material particulado (MP) + adsorbente de secador por pulverización (ASP) o desulfurización de gases de combustión húmeda (DGCh)" sqref="J6 J9" xr:uid="{93534BAF-354F-EE4F-A470-4EAA9545B964}"/>
    <dataValidation allowBlank="1" showInputMessage="1" showErrorMessage="1" prompt=" Material particulado (MP) + desulfurización de gases de combustión (DGE) + reducción catalítica selectiva (RCS)" sqref="K6 K9" xr:uid="{F04D2708-20C9-2B41-B0CF-57B681A8CD2C}"/>
    <dataValidation allowBlank="1" showInputMessage="1" showErrorMessage="1" prompt="Inyección de carbón activado (ICA) o otros  filtros específicos para mercurio" sqref="L6 L9" xr:uid="{4EBDB34C-61E5-DC47-A2CC-5F393C274E1E}"/>
    <dataValidation allowBlank="1" showInputMessage="1" showErrorMessage="1" prompt="Precipitadores electrostáticos (PES) o depurador de partículas (DP) o otros filtros de partículas con desempeño similar" sqref="H13 H16" xr:uid="{C3F1CE71-6539-2249-ABBB-CC347E421081}"/>
    <dataValidation allowBlank="1" showInputMessage="1" showErrorMessage="1" prompt="Precipitador electrostático de lado caliente (PES-LC) + Desulfurización de gases de combustión (DGE), u otra configuración de filtro avanzado con desempeño similar" sqref="I13 I16" xr:uid="{1CA9F024-7BF5-B148-A3FA-7FC8F762E73B}"/>
    <dataValidation allowBlank="1" showInputMessage="1" showErrorMessage="1" prompt="Limpieza del gas en filtros con lecho fijos con absorbentes de mercurio (o similar)" sqref="H27" xr:uid="{A8969C7B-1296-6245-9BDC-F512B03F66B5}"/>
  </dataValidations>
  <pageMargins left="0.39370078740157483" right="0.39370078740157483" top="0.74803149606299213" bottom="0.74803149606299213" header="0.31496062992125984" footer="0.31496062992125984"/>
  <pageSetup paperSize="9" scale="70" orientation="landscape" r:id="rId1"/>
  <headerFooter>
    <oddFooter>&amp;L&amp;A
Printed &amp;D</oddFooter>
  </headerFooter>
  <extLst>
    <ext xmlns:x14="http://schemas.microsoft.com/office/spreadsheetml/2009/9/main" uri="{78C0D931-6437-407d-A8EE-F0AAD7539E65}">
      <x14:conditionalFormattings>
        <x14:conditionalFormatting xmlns:xm="http://schemas.microsoft.com/office/excel/2006/main">
          <x14:cfRule type="expression" priority="50" id="{2D294E8F-C094-4B04-BBCF-78E62FF6E629}">
            <xm:f>'Inserte resultados de NI2'!$K$11&lt;&gt;""</xm:f>
            <x14:dxf>
              <font>
                <color rgb="FFFF0000"/>
              </font>
            </x14:dxf>
          </x14:cfRule>
          <xm:sqref>A31</xm:sqref>
        </x14:conditionalFormatting>
        <x14:conditionalFormatting xmlns:xm="http://schemas.microsoft.com/office/excel/2006/main">
          <x14:cfRule type="expression" priority="16" id="{BBB71621-48E4-43F1-BF33-B613791E30C0}">
            <xm:f>OR($G$7&lt;&gt;'Controles defaults'!$C$6,$H$7&lt;&gt;'Controles defaults'!$D$6,$I$7&lt;&gt;'Controles defaults'!$E$6,$J$7&lt;&gt;'Controles defaults'!$F$6,$K$7&lt;&gt;'Controles defaults'!$G$6,$L$7&lt;&gt;'Controles defaults'!$H$6)</xm:f>
            <x14:dxf>
              <font>
                <color theme="1"/>
              </font>
              <fill>
                <patternFill>
                  <bgColor theme="8" tint="0.39994506668294322"/>
                </patternFill>
              </fill>
            </x14:dxf>
          </x14:cfRule>
          <xm:sqref>M7</xm:sqref>
        </x14:conditionalFormatting>
        <x14:conditionalFormatting xmlns:xm="http://schemas.microsoft.com/office/excel/2006/main">
          <x14:cfRule type="expression" priority="14" id="{7E23BB15-3F6D-467C-B8C5-9DCCE2EE1A6E}">
            <xm:f>OR($G$14&lt;&gt;'Controles defaults'!$C$12)</xm:f>
            <x14:dxf>
              <font>
                <color theme="1"/>
              </font>
              <fill>
                <patternFill>
                  <bgColor theme="8" tint="0.39994506668294322"/>
                </patternFill>
              </fill>
            </x14:dxf>
          </x14:cfRule>
          <xm:sqref>M14</xm:sqref>
        </x14:conditionalFormatting>
        <x14:conditionalFormatting xmlns:xm="http://schemas.microsoft.com/office/excel/2006/main">
          <x14:cfRule type="expression" priority="13" id="{F1D6B63C-C8FF-4F6A-9602-7BBCCCF31E2B}">
            <xm:f>OR($G$17&lt;&gt;'Controles defaults'!$C$15)</xm:f>
            <x14:dxf>
              <font>
                <color theme="1"/>
              </font>
              <fill>
                <patternFill>
                  <bgColor theme="8" tint="0.39994506668294322"/>
                </patternFill>
              </fill>
            </x14:dxf>
          </x14:cfRule>
          <xm:sqref>M17</xm:sqref>
        </x14:conditionalFormatting>
        <x14:conditionalFormatting xmlns:xm="http://schemas.microsoft.com/office/excel/2006/main">
          <x14:cfRule type="expression" priority="12" id="{1E5D644E-96F6-4F3C-AB8E-CE7C359D602F}">
            <xm:f>OR($G$28&lt;&gt;'Controles defaults'!$C$18)</xm:f>
            <x14:dxf>
              <font>
                <color theme="1"/>
              </font>
              <fill>
                <patternFill>
                  <bgColor theme="8" tint="0.39994506668294322"/>
                </patternFill>
              </fill>
            </x14:dxf>
          </x14:cfRule>
          <xm:sqref>M28</xm:sqref>
        </x14:conditionalFormatting>
        <x14:conditionalFormatting xmlns:xm="http://schemas.microsoft.com/office/excel/2006/main">
          <x14:cfRule type="expression" priority="6" id="{A3D2E5E3-BB88-4B3A-A917-5E650B7790D3}">
            <xm:f>OR($G$10&lt;&gt;'Controles defaults'!$C$9,$H$10&lt;&gt;'Controles defaults'!$D$9,$I$10&lt;&gt;'Controles defaults'!$E$9,$J$10&lt;&gt;'Controles defaults'!$F$9,$K$10&lt;&gt;'Controles defaults'!$G$9,$L$10&lt;&gt;'Controles defaults'!$H$9)</xm:f>
            <x14:dxf>
              <font>
                <color theme="1"/>
              </font>
              <fill>
                <patternFill>
                  <bgColor theme="8" tint="0.39994506668294322"/>
                </patternFill>
              </fill>
            </x14:dxf>
          </x14:cfRule>
          <xm:sqref>M10</xm:sqref>
        </x14:conditionalFormatting>
      </x14:conditionalFormattings>
    </ext>
  </extLs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dimension ref="A1:G73"/>
  <sheetViews>
    <sheetView zoomScale="70" zoomScaleNormal="70" workbookViewId="0">
      <selection activeCell="H26" sqref="H26"/>
    </sheetView>
  </sheetViews>
  <sheetFormatPr defaultColWidth="8.81640625" defaultRowHeight="12.5"/>
  <cols>
    <col min="1" max="1" width="50.1796875" customWidth="1"/>
    <col min="2" max="3" width="15.6328125" customWidth="1"/>
    <col min="4" max="4" width="15.81640625" customWidth="1"/>
    <col min="5" max="5" width="19" customWidth="1"/>
    <col min="6" max="6" width="15.81640625" customWidth="1"/>
  </cols>
  <sheetData>
    <row r="1" spans="1:7" ht="43.5">
      <c r="A1" s="356" t="s">
        <v>416</v>
      </c>
      <c r="B1" s="12" t="s">
        <v>699</v>
      </c>
      <c r="C1" s="12" t="s">
        <v>703</v>
      </c>
      <c r="D1" s="589" t="s">
        <v>708</v>
      </c>
      <c r="E1" s="12" t="s">
        <v>700</v>
      </c>
    </row>
    <row r="2" spans="1:7" ht="26">
      <c r="A2" s="454" t="s">
        <v>314</v>
      </c>
      <c r="B2" s="12"/>
      <c r="C2" s="12" t="s">
        <v>704</v>
      </c>
      <c r="D2" s="591"/>
      <c r="E2" s="53" t="s">
        <v>701</v>
      </c>
    </row>
    <row r="3" spans="1:7" ht="14.5">
      <c r="A3" s="454"/>
      <c r="B3" s="12"/>
      <c r="C3" s="53">
        <v>10</v>
      </c>
      <c r="D3" s="591"/>
      <c r="E3" s="9"/>
    </row>
    <row r="4" spans="1:7" ht="52">
      <c r="A4" s="58"/>
      <c r="B4" s="12" t="s">
        <v>679</v>
      </c>
      <c r="C4" s="548" t="s">
        <v>707</v>
      </c>
      <c r="D4" s="12" t="s">
        <v>709</v>
      </c>
      <c r="E4" s="12" t="s">
        <v>702</v>
      </c>
      <c r="F4" s="93" t="s">
        <v>710</v>
      </c>
      <c r="G4" s="93" t="s">
        <v>711</v>
      </c>
    </row>
    <row r="5" spans="1:7" ht="13">
      <c r="A5" s="394" t="str">
        <f>'Paso 2-Energía'!A4</f>
        <v>Consumo de energía</v>
      </c>
      <c r="D5" s="590"/>
    </row>
    <row r="6" spans="1:7">
      <c r="A6" s="454" t="str">
        <f>'Paso 2-Energía'!A5</f>
        <v>Combustión de carbón en centrales eléctricas</v>
      </c>
      <c r="B6">
        <v>6.7227168213380929E-4</v>
      </c>
      <c r="C6">
        <f>$C$3</f>
        <v>10</v>
      </c>
      <c r="D6" s="588">
        <f t="shared" ref="D6:D34" si="0">IF(ISNUMBER(B6),B6*C6,"SKIP")</f>
        <v>6.7227168213380931E-3</v>
      </c>
      <c r="E6" s="592">
        <f>IF(ISNUMBER(D6),D6*'Paso 1-Datos del país'!$B$6,"SKIP")</f>
        <v>0</v>
      </c>
      <c r="F6" s="596" t="str">
        <f>IF('Nivel 1-Resumen entradas de Hg'!E5="","",'Nivel 1-Resumen entradas de Hg'!E5)</f>
        <v>¿Presente?</v>
      </c>
      <c r="G6" t="str">
        <f>IF(ISNUMBER(F6),IF(F6&lt;E6,"y","n"),"")</f>
        <v/>
      </c>
    </row>
    <row r="7" spans="1:7">
      <c r="A7" s="454" t="str">
        <f>'Paso 2-Energía'!A8</f>
        <v>Combustión de carbón en calderas industriales de carbón</v>
      </c>
      <c r="D7" s="588"/>
      <c r="E7" s="592"/>
      <c r="F7" s="596"/>
    </row>
    <row r="8" spans="1:7">
      <c r="A8" s="454" t="str">
        <f>'Paso 2-Energía'!A11</f>
        <v>Otros usos del carbón</v>
      </c>
      <c r="B8">
        <v>2.2364446616113013E-4</v>
      </c>
      <c r="C8" s="316">
        <v>20</v>
      </c>
      <c r="D8" s="588">
        <f t="shared" si="0"/>
        <v>4.4728893232226022E-3</v>
      </c>
      <c r="E8" s="592">
        <f>IF(ISNUMBER(D8),D8*'Paso 1-Datos del país'!$B$6,"SKIP")</f>
        <v>0</v>
      </c>
      <c r="F8" s="596" t="str">
        <f>IF('Nivel 1-Resumen entradas de Hg'!E7="","",'Nivel 1-Resumen entradas de Hg'!E7)</f>
        <v>¿Presente?</v>
      </c>
      <c r="G8" t="str">
        <f t="shared" ref="G8:G71" si="1">IF(ISNUMBER(F8),IF(F8&lt;E8,"y","n"),"")</f>
        <v/>
      </c>
    </row>
    <row r="9" spans="1:7">
      <c r="A9" s="454" t="str">
        <f>'Paso 2-Energía'!A12</f>
        <v>Combustión/uso de coque de petróleo y petróleo pesado</v>
      </c>
      <c r="B9">
        <v>1.0032298136645963E-4</v>
      </c>
      <c r="C9">
        <f t="shared" ref="C9:C71" si="2">$C$3</f>
        <v>10</v>
      </c>
      <c r="D9" s="588">
        <f t="shared" si="0"/>
        <v>1.0032298136645962E-3</v>
      </c>
      <c r="E9" s="592">
        <f>IF(ISNUMBER(D9),D9*'Paso 1-Datos del país'!$B$6,"SKIP")</f>
        <v>0</v>
      </c>
      <c r="F9" s="596" t="str">
        <f>IF('Nivel 1-Resumen entradas de Hg'!E8="","",'Nivel 1-Resumen entradas de Hg'!E8)</f>
        <v>¿Presente?</v>
      </c>
      <c r="G9" t="str">
        <f t="shared" si="1"/>
        <v/>
      </c>
    </row>
    <row r="10" spans="1:7" ht="25">
      <c r="A10" s="454" t="str">
        <f>'Paso 2-Energía'!A15</f>
        <v>Combustión/uso de diesel, gasoil, petróleo, querosén, GLP y otros destilados livianos a medios</v>
      </c>
      <c r="B10">
        <v>1.6173158415841584E-5</v>
      </c>
      <c r="C10">
        <f t="shared" si="2"/>
        <v>10</v>
      </c>
      <c r="D10" s="588">
        <f t="shared" si="0"/>
        <v>1.6173158415841584E-4</v>
      </c>
      <c r="E10" s="592">
        <f>IF(ISNUMBER(D10),D10*'Paso 1-Datos del país'!$B$6,"SKIP")</f>
        <v>0</v>
      </c>
      <c r="F10" s="596" t="str">
        <f>IF('Nivel 1-Resumen entradas de Hg'!E9="","",'Nivel 1-Resumen entradas de Hg'!E9)</f>
        <v>¿Presente?</v>
      </c>
      <c r="G10" t="str">
        <f t="shared" si="1"/>
        <v/>
      </c>
    </row>
    <row r="11" spans="1:7">
      <c r="A11" s="454" t="str">
        <f>'Paso 2-Energía'!A18</f>
        <v>Uso de gas natural o limpio</v>
      </c>
      <c r="B11">
        <v>3.7316770186335403E-5</v>
      </c>
      <c r="C11">
        <f t="shared" si="2"/>
        <v>10</v>
      </c>
      <c r="D11" s="588">
        <f t="shared" si="0"/>
        <v>3.7316770186335404E-4</v>
      </c>
      <c r="E11" s="592">
        <f>IF(ISNUMBER(D11),D11*'Paso 1-Datos del país'!$B$6,"SKIP")</f>
        <v>0</v>
      </c>
      <c r="F11" s="596" t="str">
        <f>IF('Nivel 1-Resumen entradas de Hg'!E10="","",'Nivel 1-Resumen entradas de Hg'!E10)</f>
        <v>¿Presente?</v>
      </c>
      <c r="G11" t="str">
        <f t="shared" si="1"/>
        <v/>
      </c>
    </row>
    <row r="12" spans="1:7">
      <c r="A12" s="454" t="str">
        <f>'Paso 2-Energía'!A19</f>
        <v>Uso de gas por cañería (calidad de consumo)</v>
      </c>
      <c r="B12">
        <v>3.066424807808586E-6</v>
      </c>
      <c r="C12" s="316">
        <v>100</v>
      </c>
      <c r="D12" s="588">
        <f t="shared" si="0"/>
        <v>3.0664248078085858E-4</v>
      </c>
      <c r="E12" s="592">
        <f>IF(ISNUMBER(D12),D12*'Paso 1-Datos del país'!$B$6,"SKIP")</f>
        <v>0</v>
      </c>
      <c r="F12" s="596" t="str">
        <f>IF('Nivel 1-Resumen entradas de Hg'!E11="","",'Nivel 1-Resumen entradas de Hg'!E11)</f>
        <v>¿Presente?</v>
      </c>
      <c r="G12" t="str">
        <f t="shared" si="1"/>
        <v/>
      </c>
    </row>
    <row r="13" spans="1:7">
      <c r="A13" s="454" t="str">
        <f>'Paso 2-Energía'!A20</f>
        <v>Energía y producción de calor de biomasa</v>
      </c>
      <c r="B13">
        <v>2.1352177849016704E-5</v>
      </c>
      <c r="C13">
        <f t="shared" si="2"/>
        <v>10</v>
      </c>
      <c r="D13" s="588">
        <f t="shared" si="0"/>
        <v>2.1352177849016704E-4</v>
      </c>
      <c r="E13" s="592">
        <f>IF(ISNUMBER(D13),D13*'Paso 1-Datos del país'!$B$6,"SKIP")</f>
        <v>0</v>
      </c>
      <c r="F13" s="596" t="str">
        <f>IF('Nivel 1-Resumen entradas de Hg'!E12="","",'Nivel 1-Resumen entradas de Hg'!E12)</f>
        <v>¿Presente?</v>
      </c>
      <c r="G13" t="str">
        <f t="shared" si="1"/>
        <v/>
      </c>
    </row>
    <row r="14" spans="1:7">
      <c r="A14" s="454" t="str">
        <f>'Paso 2-Energía'!A21</f>
        <v>Combustión de carbón vegetal</v>
      </c>
      <c r="B14">
        <v>2.6555239118131514E-5</v>
      </c>
      <c r="C14">
        <f t="shared" si="2"/>
        <v>10</v>
      </c>
      <c r="D14" s="588">
        <f t="shared" si="0"/>
        <v>2.6555239118131516E-4</v>
      </c>
      <c r="E14" s="592">
        <f>IF(ISNUMBER(D14),D14*'Paso 1-Datos del país'!$B$6,"SKIP")</f>
        <v>0</v>
      </c>
      <c r="F14" s="596" t="str">
        <f>IF('Nivel 1-Resumen entradas de Hg'!E13="","",'Nivel 1-Resumen entradas de Hg'!E13)</f>
        <v>¿Presente?</v>
      </c>
      <c r="G14" t="str">
        <f t="shared" si="1"/>
        <v/>
      </c>
    </row>
    <row r="15" spans="1:7" ht="13">
      <c r="A15" s="394" t="str">
        <f>'Paso 2-Energía'!A23</f>
        <v>Producción de combustible</v>
      </c>
      <c r="B15">
        <v>0</v>
      </c>
      <c r="C15">
        <f t="shared" si="2"/>
        <v>10</v>
      </c>
      <c r="D15" s="588">
        <f t="shared" si="0"/>
        <v>0</v>
      </c>
      <c r="E15" s="592">
        <f>IF(ISNUMBER(D15),D15*'Paso 1-Datos del país'!$B$6,"SKIP")</f>
        <v>0</v>
      </c>
      <c r="F15" s="596" t="str">
        <f>IF('Nivel 1-Resumen entradas de Hg'!E14="","",'Nivel 1-Resumen entradas de Hg'!E14)</f>
        <v/>
      </c>
      <c r="G15" t="str">
        <f t="shared" si="1"/>
        <v/>
      </c>
    </row>
    <row r="16" spans="1:7">
      <c r="A16" s="454" t="str">
        <f>'Paso 2-Energía'!A24</f>
        <v>Extracción de petróleo</v>
      </c>
      <c r="B16">
        <v>5.112380952380952E-4</v>
      </c>
      <c r="C16">
        <f t="shared" si="2"/>
        <v>10</v>
      </c>
      <c r="D16" s="588">
        <f t="shared" si="0"/>
        <v>5.1123809523809516E-3</v>
      </c>
      <c r="E16" s="592">
        <f>IF(ISNUMBER(D16),D16*'Paso 1-Datos del país'!$B$6,"SKIP")</f>
        <v>0</v>
      </c>
      <c r="F16" s="596" t="str">
        <f>IF('Nivel 1-Resumen entradas de Hg'!E15="","",'Nivel 1-Resumen entradas de Hg'!E15)</f>
        <v>¿Presente?</v>
      </c>
      <c r="G16" t="str">
        <f t="shared" si="1"/>
        <v/>
      </c>
    </row>
    <row r="17" spans="1:7">
      <c r="A17" s="454" t="str">
        <f>'Paso 2-Energía'!A25</f>
        <v>Refinación de petróleo</v>
      </c>
      <c r="B17">
        <v>1.7505590062111802E-4</v>
      </c>
      <c r="C17" s="316">
        <v>30</v>
      </c>
      <c r="D17" s="588">
        <f t="shared" si="0"/>
        <v>5.2516770186335406E-3</v>
      </c>
      <c r="E17" s="592">
        <f>IF(ISNUMBER(D17),D17*'Paso 1-Datos del país'!$B$6,"SKIP")</f>
        <v>0</v>
      </c>
      <c r="F17" s="596" t="str">
        <f>IF('Nivel 1-Resumen entradas de Hg'!E16="","",'Nivel 1-Resumen entradas de Hg'!E16)</f>
        <v>¿Presente?</v>
      </c>
      <c r="G17" t="str">
        <f t="shared" si="1"/>
        <v/>
      </c>
    </row>
    <row r="18" spans="1:7">
      <c r="A18" s="454" t="str">
        <f>'Paso 2-Energía'!A26</f>
        <v>Extracción y procesamiento de gas natural</v>
      </c>
      <c r="B18">
        <v>2.0723809523809524E-4</v>
      </c>
      <c r="C18">
        <f t="shared" si="2"/>
        <v>10</v>
      </c>
      <c r="D18" s="588">
        <f t="shared" si="0"/>
        <v>2.0723809523809523E-3</v>
      </c>
      <c r="E18" s="592">
        <f>IF(ISNUMBER(D18),D18*'Paso 1-Datos del país'!$B$6,"SKIP")</f>
        <v>0</v>
      </c>
      <c r="F18" s="596" t="str">
        <f>IF('Nivel 1-Resumen entradas de Hg'!E17="","",'Nivel 1-Resumen entradas de Hg'!E17)</f>
        <v>¿Presente?</v>
      </c>
      <c r="G18" t="str">
        <f t="shared" si="1"/>
        <v/>
      </c>
    </row>
    <row r="19" spans="1:7" ht="13">
      <c r="A19" s="394" t="str">
        <f>'Paso 3-Metales-Materias primas'!A5</f>
        <v>Producción de metales primarios</v>
      </c>
      <c r="B19">
        <v>0</v>
      </c>
      <c r="C19">
        <f t="shared" si="2"/>
        <v>10</v>
      </c>
      <c r="D19" s="588">
        <f t="shared" si="0"/>
        <v>0</v>
      </c>
      <c r="E19" s="592">
        <f>IF(ISNUMBER(D19),D19*'Paso 1-Datos del país'!$B$6,"SKIP")</f>
        <v>0</v>
      </c>
      <c r="F19" s="596" t="str">
        <f>IF('Nivel 1-Resumen entradas de Hg'!E18="","",'Nivel 1-Resumen entradas de Hg'!E18)</f>
        <v/>
      </c>
      <c r="G19" t="str">
        <f t="shared" si="1"/>
        <v/>
      </c>
    </row>
    <row r="20" spans="1:7" ht="14.5">
      <c r="A20" s="585" t="str">
        <f>'Paso 3-Metales-Materias primas'!A6</f>
        <v>Extracción (primaria) de mercurio y procesamiento inicial</v>
      </c>
      <c r="B20">
        <v>4.9587833629833274E-2</v>
      </c>
      <c r="C20">
        <f t="shared" si="2"/>
        <v>10</v>
      </c>
      <c r="D20" s="588">
        <f t="shared" si="0"/>
        <v>0.49587833629833272</v>
      </c>
      <c r="E20" s="592">
        <f>IF(ISNUMBER(D20),D20*'Paso 1-Datos del país'!$B$6,"SKIP")</f>
        <v>0</v>
      </c>
      <c r="F20" s="596" t="str">
        <f>IF('Nivel 1-Resumen entradas de Hg'!E19="","",'Nivel 1-Resumen entradas de Hg'!E19)</f>
        <v>¿Presente?</v>
      </c>
      <c r="G20" t="str">
        <f t="shared" si="1"/>
        <v/>
      </c>
    </row>
    <row r="21" spans="1:7">
      <c r="A21" s="454" t="str">
        <f>'Paso 3-Metales-Materias primas'!A7</f>
        <v>Producción de zinc a partir de concentrados</v>
      </c>
      <c r="B21">
        <v>4.7096817600753547E-4</v>
      </c>
      <c r="C21" s="316">
        <v>200</v>
      </c>
      <c r="D21" s="588">
        <f t="shared" si="0"/>
        <v>9.41936352015071E-2</v>
      </c>
      <c r="E21" s="592">
        <f>IF(ISNUMBER(D21),D21*'Paso 1-Datos del país'!$B$6,"SKIP")</f>
        <v>0</v>
      </c>
      <c r="F21" s="596" t="str">
        <f>IF('Nivel 1-Resumen entradas de Hg'!E20="","",'Nivel 1-Resumen entradas de Hg'!E20)</f>
        <v>¿Presente?</v>
      </c>
      <c r="G21" t="str">
        <f t="shared" si="1"/>
        <v/>
      </c>
    </row>
    <row r="22" spans="1:7">
      <c r="A22" s="454" t="str">
        <f>'Paso 3-Metales-Materias primas'!A10</f>
        <v>Producción de cobre a partir de concentrados</v>
      </c>
      <c r="B22">
        <v>1.1711757298861753E-2</v>
      </c>
      <c r="C22">
        <f t="shared" si="2"/>
        <v>10</v>
      </c>
      <c r="D22" s="588">
        <f t="shared" si="0"/>
        <v>0.11711757298861752</v>
      </c>
      <c r="E22" s="592">
        <f>IF(ISNUMBER(D22),D22*'Paso 1-Datos del país'!$B$6,"SKIP")</f>
        <v>0</v>
      </c>
      <c r="F22" s="596" t="str">
        <f>IF('Nivel 1-Resumen entradas de Hg'!E21="","",'Nivel 1-Resumen entradas de Hg'!E21)</f>
        <v>¿Presente?</v>
      </c>
      <c r="G22" t="str">
        <f t="shared" si="1"/>
        <v/>
      </c>
    </row>
    <row r="23" spans="1:7">
      <c r="A23" s="454" t="str">
        <f>'Paso 3-Metales-Materias primas'!A13</f>
        <v>Producción de plomo a partir de concentrados</v>
      </c>
      <c r="B23">
        <v>4.5302653120724842E-4</v>
      </c>
      <c r="C23" s="316">
        <v>200</v>
      </c>
      <c r="D23" s="588">
        <f t="shared" si="0"/>
        <v>9.060530624144969E-2</v>
      </c>
      <c r="E23" s="592">
        <f>IF(ISNUMBER(D23),D23*'Paso 1-Datos del país'!$B$6,"SKIP")</f>
        <v>0</v>
      </c>
      <c r="F23" s="596" t="str">
        <f>IF('Nivel 1-Resumen entradas de Hg'!E22="","",'Nivel 1-Resumen entradas de Hg'!E22)</f>
        <v>¿Presente?</v>
      </c>
      <c r="G23" t="str">
        <f t="shared" si="1"/>
        <v/>
      </c>
    </row>
    <row r="24" spans="1:7" ht="25">
      <c r="A24" s="454" t="str">
        <f>'Paso 3-Metales-Materias primas'!A16</f>
        <v>Extracción de oro por métodos distintos a la amalgamación de mercurio</v>
      </c>
      <c r="B24">
        <v>0.19547223276627479</v>
      </c>
      <c r="C24">
        <f t="shared" si="2"/>
        <v>10</v>
      </c>
      <c r="D24" s="588">
        <f t="shared" si="0"/>
        <v>1.9547223276627479</v>
      </c>
      <c r="E24" s="592">
        <f>IF(ISNUMBER(D24),D24*'Paso 1-Datos del país'!$B$6,"SKIP")</f>
        <v>0</v>
      </c>
      <c r="F24" s="596" t="str">
        <f>IF('Nivel 1-Resumen entradas de Hg'!E23="","",'Nivel 1-Resumen entradas de Hg'!E23)</f>
        <v>¿Presente?</v>
      </c>
      <c r="G24" t="str">
        <f t="shared" si="1"/>
        <v/>
      </c>
    </row>
    <row r="25" spans="1:7" ht="25">
      <c r="A25" s="454" t="str">
        <f>'Paso 3-Metales-Materias primas'!A17</f>
        <v>Producción de alúmina a partir de bauxita (producción de aluminio)</v>
      </c>
      <c r="B25">
        <v>1.024066800980033E-5</v>
      </c>
      <c r="C25">
        <f t="shared" si="2"/>
        <v>10</v>
      </c>
      <c r="D25" s="588">
        <f t="shared" si="0"/>
        <v>1.024066800980033E-4</v>
      </c>
      <c r="E25" s="592">
        <f>IF(ISNUMBER(D25),D25*'Paso 1-Datos del país'!$B$6,"SKIP")</f>
        <v>0</v>
      </c>
      <c r="F25" s="596" t="str">
        <f>IF('Nivel 1-Resumen entradas de Hg'!E24="","",'Nivel 1-Resumen entradas de Hg'!E24)</f>
        <v>¿Presente?</v>
      </c>
      <c r="G25" t="str">
        <f t="shared" si="1"/>
        <v/>
      </c>
    </row>
    <row r="26" spans="1:7" ht="25">
      <c r="A26" s="454" t="str">
        <f>'Paso 3-Metales-Materias primas'!A18</f>
        <v>Producción primaria de metal ferroso (producción de arrabio)</v>
      </c>
      <c r="B26">
        <v>6.6708080643022112E-5</v>
      </c>
      <c r="C26">
        <f t="shared" si="2"/>
        <v>10</v>
      </c>
      <c r="D26" s="588">
        <f t="shared" si="0"/>
        <v>6.6708080643022112E-4</v>
      </c>
      <c r="E26" s="592">
        <f>IF(ISNUMBER(D26),D26*'Paso 1-Datos del país'!$B$6,"SKIP")</f>
        <v>0</v>
      </c>
      <c r="F26" s="596" t="str">
        <f>IF('Nivel 1-Resumen entradas de Hg'!E25="","",'Nivel 1-Resumen entradas de Hg'!E25)</f>
        <v>¿Presente?</v>
      </c>
      <c r="G26" t="str">
        <f t="shared" si="1"/>
        <v/>
      </c>
    </row>
    <row r="27" spans="1:7" ht="25">
      <c r="A27" s="454" t="str">
        <f>'Paso 3-Metales-Materias primas'!A19</f>
        <v>Extracción de oro con amalgamación de mercurio -  a partir del mineral entero (mineral en bruto)</v>
      </c>
      <c r="B27">
        <v>1.0861473345961381E-3</v>
      </c>
      <c r="C27">
        <f t="shared" si="2"/>
        <v>10</v>
      </c>
      <c r="D27" s="588">
        <f t="shared" si="0"/>
        <v>1.0861473345961381E-2</v>
      </c>
      <c r="E27" s="592">
        <f>IF(ISNUMBER(D27),D27*'Paso 1-Datos del país'!$B$6,"SKIP")</f>
        <v>0</v>
      </c>
      <c r="F27" s="596" t="str">
        <f>IF('Nivel 1-Resumen entradas de Hg'!E26="","",'Nivel 1-Resumen entradas de Hg'!E26)</f>
        <v>¿Presente?</v>
      </c>
      <c r="G27" t="str">
        <f t="shared" si="1"/>
        <v/>
      </c>
    </row>
    <row r="28" spans="1:7" ht="25">
      <c r="A28" s="454" t="str">
        <f>'Paso 3-Metales-Materias primas'!A22</f>
        <v>Extracción de oro con amalgamación de mercurio - a partir de concentrados</v>
      </c>
      <c r="B28">
        <v>6.50839232784204E-10</v>
      </c>
      <c r="C28" s="316">
        <v>1000000</v>
      </c>
      <c r="D28" s="588">
        <f t="shared" si="0"/>
        <v>6.5083923278420398E-4</v>
      </c>
      <c r="E28" s="592">
        <f>IF(ISNUMBER(D28),D28*'Paso 1-Datos del país'!$B$6,"SKIP")</f>
        <v>0</v>
      </c>
      <c r="F28" s="596" t="str">
        <f>IF('Nivel 1-Resumen entradas de Hg'!E27="","",'Nivel 1-Resumen entradas de Hg'!E27)</f>
        <v>¿Presente?</v>
      </c>
      <c r="G28" t="str">
        <f t="shared" si="1"/>
        <v/>
      </c>
    </row>
    <row r="29" spans="1:7" ht="13">
      <c r="A29" s="394" t="str">
        <f>'Paso 3-Metales-Materias primas'!A25</f>
        <v>Producción de otros materiales</v>
      </c>
      <c r="B29">
        <v>0</v>
      </c>
      <c r="C29">
        <f t="shared" si="2"/>
        <v>10</v>
      </c>
      <c r="D29" s="588">
        <f t="shared" si="0"/>
        <v>0</v>
      </c>
      <c r="E29" s="592">
        <f>IF(ISNUMBER(D29),D29*'Paso 1-Datos del país'!$B$6,"SKIP")</f>
        <v>0</v>
      </c>
      <c r="F29" s="596" t="str">
        <f>IF('Nivel 1-Resumen entradas de Hg'!E28="","",'Nivel 1-Resumen entradas de Hg'!E28)</f>
        <v/>
      </c>
      <c r="G29" t="str">
        <f t="shared" si="1"/>
        <v/>
      </c>
    </row>
    <row r="30" spans="1:7">
      <c r="A30" s="454" t="str">
        <f>'Paso 3-Metales-Materias primas'!A26</f>
        <v>Producción de cemento</v>
      </c>
      <c r="B30">
        <v>4.1647022787699354E-4</v>
      </c>
      <c r="C30">
        <f t="shared" si="2"/>
        <v>10</v>
      </c>
      <c r="D30" s="588">
        <f t="shared" si="0"/>
        <v>4.1647022787699352E-3</v>
      </c>
      <c r="E30" s="592">
        <f>IF(ISNUMBER(D30),D30*'Paso 1-Datos del país'!$B$6,"SKIP")</f>
        <v>0</v>
      </c>
      <c r="F30" s="596" t="str">
        <f>IF('Nivel 1-Resumen entradas de Hg'!E29="","",'Nivel 1-Resumen entradas de Hg'!E29)</f>
        <v>¿Presente?</v>
      </c>
      <c r="G30" t="str">
        <f t="shared" si="1"/>
        <v/>
      </c>
    </row>
    <row r="31" spans="1:7">
      <c r="A31" s="454" t="str">
        <f>'Paso 3-Metales-Materias primas'!A31</f>
        <v>Producción de pasta y papel</v>
      </c>
      <c r="B31">
        <v>2.1555240695590912E-6</v>
      </c>
      <c r="C31">
        <f t="shared" si="2"/>
        <v>10</v>
      </c>
      <c r="D31" s="588">
        <f t="shared" si="0"/>
        <v>2.1555240695590913E-5</v>
      </c>
      <c r="E31" s="592">
        <f>IF(ISNUMBER(D31),D31*'Paso 1-Datos del país'!$B$6,"SKIP")</f>
        <v>0</v>
      </c>
      <c r="F31" s="596" t="str">
        <f>IF('Nivel 1-Resumen entradas de Hg'!E30="","",'Nivel 1-Resumen entradas de Hg'!E30)</f>
        <v>¿Presente?</v>
      </c>
      <c r="G31" t="str">
        <f t="shared" si="1"/>
        <v/>
      </c>
    </row>
    <row r="32" spans="1:7" ht="13">
      <c r="A32" s="394" t="str">
        <f>'Paso 4-Uso industrial de Hg'!A4</f>
        <v>Producción de productos químicos</v>
      </c>
      <c r="B32">
        <v>0</v>
      </c>
      <c r="C32">
        <f t="shared" si="2"/>
        <v>10</v>
      </c>
      <c r="D32" s="588">
        <f t="shared" si="0"/>
        <v>0</v>
      </c>
      <c r="E32" s="592">
        <f>IF(ISNUMBER(D32),D32*'Paso 1-Datos del país'!$B$6,"SKIP")</f>
        <v>0</v>
      </c>
      <c r="F32" s="596" t="str">
        <f>IF('Nivel 1-Resumen entradas de Hg'!E31="","",'Nivel 1-Resumen entradas de Hg'!E31)</f>
        <v/>
      </c>
      <c r="G32" t="str">
        <f t="shared" si="1"/>
        <v/>
      </c>
    </row>
    <row r="33" spans="1:7">
      <c r="A33" s="454" t="str">
        <f>'Paso 4-Uso industrial de Hg'!A5</f>
        <v>Producción de cloro-álcali con celdas de mercurio</v>
      </c>
      <c r="B33">
        <v>1.2788374205267939E-4</v>
      </c>
      <c r="C33">
        <f t="shared" si="2"/>
        <v>10</v>
      </c>
      <c r="D33" s="588">
        <f t="shared" si="0"/>
        <v>1.2788374205267938E-3</v>
      </c>
      <c r="E33" s="592">
        <f>IF(ISNUMBER(D33),D33*'Paso 1-Datos del país'!$B$6,"SKIP")</f>
        <v>0</v>
      </c>
      <c r="F33" s="596" t="str">
        <f>IF('Nivel 1-Resumen entradas de Hg'!E32="","",'Nivel 1-Resumen entradas de Hg'!E32)</f>
        <v>¿Presente?</v>
      </c>
      <c r="G33" t="str">
        <f t="shared" si="1"/>
        <v/>
      </c>
    </row>
    <row r="34" spans="1:7" ht="14.5">
      <c r="A34" s="585" t="str">
        <f>'Paso 4-Uso industrial de Hg'!A6</f>
        <v>Producción de CVM con catalizador de mercurio</v>
      </c>
      <c r="B34">
        <v>1.0916327136237051E-4</v>
      </c>
      <c r="C34" s="316">
        <v>200</v>
      </c>
      <c r="D34" s="588">
        <f t="shared" si="0"/>
        <v>2.1832654272474102E-2</v>
      </c>
      <c r="E34" s="592">
        <f>IF(ISNUMBER(D34),D34*'Paso 1-Datos del país'!$B$6,"SKIP")</f>
        <v>0</v>
      </c>
      <c r="F34" s="596" t="str">
        <f>IF('Nivel 1-Resumen entradas de Hg'!E33="","",'Nivel 1-Resumen entradas de Hg'!E33)</f>
        <v>¿Presente?</v>
      </c>
      <c r="G34" t="str">
        <f t="shared" si="1"/>
        <v/>
      </c>
    </row>
    <row r="35" spans="1:7" ht="14.5">
      <c r="A35" s="585" t="str">
        <f>'Paso 4-Uso industrial de Hg'!A7</f>
        <v>Producción de acetaldehído con catalizador de mercurio</v>
      </c>
      <c r="B35" s="587" t="s">
        <v>705</v>
      </c>
      <c r="C35">
        <f t="shared" si="2"/>
        <v>10</v>
      </c>
      <c r="D35" s="588" t="str">
        <f>IF(ISNUMBER(B35),B35*C35,"SKIP")</f>
        <v>SKIP</v>
      </c>
      <c r="E35" s="592" t="str">
        <f>IF(ISNUMBER(D35),D35*'Paso 1-Datos del país'!$B$6,"SKIP")</f>
        <v>SKIP</v>
      </c>
      <c r="F35" s="596" t="str">
        <f>IF('Nivel 1-Resumen entradas de Hg'!E34="","",'Nivel 1-Resumen entradas de Hg'!E34)</f>
        <v>¿Presente?</v>
      </c>
      <c r="G35" t="str">
        <f t="shared" si="1"/>
        <v/>
      </c>
    </row>
    <row r="36" spans="1:7" ht="13">
      <c r="A36" s="394" t="str">
        <f>'Paso 4-Uso industrial de Hg'!A9</f>
        <v>Producción de productos con contenido de mercurio</v>
      </c>
      <c r="B36" s="587"/>
      <c r="C36">
        <f t="shared" si="2"/>
        <v>10</v>
      </c>
      <c r="D36" s="588" t="str">
        <f t="shared" ref="D36:D73" si="3">IF(ISNUMBER(B36),B36*C36,"SKIP")</f>
        <v>SKIP</v>
      </c>
      <c r="E36" s="592" t="str">
        <f>IF(ISNUMBER(D36),D36*'Paso 1-Datos del país'!$B$6,"SKIP")</f>
        <v>SKIP</v>
      </c>
      <c r="F36" s="596" t="str">
        <f>IF('Nivel 1-Resumen entradas de Hg'!E35="","",'Nivel 1-Resumen entradas de Hg'!E35)</f>
        <v/>
      </c>
      <c r="G36" t="str">
        <f t="shared" si="1"/>
        <v/>
      </c>
    </row>
    <row r="37" spans="1:7" ht="29">
      <c r="A37" s="585" t="str">
        <f>'Paso 4-Uso industrial de Hg'!A10</f>
        <v xml:space="preserve">Termómetros de Hg (médicos, atmosféricos, de laboratorio, industriales, etc.) </v>
      </c>
      <c r="B37" s="593">
        <f>B40</f>
        <v>1.0046862845014277E-4</v>
      </c>
      <c r="C37">
        <f t="shared" si="2"/>
        <v>10</v>
      </c>
      <c r="D37" s="588">
        <f t="shared" si="3"/>
        <v>1.0046862845014277E-3</v>
      </c>
      <c r="E37" s="592">
        <f>IF(ISNUMBER(D37),D37*'Paso 1-Datos del país'!$B$6,"SKIP")</f>
        <v>0</v>
      </c>
      <c r="F37" s="596" t="str">
        <f>IF('Nivel 1-Resumen entradas de Hg'!E36="","",'Nivel 1-Resumen entradas de Hg'!E36)</f>
        <v>¿Presente?</v>
      </c>
      <c r="G37" t="str">
        <f t="shared" si="1"/>
        <v/>
      </c>
    </row>
    <row r="38" spans="1:7" ht="14.5">
      <c r="A38" s="585" t="str">
        <f>'Paso 4-Uso industrial de Hg'!A11</f>
        <v xml:space="preserve">Conmutadores eléctricos y relés con mercurio </v>
      </c>
      <c r="B38" s="593">
        <f>B40</f>
        <v>1.0046862845014277E-4</v>
      </c>
      <c r="C38">
        <f t="shared" si="2"/>
        <v>10</v>
      </c>
      <c r="D38" s="588">
        <f t="shared" si="3"/>
        <v>1.0046862845014277E-3</v>
      </c>
      <c r="E38" s="592">
        <f>IF(ISNUMBER(D38),D38*'Paso 1-Datos del país'!$B$6,"SKIP")</f>
        <v>0</v>
      </c>
      <c r="F38" s="596" t="str">
        <f>IF('Nivel 1-Resumen entradas de Hg'!E37="","",'Nivel 1-Resumen entradas de Hg'!E37)</f>
        <v>¿Presente?</v>
      </c>
      <c r="G38" t="str">
        <f t="shared" si="1"/>
        <v/>
      </c>
    </row>
    <row r="39" spans="1:7" ht="25">
      <c r="A39" s="454" t="str">
        <f>'Paso 4-Uso industrial de Hg'!A12</f>
        <v xml:space="preserve">Fuentes lumínicas con mercurio (fluorescentes, compactas, otras: ver pauta) </v>
      </c>
      <c r="B39">
        <v>2.4752475247524754E-7</v>
      </c>
      <c r="C39" s="316">
        <v>1000</v>
      </c>
      <c r="D39" s="588">
        <f t="shared" si="3"/>
        <v>2.4752475247524753E-4</v>
      </c>
      <c r="E39" s="592">
        <f>IF(ISNUMBER(D39),D39*'Paso 1-Datos del país'!$B$6,"SKIP")</f>
        <v>0</v>
      </c>
      <c r="F39" s="596" t="str">
        <f>IF('Nivel 1-Resumen entradas de Hg'!E38="","",'Nivel 1-Resumen entradas de Hg'!E38)</f>
        <v>¿Presente?</v>
      </c>
      <c r="G39" t="str">
        <f t="shared" si="1"/>
        <v/>
      </c>
    </row>
    <row r="40" spans="1:7">
      <c r="A40" s="454" t="str">
        <f>'Paso 4-Uso industrial de Hg'!A13</f>
        <v xml:space="preserve">Pilas con mercurio </v>
      </c>
      <c r="B40">
        <v>1.0046862845014277E-4</v>
      </c>
      <c r="C40">
        <f t="shared" si="2"/>
        <v>10</v>
      </c>
      <c r="D40" s="588">
        <f t="shared" si="3"/>
        <v>1.0046862845014277E-3</v>
      </c>
      <c r="E40" s="592">
        <f>IF(ISNUMBER(D40),D40*'Paso 1-Datos del país'!$B$6,"SKIP")</f>
        <v>0</v>
      </c>
      <c r="F40" s="596" t="str">
        <f>IF('Nivel 1-Resumen entradas de Hg'!E39="","",'Nivel 1-Resumen entradas de Hg'!E39)</f>
        <v>¿Presente?</v>
      </c>
      <c r="G40" t="str">
        <f t="shared" si="1"/>
        <v/>
      </c>
    </row>
    <row r="41" spans="1:7" ht="14.5">
      <c r="A41" s="585" t="str">
        <f>'Paso 4-Uso industrial de Hg'!A14</f>
        <v xml:space="preserve">Manómetros e indicadores con mercurio </v>
      </c>
      <c r="B41" s="594">
        <f>$B$40</f>
        <v>1.0046862845014277E-4</v>
      </c>
      <c r="C41">
        <f t="shared" si="2"/>
        <v>10</v>
      </c>
      <c r="D41" s="588">
        <f t="shared" si="3"/>
        <v>1.0046862845014277E-3</v>
      </c>
      <c r="E41" s="592">
        <f>IF(ISNUMBER(D41),D41*'Paso 1-Datos del país'!$B$6,"SKIP")</f>
        <v>0</v>
      </c>
      <c r="F41" s="596" t="str">
        <f>IF('Nivel 1-Resumen entradas de Hg'!E40="","",'Nivel 1-Resumen entradas de Hg'!E40)</f>
        <v>¿Presente?</v>
      </c>
      <c r="G41" t="str">
        <f t="shared" si="1"/>
        <v/>
      </c>
    </row>
    <row r="42" spans="1:7" ht="14.5">
      <c r="A42" s="585" t="str">
        <f>'Paso 4-Uso industrial de Hg'!A15</f>
        <v xml:space="preserve">Biocidas y pesticidas con mercurio </v>
      </c>
      <c r="B42" s="594">
        <f>$B$40</f>
        <v>1.0046862845014277E-4</v>
      </c>
      <c r="C42">
        <f t="shared" si="2"/>
        <v>10</v>
      </c>
      <c r="D42" s="588">
        <f t="shared" si="3"/>
        <v>1.0046862845014277E-3</v>
      </c>
      <c r="E42" s="592">
        <f>IF(ISNUMBER(D42),D42*'Paso 1-Datos del país'!$B$6,"SKIP")</f>
        <v>0</v>
      </c>
      <c r="F42" s="596" t="str">
        <f>IF('Nivel 1-Resumen entradas de Hg'!E41="","",'Nivel 1-Resumen entradas de Hg'!E41)</f>
        <v>¿Presente?</v>
      </c>
      <c r="G42" t="str">
        <f t="shared" si="1"/>
        <v/>
      </c>
    </row>
    <row r="43" spans="1:7">
      <c r="A43" s="454" t="str">
        <f>'Paso 4-Uso industrial de Hg'!A16</f>
        <v xml:space="preserve">Pinturas con mercurio </v>
      </c>
      <c r="B43">
        <v>2.4752475247524754E-5</v>
      </c>
      <c r="C43">
        <f t="shared" si="2"/>
        <v>10</v>
      </c>
      <c r="D43" s="588">
        <f t="shared" si="3"/>
        <v>2.4752475247524753E-4</v>
      </c>
      <c r="E43" s="592">
        <f>IF(ISNUMBER(D43),D43*'Paso 1-Datos del país'!$B$6,"SKIP")</f>
        <v>0</v>
      </c>
      <c r="F43" s="596" t="str">
        <f>IF('Nivel 1-Resumen entradas de Hg'!E42="","",'Nivel 1-Resumen entradas de Hg'!E42)</f>
        <v>¿Presente?</v>
      </c>
      <c r="G43" t="str">
        <f t="shared" si="1"/>
        <v/>
      </c>
    </row>
    <row r="44" spans="1:7" ht="25">
      <c r="A44" s="454" t="str">
        <f>'Paso 4-Uso industrial de Hg'!A17</f>
        <v xml:space="preserve">Cremas y jabones aclarantes de la piel con productos químicos con mercurio </v>
      </c>
      <c r="B44">
        <v>2.4752475247524754E-5</v>
      </c>
      <c r="C44">
        <v>10</v>
      </c>
      <c r="D44" s="588">
        <f t="shared" si="3"/>
        <v>2.4752475247524753E-4</v>
      </c>
      <c r="E44" s="592">
        <f>IF(ISNUMBER(D44),D44*'Paso 1-Datos del país'!$B$6,"SKIP")</f>
        <v>0</v>
      </c>
      <c r="F44" s="596" t="str">
        <f>IF('Nivel 1-Resumen entradas de Hg'!E43="","",'Nivel 1-Resumen entradas de Hg'!E43)</f>
        <v>¿Presente?</v>
      </c>
      <c r="G44" t="str">
        <f t="shared" si="1"/>
        <v/>
      </c>
    </row>
    <row r="45" spans="1:7" ht="13">
      <c r="A45" s="394" t="str">
        <f>'Paso 6-Prod. y sust. con Hg'!A6</f>
        <v>Uso y desecho de productos con contenido de mercurio</v>
      </c>
      <c r="B45">
        <v>0</v>
      </c>
      <c r="C45">
        <f t="shared" si="2"/>
        <v>10</v>
      </c>
      <c r="D45" s="588">
        <f t="shared" si="3"/>
        <v>0</v>
      </c>
      <c r="E45" s="592">
        <f>IF(ISNUMBER(D45),D45*'Paso 1-Datos del país'!$B$6,"SKIP")</f>
        <v>0</v>
      </c>
      <c r="F45" s="596" t="str">
        <f>IF('Nivel 1-Resumen entradas de Hg'!E44="","",'Nivel 1-Resumen entradas de Hg'!E44)</f>
        <v/>
      </c>
      <c r="G45" t="str">
        <f t="shared" si="1"/>
        <v/>
      </c>
    </row>
    <row r="46" spans="1:7" ht="13">
      <c r="A46" s="586" t="str">
        <f>'Paso 6-Prod. y sust. con Hg'!A7</f>
        <v>Empastes de amalgamas dentales (empastes de "plata")</v>
      </c>
      <c r="B46" s="587" t="s">
        <v>706</v>
      </c>
      <c r="C46">
        <f t="shared" si="2"/>
        <v>10</v>
      </c>
      <c r="D46" s="588" t="str">
        <f t="shared" si="3"/>
        <v>SKIP</v>
      </c>
      <c r="E46" s="592" t="str">
        <f>IF(ISNUMBER(D46),D46*'Paso 1-Datos del país'!$B$6,"SKIP")</f>
        <v>SKIP</v>
      </c>
      <c r="F46" s="596" t="str">
        <f>IF('Nivel 1-Resumen entradas de Hg'!E45="","",'Nivel 1-Resumen entradas de Hg'!E45)</f>
        <v>¿Presente?</v>
      </c>
      <c r="G46" t="str">
        <f t="shared" si="1"/>
        <v/>
      </c>
    </row>
    <row r="47" spans="1:7">
      <c r="A47" s="454" t="str">
        <f>'Paso 6-Prod. y sust. con Hg'!A15</f>
        <v>Termómetros</v>
      </c>
      <c r="B47">
        <v>1.322254652117067E-4</v>
      </c>
      <c r="C47">
        <f t="shared" si="2"/>
        <v>10</v>
      </c>
      <c r="D47" s="588">
        <f t="shared" si="3"/>
        <v>1.3222546521170671E-3</v>
      </c>
      <c r="E47" s="592">
        <f>IF(ISNUMBER(D47),D47*'Paso 1-Datos del país'!$B$6,"SKIP")</f>
        <v>0</v>
      </c>
      <c r="F47" s="596" t="str">
        <f>IF('Nivel 1-Resumen entradas de Hg'!E46="","",'Nivel 1-Resumen entradas de Hg'!E46)</f>
        <v>¿Presente?</v>
      </c>
      <c r="G47" t="str">
        <f t="shared" si="1"/>
        <v/>
      </c>
    </row>
    <row r="48" spans="1:7" ht="13">
      <c r="A48" s="586" t="str">
        <f>'Paso 6-Prod. y sust. con Hg'!A20</f>
        <v>Conmutadores eléctricos y relés con mercurio</v>
      </c>
      <c r="B48" s="587" t="s">
        <v>706</v>
      </c>
      <c r="C48">
        <f t="shared" si="2"/>
        <v>10</v>
      </c>
      <c r="D48" s="588" t="str">
        <f t="shared" si="3"/>
        <v>SKIP</v>
      </c>
      <c r="E48" s="592" t="str">
        <f>IF(ISNUMBER(D48),D48*'Paso 1-Datos del país'!$B$6,"SKIP")</f>
        <v>SKIP</v>
      </c>
      <c r="F48" s="596" t="str">
        <f>IF('Nivel 1-Resumen entradas de Hg'!E47="","",'Nivel 1-Resumen entradas de Hg'!E47)</f>
        <v>¿Presente?</v>
      </c>
      <c r="G48" t="str">
        <f t="shared" si="1"/>
        <v/>
      </c>
    </row>
    <row r="49" spans="1:7">
      <c r="A49" s="454" t="str">
        <f>'Paso 6-Prod. y sust. con Hg'!A23</f>
        <v>Fuentes de luz con mercurio</v>
      </c>
      <c r="B49">
        <v>1.8975883969257531E-5</v>
      </c>
      <c r="C49">
        <f t="shared" si="2"/>
        <v>10</v>
      </c>
      <c r="D49" s="588">
        <f t="shared" si="3"/>
        <v>1.8975883969257531E-4</v>
      </c>
      <c r="E49" s="592">
        <f>IF(ISNUMBER(D49),D49*'Paso 1-Datos del país'!$B$6,"SKIP")</f>
        <v>0</v>
      </c>
      <c r="F49" s="596" t="str">
        <f>IF('Nivel 1-Resumen entradas de Hg'!E48="","",'Nivel 1-Resumen entradas de Hg'!E48)</f>
        <v>¿Presente?</v>
      </c>
      <c r="G49" t="str">
        <f t="shared" si="1"/>
        <v/>
      </c>
    </row>
    <row r="50" spans="1:7">
      <c r="A50" s="281" t="str">
        <f>'Paso 6-Prod. y sust. con Hg'!A28</f>
        <v>Pilas con mercurio</v>
      </c>
      <c r="B50">
        <v>1.2791241581064613E-2</v>
      </c>
      <c r="C50">
        <f t="shared" si="2"/>
        <v>10</v>
      </c>
      <c r="D50" s="588">
        <f t="shared" si="3"/>
        <v>0.12791241581064614</v>
      </c>
      <c r="E50" s="592">
        <f>IF(ISNUMBER(D50),D50*'Paso 1-Datos del país'!$B$6,"SKIP")</f>
        <v>0</v>
      </c>
      <c r="F50" s="596" t="str">
        <f>IF('Nivel 1-Resumen entradas de Hg'!E49="","",'Nivel 1-Resumen entradas de Hg'!E49)</f>
        <v>¿Presente?</v>
      </c>
      <c r="G50" t="str">
        <f t="shared" si="1"/>
        <v/>
      </c>
    </row>
    <row r="51" spans="1:7" ht="25.5">
      <c r="A51" s="586" t="str">
        <f>'Paso 6-Prod. y sust. con Hg'!A33</f>
        <v>Poliuretano (PU, PUR) producido con catalizador de mercurio</v>
      </c>
      <c r="B51" s="587" t="s">
        <v>706</v>
      </c>
      <c r="C51">
        <f t="shared" si="2"/>
        <v>10</v>
      </c>
      <c r="D51" s="588" t="str">
        <f t="shared" si="3"/>
        <v>SKIP</v>
      </c>
      <c r="E51" s="592" t="str">
        <f>IF(ISNUMBER(D51),D51*'Paso 1-Datos del país'!$B$6,"SKIP")</f>
        <v>SKIP</v>
      </c>
      <c r="F51" s="596" t="str">
        <f>IF('Nivel 1-Resumen entradas de Hg'!E50="","",'Nivel 1-Resumen entradas de Hg'!E50)</f>
        <v>¿Presente?</v>
      </c>
      <c r="G51" t="str">
        <f t="shared" si="1"/>
        <v/>
      </c>
    </row>
    <row r="52" spans="1:7" ht="14.5">
      <c r="A52" s="595" t="str">
        <f>'Paso 6-Prod. y sust. con Hg'!A36</f>
        <v>Pinturas con conservantes de mercurio</v>
      </c>
      <c r="B52">
        <v>3.2178217821782178E-6</v>
      </c>
      <c r="C52" s="316">
        <v>30</v>
      </c>
      <c r="D52" s="588">
        <f t="shared" si="3"/>
        <v>9.6534653465346539E-5</v>
      </c>
      <c r="E52" s="592">
        <f>IF(ISNUMBER(D52),D52*'Paso 1-Datos del país'!$B$6,"SKIP")</f>
        <v>0</v>
      </c>
      <c r="F52" s="596" t="str">
        <f>IF('Nivel 1-Resumen entradas de Hg'!E51="","",'Nivel 1-Resumen entradas de Hg'!E51)</f>
        <v>¿Presente?</v>
      </c>
      <c r="G52" t="str">
        <f t="shared" si="1"/>
        <v/>
      </c>
    </row>
    <row r="53" spans="1:7" ht="29">
      <c r="A53" s="595" t="str">
        <f>'Paso 6-Prod. y sust. con Hg'!A38</f>
        <v>Cremas y jabones aclarantes de la piel con productos químicos con mercurio</v>
      </c>
      <c r="B53">
        <v>1.0332588101156864E-5</v>
      </c>
      <c r="C53">
        <v>10</v>
      </c>
      <c r="D53" s="588">
        <f t="shared" si="3"/>
        <v>1.0332588101156865E-4</v>
      </c>
      <c r="E53" s="592">
        <f>IF(ISNUMBER(D53),D53*'Paso 1-Datos del país'!$B$6,"SKIP")</f>
        <v>0</v>
      </c>
      <c r="F53" s="596" t="str">
        <f>IF('Nivel 1-Resumen entradas de Hg'!E52="","",'Nivel 1-Resumen entradas de Hg'!E52)</f>
        <v>¿Presente?</v>
      </c>
      <c r="G53" t="str">
        <f t="shared" si="1"/>
        <v/>
      </c>
    </row>
    <row r="54" spans="1:7" ht="29">
      <c r="A54" s="595" t="str">
        <f>'Paso 6-Prod. y sust. con Hg'!A40</f>
        <v>Dispositivos médicos para tomar la presión sanguínea (esfingomanómetros de mercurio)</v>
      </c>
      <c r="B54">
        <v>6.5182568191907641E-5</v>
      </c>
      <c r="C54">
        <f t="shared" si="2"/>
        <v>10</v>
      </c>
      <c r="D54" s="588">
        <f t="shared" si="3"/>
        <v>6.5182568191907641E-4</v>
      </c>
      <c r="E54" s="592">
        <f>IF(ISNUMBER(D54),D54*'Paso 1-Datos del país'!$B$6,"SKIP")</f>
        <v>0</v>
      </c>
      <c r="F54" s="596" t="str">
        <f>IF('Nivel 1-Resumen entradas de Hg'!E53="","",'Nivel 1-Resumen entradas de Hg'!E53)</f>
        <v>¿Presente?</v>
      </c>
      <c r="G54" t="str">
        <f t="shared" si="1"/>
        <v/>
      </c>
    </row>
    <row r="55" spans="1:7" ht="13">
      <c r="A55" s="586" t="str">
        <f>'Paso 6-Prod. y sust. con Hg'!A42</f>
        <v>Otros manómetros e indicadores con mercurio</v>
      </c>
      <c r="B55" s="587" t="s">
        <v>706</v>
      </c>
      <c r="C55">
        <f t="shared" si="2"/>
        <v>10</v>
      </c>
      <c r="D55" s="588" t="str">
        <f t="shared" si="3"/>
        <v>SKIP</v>
      </c>
      <c r="E55" s="592" t="str">
        <f>IF(ISNUMBER(D55),D55*'Paso 1-Datos del país'!$B$6,"SKIP")</f>
        <v>SKIP</v>
      </c>
      <c r="F55" s="596" t="str">
        <f>IF('Nivel 1-Resumen entradas de Hg'!E54="","",'Nivel 1-Resumen entradas de Hg'!E54)</f>
        <v>¿Presente?</v>
      </c>
      <c r="G55" t="str">
        <f t="shared" si="1"/>
        <v/>
      </c>
    </row>
    <row r="56" spans="1:7" ht="13">
      <c r="A56" s="586" t="str">
        <f>'Paso 6-Prod. y sust. con Hg'!A45</f>
        <v>Productos químicos de laboratorio</v>
      </c>
      <c r="B56" s="587" t="s">
        <v>706</v>
      </c>
      <c r="C56">
        <f t="shared" si="2"/>
        <v>10</v>
      </c>
      <c r="D56" s="588" t="str">
        <f t="shared" si="3"/>
        <v>SKIP</v>
      </c>
      <c r="E56" s="592" t="str">
        <f>IF(ISNUMBER(D56),D56*'Paso 1-Datos del país'!$B$6,"SKIP")</f>
        <v>SKIP</v>
      </c>
      <c r="F56" s="596" t="str">
        <f>IF('Nivel 1-Resumen entradas de Hg'!E55="","",'Nivel 1-Resumen entradas de Hg'!E55)</f>
        <v>¿Presente?</v>
      </c>
      <c r="G56" t="str">
        <f t="shared" si="1"/>
        <v/>
      </c>
    </row>
    <row r="57" spans="1:7" ht="13">
      <c r="A57" s="586" t="str">
        <f>'Paso 6-Prod. y sust. con Hg'!A48</f>
        <v xml:space="preserve">Demás equipos médicos y de laboratorio con mercurio </v>
      </c>
      <c r="B57" s="587" t="s">
        <v>706</v>
      </c>
      <c r="C57">
        <f t="shared" si="2"/>
        <v>10</v>
      </c>
      <c r="D57" s="588" t="str">
        <f t="shared" si="3"/>
        <v>SKIP</v>
      </c>
      <c r="E57" s="592" t="str">
        <f>IF(ISNUMBER(D57),D57*'Paso 1-Datos del país'!$B$6,"SKIP")</f>
        <v>SKIP</v>
      </c>
      <c r="F57" s="596" t="str">
        <f>IF('Nivel 1-Resumen entradas de Hg'!E56="","",'Nivel 1-Resumen entradas de Hg'!E56)</f>
        <v>¿Presente?</v>
      </c>
      <c r="G57" t="str">
        <f t="shared" si="1"/>
        <v/>
      </c>
    </row>
    <row r="58" spans="1:7" ht="13">
      <c r="A58" s="394" t="str">
        <f>'Paso 5-Trat.+recicl. desechos'!A8</f>
        <v>Producción de metales reciclados</v>
      </c>
      <c r="B58">
        <v>0</v>
      </c>
      <c r="C58">
        <f t="shared" si="2"/>
        <v>10</v>
      </c>
      <c r="D58" s="588">
        <f t="shared" si="3"/>
        <v>0</v>
      </c>
      <c r="E58" s="592">
        <f>IF(ISNUMBER(D58),D58*'Paso 1-Datos del país'!$B$6,"SKIP")</f>
        <v>0</v>
      </c>
      <c r="F58" s="596" t="str">
        <f>IF('Nivel 1-Resumen entradas de Hg'!E57="","",'Nivel 1-Resumen entradas de Hg'!E57)</f>
        <v/>
      </c>
      <c r="G58" t="str">
        <f t="shared" si="1"/>
        <v/>
      </c>
    </row>
    <row r="59" spans="1:7" ht="29">
      <c r="A59" s="595" t="str">
        <f>'Paso 5-Trat.+recicl. desechos'!A9</f>
        <v>Producción de mercurio reciclado ("producción secundaria")</v>
      </c>
      <c r="B59" s="594">
        <v>0.01</v>
      </c>
      <c r="C59">
        <f t="shared" si="2"/>
        <v>10</v>
      </c>
      <c r="D59" s="588">
        <f t="shared" si="3"/>
        <v>0.1</v>
      </c>
      <c r="E59" s="592">
        <f>IF(ISNUMBER(D59),D59*'Paso 1-Datos del país'!$B$6,"SKIP")</f>
        <v>0</v>
      </c>
      <c r="F59" s="596" t="str">
        <f>IF('Nivel 1-Resumen entradas de Hg'!E58="","",'Nivel 1-Resumen entradas de Hg'!E58)</f>
        <v>¿Presente?</v>
      </c>
      <c r="G59" t="str">
        <f t="shared" si="1"/>
        <v/>
      </c>
    </row>
    <row r="60" spans="1:7">
      <c r="A60" s="454" t="str">
        <f>'Paso 5-Trat.+recicl. desechos'!A10</f>
        <v>Producción de metales ferrosos reciclados (hierro y acero)</v>
      </c>
      <c r="B60">
        <v>8.9600574132633599E-6</v>
      </c>
      <c r="C60">
        <f t="shared" si="2"/>
        <v>10</v>
      </c>
      <c r="D60" s="588">
        <f t="shared" si="3"/>
        <v>8.9600574132633602E-5</v>
      </c>
      <c r="E60" s="592">
        <f>IF(ISNUMBER(D60),D60*'Paso 1-Datos del país'!$B$6,"SKIP")</f>
        <v>0</v>
      </c>
      <c r="F60" s="596" t="str">
        <f>IF('Nivel 1-Resumen entradas de Hg'!E59="","",'Nivel 1-Resumen entradas de Hg'!E59)</f>
        <v>¿Presente?</v>
      </c>
      <c r="G60" t="str">
        <f t="shared" si="1"/>
        <v/>
      </c>
    </row>
    <row r="61" spans="1:7" ht="13">
      <c r="A61" s="394" t="str">
        <f>'Paso 5-Trat.+recicl. desechos'!A12</f>
        <v>Incineración de desechos</v>
      </c>
      <c r="B61">
        <v>0</v>
      </c>
      <c r="C61">
        <f t="shared" si="2"/>
        <v>10</v>
      </c>
      <c r="D61" s="588">
        <f t="shared" si="3"/>
        <v>0</v>
      </c>
      <c r="E61" s="592">
        <f>IF(ISNUMBER(D61),D61*'Paso 1-Datos del país'!$B$6,"SKIP")</f>
        <v>0</v>
      </c>
      <c r="F61" s="596" t="str">
        <f>IF('Nivel 1-Resumen entradas de Hg'!E60="","",'Nivel 1-Resumen entradas de Hg'!E60)</f>
        <v/>
      </c>
      <c r="G61" t="str">
        <f t="shared" si="1"/>
        <v/>
      </c>
    </row>
    <row r="62" spans="1:7">
      <c r="A62" s="281" t="str">
        <f>'Paso 5-Trat.+recicl. desechos'!A13</f>
        <v>Incineración de desechos municipales o generales</v>
      </c>
      <c r="B62">
        <v>5.9929523809523809E-4</v>
      </c>
      <c r="C62">
        <f t="shared" si="2"/>
        <v>10</v>
      </c>
      <c r="D62" s="588">
        <f t="shared" si="3"/>
        <v>5.9929523809523809E-3</v>
      </c>
      <c r="E62" s="592">
        <f>IF(ISNUMBER(D62),D62*'Paso 1-Datos del país'!$B$6,"SKIP")</f>
        <v>0</v>
      </c>
      <c r="F62" s="596" t="str">
        <f>IF('Nivel 1-Resumen entradas de Hg'!E61="","",'Nivel 1-Resumen entradas de Hg'!E61)</f>
        <v>¿Presente?</v>
      </c>
      <c r="G62" t="str">
        <f t="shared" si="1"/>
        <v/>
      </c>
    </row>
    <row r="63" spans="1:7">
      <c r="A63" s="281" t="str">
        <f>'Paso 5-Trat.+recicl. desechos'!A16</f>
        <v>Incineración residuos peligrosos</v>
      </c>
      <c r="B63">
        <v>2.6063225443658077E-6</v>
      </c>
      <c r="C63">
        <f t="shared" si="2"/>
        <v>10</v>
      </c>
      <c r="D63" s="588">
        <f t="shared" si="3"/>
        <v>2.6063225443658077E-5</v>
      </c>
      <c r="E63" s="592">
        <f>IF(ISNUMBER(D63),D63*'Paso 1-Datos del país'!$B$6,"SKIP")</f>
        <v>0</v>
      </c>
      <c r="F63" s="596" t="str">
        <f>IF('Nivel 1-Resumen entradas de Hg'!E62="","",'Nivel 1-Resumen entradas de Hg'!E62)</f>
        <v>¿Presente?</v>
      </c>
      <c r="G63" t="str">
        <f t="shared" si="1"/>
        <v/>
      </c>
    </row>
    <row r="64" spans="1:7">
      <c r="A64" s="281" t="str">
        <f>'Paso 5-Trat.+recicl. desechos'!A19</f>
        <v>Incineración y quema al aire libre de desechos médicos</v>
      </c>
      <c r="B64">
        <v>2.8364153670187712E-4</v>
      </c>
      <c r="C64">
        <f t="shared" si="2"/>
        <v>10</v>
      </c>
      <c r="D64" s="588">
        <f t="shared" si="3"/>
        <v>2.8364153670187714E-3</v>
      </c>
      <c r="E64" s="592">
        <f>IF(ISNUMBER(D64),D64*'Paso 1-Datos del país'!$B$6,"SKIP")</f>
        <v>0</v>
      </c>
      <c r="F64" s="596" t="str">
        <f>IF('Nivel 1-Resumen entradas de Hg'!E63="","",'Nivel 1-Resumen entradas de Hg'!E63)</f>
        <v>¿Presente?</v>
      </c>
      <c r="G64" t="str">
        <f t="shared" si="1"/>
        <v/>
      </c>
    </row>
    <row r="65" spans="1:7">
      <c r="A65" s="281" t="str">
        <f>'Paso 5-Trat.+recicl. desechos'!A22</f>
        <v>Incineración de lodos residuales</v>
      </c>
      <c r="B65">
        <v>9.3304259726002709E-7</v>
      </c>
      <c r="C65" s="316">
        <v>500</v>
      </c>
      <c r="D65" s="588">
        <f t="shared" si="3"/>
        <v>4.6652129863001353E-4</v>
      </c>
      <c r="E65" s="592">
        <f>IF(ISNUMBER(D65),D65*'Paso 1-Datos del país'!$B$6,"SKIP")</f>
        <v>0</v>
      </c>
      <c r="F65" s="596" t="str">
        <f>IF('Nivel 1-Resumen entradas de Hg'!E64="","",'Nivel 1-Resumen entradas de Hg'!E64)</f>
        <v>¿Presente?</v>
      </c>
      <c r="G65" t="str">
        <f t="shared" si="1"/>
        <v/>
      </c>
    </row>
    <row r="66" spans="1:7" ht="25">
      <c r="A66" s="281" t="str">
        <f>'Paso 5-Trat.+recicl. desechos'!A23</f>
        <v>Quema al aire libre de desechos (en vertederos y de manera informal)</v>
      </c>
      <c r="B66">
        <v>9.3446066668161803E-4</v>
      </c>
      <c r="C66">
        <f t="shared" si="2"/>
        <v>10</v>
      </c>
      <c r="D66" s="588">
        <f t="shared" si="3"/>
        <v>9.3446066668161805E-3</v>
      </c>
      <c r="E66" s="592">
        <f>IF(ISNUMBER(D66),D66*'Paso 1-Datos del país'!$B$6,"SKIP")</f>
        <v>0</v>
      </c>
      <c r="F66" s="596" t="str">
        <f>IF('Nivel 1-Resumen entradas de Hg'!E65="","",'Nivel 1-Resumen entradas de Hg'!E65)</f>
        <v>¿Presente?</v>
      </c>
      <c r="G66" t="str">
        <f t="shared" si="1"/>
        <v/>
      </c>
    </row>
    <row r="67" spans="1:7" ht="26">
      <c r="A67" s="394" t="str">
        <f>'Paso 5-Trat.+recicl. desechos'!A25</f>
        <v>Depósito/vertido de desechos y tratamiento de aguas residuales</v>
      </c>
      <c r="B67">
        <v>0</v>
      </c>
      <c r="C67">
        <f t="shared" si="2"/>
        <v>10</v>
      </c>
      <c r="D67" s="588">
        <f t="shared" si="3"/>
        <v>0</v>
      </c>
      <c r="E67" s="592">
        <f>IF(ISNUMBER(D67),D67*'Paso 1-Datos del país'!$B$6,"SKIP")</f>
        <v>0</v>
      </c>
      <c r="F67" s="596" t="str">
        <f>IF('Nivel 1-Resumen entradas de Hg'!E66="","",'Nivel 1-Resumen entradas de Hg'!E66)</f>
        <v/>
      </c>
      <c r="G67" t="str">
        <f t="shared" si="1"/>
        <v/>
      </c>
    </row>
    <row r="68" spans="1:7">
      <c r="A68" s="281" t="str">
        <f>'Paso 5-Trat.+recicl. desechos'!A26</f>
        <v>Vertederos o depósitos controlados</v>
      </c>
      <c r="B68">
        <v>1.9986314970413459E-3</v>
      </c>
      <c r="C68">
        <f t="shared" si="2"/>
        <v>10</v>
      </c>
      <c r="D68" s="588">
        <f t="shared" si="3"/>
        <v>1.9986314970413459E-2</v>
      </c>
      <c r="E68" s="592">
        <f>IF(ISNUMBER(D68),D68*'Paso 1-Datos del país'!$B$6,"SKIP")</f>
        <v>0</v>
      </c>
      <c r="F68" s="596" t="str">
        <f>IF('Nivel 1-Resumen entradas de Hg'!E67="","",'Nivel 1-Resumen entradas de Hg'!E67)</f>
        <v>¿Presente?</v>
      </c>
      <c r="G68" t="str">
        <f t="shared" si="1"/>
        <v/>
      </c>
    </row>
    <row r="69" spans="1:7">
      <c r="A69" s="281" t="str">
        <f>'Paso 5-Trat.+recicl. desechos'!A27</f>
        <v>Vertido informal de desechos generales *1</v>
      </c>
      <c r="B69">
        <v>9.9247027755450983E-4</v>
      </c>
      <c r="C69">
        <f t="shared" si="2"/>
        <v>10</v>
      </c>
      <c r="D69" s="588">
        <f t="shared" si="3"/>
        <v>9.9247027755450974E-3</v>
      </c>
      <c r="E69" s="592">
        <f>IF(ISNUMBER(D69),D69*'Paso 1-Datos del país'!$B$6,"SKIP")</f>
        <v>0</v>
      </c>
      <c r="F69" s="596" t="str">
        <f>IF('Nivel 1-Resumen entradas de Hg'!E68="","",'Nivel 1-Resumen entradas de Hg'!E68)</f>
        <v>¿Presente?</v>
      </c>
      <c r="G69" t="str">
        <f t="shared" si="1"/>
        <v/>
      </c>
    </row>
    <row r="70" spans="1:7">
      <c r="A70" s="281" t="str">
        <f>'Paso 5-Trat.+recicl. desechos'!A29</f>
        <v>Sistema/tratamiento de aguas residuales</v>
      </c>
      <c r="B70">
        <v>5.0556280289187523E-3</v>
      </c>
      <c r="C70">
        <f t="shared" si="2"/>
        <v>10</v>
      </c>
      <c r="D70" s="588">
        <f t="shared" si="3"/>
        <v>5.0556280289187523E-2</v>
      </c>
      <c r="E70" s="592">
        <f>IF(ISNUMBER(D70),D70*'Paso 1-Datos del país'!$B$6,"SKIP")</f>
        <v>0</v>
      </c>
      <c r="F70" s="596" t="str">
        <f>IF('Nivel 1-Resumen entradas de Hg'!E69="","",'Nivel 1-Resumen entradas de Hg'!E69)</f>
        <v>¿Presente?</v>
      </c>
      <c r="G70" t="str">
        <f t="shared" si="1"/>
        <v/>
      </c>
    </row>
    <row r="71" spans="1:7" ht="13">
      <c r="A71" s="394" t="str">
        <f>'Paso 7-Crematorios-cementerios'!A4</f>
        <v>Crematorios y cementerios</v>
      </c>
      <c r="B71">
        <v>0</v>
      </c>
      <c r="C71">
        <f t="shared" si="2"/>
        <v>10</v>
      </c>
      <c r="D71" s="588">
        <f t="shared" si="3"/>
        <v>0</v>
      </c>
      <c r="E71" s="592">
        <f>IF(ISNUMBER(D71),D71*'Paso 1-Datos del país'!$B$6,"SKIP")</f>
        <v>0</v>
      </c>
      <c r="F71" s="596" t="str">
        <f>IF('Nivel 1-Resumen entradas de Hg'!E70="","",'Nivel 1-Resumen entradas de Hg'!E70)</f>
        <v/>
      </c>
      <c r="G71" t="str">
        <f t="shared" si="1"/>
        <v/>
      </c>
    </row>
    <row r="72" spans="1:7">
      <c r="A72" s="454" t="str">
        <f>'Paso 7-Crematorios-cementerios'!A5</f>
        <v>Crematorios</v>
      </c>
      <c r="B72">
        <v>8.347890611714873E-6</v>
      </c>
      <c r="C72" s="316">
        <v>100</v>
      </c>
      <c r="D72" s="588">
        <f t="shared" si="3"/>
        <v>8.3478906117148732E-4</v>
      </c>
      <c r="E72" s="592">
        <f>IF(ISNUMBER(D72),D72*'Paso 1-Datos del país'!$B$6,"SKIP")</f>
        <v>0</v>
      </c>
      <c r="F72" s="596" t="str">
        <f>IF('Nivel 1-Resumen entradas de Hg'!E71="","",'Nivel 1-Resumen entradas de Hg'!E71)</f>
        <v>¿Presente?</v>
      </c>
      <c r="G72" t="str">
        <f>IF(ISNUMBER(F72),IF(F72&lt;E72,"y","n"),"")</f>
        <v/>
      </c>
    </row>
    <row r="73" spans="1:7">
      <c r="A73" s="454" t="str">
        <f>'Paso 7-Crematorios-cementerios'!A6</f>
        <v>Cementerios</v>
      </c>
      <c r="B73">
        <v>2.3823640052987485E-4</v>
      </c>
      <c r="C73">
        <f>$C$3</f>
        <v>10</v>
      </c>
      <c r="D73" s="588">
        <f t="shared" si="3"/>
        <v>2.3823640052987485E-3</v>
      </c>
      <c r="E73" s="592">
        <f>IF(ISNUMBER(D73),D73*'Paso 1-Datos del país'!$B$6,"SKIP")</f>
        <v>0</v>
      </c>
      <c r="F73" s="596" t="str">
        <f>IF('Nivel 1-Resumen entradas de Hg'!E72="","",'Nivel 1-Resumen entradas de Hg'!E72)</f>
        <v>¿Presente?</v>
      </c>
      <c r="G73" t="str">
        <f>IF(ISNUMBER(F73),IF(F73&lt;E73,"y","n"),"")</f>
        <v/>
      </c>
    </row>
  </sheetData>
  <pageMargins left="0.7" right="0.7" top="0.75" bottom="0.75" header="0.3" footer="0.3"/>
  <pageSetup paperSize="9" orientation="portrait" r:id="rId1"/>
  <legacy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1"/>
  <dimension ref="A1:Y131"/>
  <sheetViews>
    <sheetView workbookViewId="0">
      <selection activeCell="B16" sqref="B16"/>
    </sheetView>
  </sheetViews>
  <sheetFormatPr defaultColWidth="8.81640625" defaultRowHeight="12.5"/>
  <cols>
    <col min="1" max="1" width="39.6328125" customWidth="1"/>
    <col min="2" max="2" width="15.6328125" customWidth="1"/>
    <col min="3" max="3" width="28.6328125" customWidth="1"/>
    <col min="4" max="4" width="19.453125" customWidth="1"/>
    <col min="5" max="5" width="19" customWidth="1"/>
    <col min="6" max="6" width="12.1796875" customWidth="1"/>
    <col min="7" max="7" width="15" customWidth="1"/>
    <col min="8" max="8" width="61.6328125" customWidth="1"/>
    <col min="9" max="25" width="9.1796875" style="339"/>
  </cols>
  <sheetData>
    <row r="1" spans="1:8" s="339" customFormat="1" ht="13">
      <c r="A1" s="356" t="s">
        <v>1033</v>
      </c>
    </row>
    <row r="2" spans="1:8" s="339" customFormat="1">
      <c r="A2" s="543" t="s">
        <v>1034</v>
      </c>
    </row>
    <row r="3" spans="1:8" s="339" customFormat="1">
      <c r="A3" s="602" t="s">
        <v>1035</v>
      </c>
    </row>
    <row r="4" spans="1:8" s="339" customFormat="1">
      <c r="A4" s="602" t="s">
        <v>1036</v>
      </c>
    </row>
    <row r="5" spans="1:8" s="339" customFormat="1">
      <c r="A5" s="602" t="s">
        <v>1037</v>
      </c>
    </row>
    <row r="6" spans="1:8" s="339" customFormat="1"/>
    <row r="7" spans="1:8" ht="65.5" thickBot="1">
      <c r="A7" s="265" t="s">
        <v>1038</v>
      </c>
      <c r="B7" s="744" t="s">
        <v>1042</v>
      </c>
      <c r="C7" s="744" t="s">
        <v>1043</v>
      </c>
      <c r="D7" s="559" t="s">
        <v>1044</v>
      </c>
      <c r="E7" s="744" t="s">
        <v>1045</v>
      </c>
      <c r="F7" s="744" t="s">
        <v>1046</v>
      </c>
      <c r="G7" s="744" t="s">
        <v>1047</v>
      </c>
      <c r="H7" s="681" t="s">
        <v>1048</v>
      </c>
    </row>
    <row r="8" spans="1:8">
      <c r="A8" s="263" t="s">
        <v>1039</v>
      </c>
      <c r="B8" s="562"/>
      <c r="C8" s="748" t="s">
        <v>1234</v>
      </c>
      <c r="D8" s="560">
        <f>B8*F8</f>
        <v>0</v>
      </c>
      <c r="E8" s="748" t="s">
        <v>1049</v>
      </c>
      <c r="F8" s="748">
        <v>25600</v>
      </c>
      <c r="G8" s="681" t="s">
        <v>1050</v>
      </c>
      <c r="H8" s="681" t="s">
        <v>1051</v>
      </c>
    </row>
    <row r="9" spans="1:8">
      <c r="A9" s="263" t="s">
        <v>1040</v>
      </c>
      <c r="B9" s="563"/>
      <c r="C9" s="748" t="s">
        <v>1234</v>
      </c>
      <c r="D9" s="560">
        <f>B9*F9</f>
        <v>0</v>
      </c>
      <c r="E9" s="748" t="s">
        <v>1049</v>
      </c>
      <c r="F9" s="748">
        <v>25600</v>
      </c>
      <c r="G9" s="681" t="s">
        <v>1050</v>
      </c>
      <c r="H9" s="681"/>
    </row>
    <row r="10" spans="1:8">
      <c r="A10" s="263" t="s">
        <v>1041</v>
      </c>
      <c r="B10" s="563"/>
      <c r="C10" s="748" t="s">
        <v>1235</v>
      </c>
      <c r="D10" s="560">
        <f>B10*F10</f>
        <v>0</v>
      </c>
      <c r="E10" s="748" t="s">
        <v>1052</v>
      </c>
      <c r="F10" s="748">
        <v>25600</v>
      </c>
      <c r="G10" s="681" t="s">
        <v>1050</v>
      </c>
      <c r="H10" s="681"/>
    </row>
    <row r="11" spans="1:8">
      <c r="A11" s="263"/>
      <c r="B11" s="563"/>
      <c r="C11" s="748"/>
      <c r="D11" s="560"/>
      <c r="E11" s="748"/>
      <c r="F11" s="748"/>
      <c r="G11" s="681"/>
      <c r="H11" s="681"/>
    </row>
    <row r="12" spans="1:8" ht="16" customHeight="1">
      <c r="A12" s="263" t="s">
        <v>888</v>
      </c>
      <c r="B12" s="564"/>
      <c r="C12" s="748" t="s">
        <v>1236</v>
      </c>
      <c r="D12" s="560">
        <f>B12*F12</f>
        <v>0</v>
      </c>
      <c r="E12" s="748" t="s">
        <v>1053</v>
      </c>
      <c r="F12" s="754">
        <v>1.9</v>
      </c>
      <c r="G12" s="681" t="s">
        <v>1054</v>
      </c>
      <c r="H12" s="681" t="s">
        <v>1055</v>
      </c>
    </row>
    <row r="13" spans="1:8" ht="16" customHeight="1">
      <c r="A13" s="263" t="s">
        <v>892</v>
      </c>
      <c r="B13" s="564"/>
      <c r="C13" s="748" t="s">
        <v>1237</v>
      </c>
      <c r="D13" s="560">
        <f>B13*F13</f>
        <v>0</v>
      </c>
      <c r="E13" s="748" t="s">
        <v>1053</v>
      </c>
      <c r="F13" s="748">
        <v>3.58</v>
      </c>
      <c r="G13" s="681" t="s">
        <v>1056</v>
      </c>
      <c r="H13" s="681" t="s">
        <v>1055</v>
      </c>
    </row>
    <row r="14" spans="1:8" ht="16" customHeight="1">
      <c r="A14" s="263" t="s">
        <v>893</v>
      </c>
      <c r="B14" s="564"/>
      <c r="C14" s="748" t="s">
        <v>1238</v>
      </c>
      <c r="D14" s="560">
        <f>B14*F14</f>
        <v>0</v>
      </c>
      <c r="E14" s="748" t="s">
        <v>1053</v>
      </c>
      <c r="F14" s="748">
        <v>2.5</v>
      </c>
      <c r="G14" s="681" t="s">
        <v>1057</v>
      </c>
      <c r="H14" s="681" t="s">
        <v>1055</v>
      </c>
    </row>
    <row r="15" spans="1:8" ht="43" customHeight="1">
      <c r="A15" s="263" t="s">
        <v>894</v>
      </c>
      <c r="B15" s="564"/>
      <c r="C15" s="748" t="s">
        <v>1239</v>
      </c>
      <c r="D15" s="560">
        <f>1000000*B15/F15</f>
        <v>0</v>
      </c>
      <c r="E15" s="681" t="s">
        <v>1058</v>
      </c>
      <c r="F15" s="803">
        <v>1.18</v>
      </c>
      <c r="G15" s="681" t="s">
        <v>1247</v>
      </c>
      <c r="H15" s="681" t="s">
        <v>1248</v>
      </c>
    </row>
    <row r="16" spans="1:8" ht="53" customHeight="1">
      <c r="A16" s="674" t="s">
        <v>895</v>
      </c>
      <c r="B16" s="564"/>
      <c r="C16" s="681" t="s">
        <v>1240</v>
      </c>
      <c r="D16" s="560">
        <f>B16*F16</f>
        <v>0</v>
      </c>
      <c r="E16" s="748" t="s">
        <v>1059</v>
      </c>
      <c r="F16" s="748">
        <f>(3.8+4.7)/2</f>
        <v>4.25</v>
      </c>
      <c r="G16" s="681" t="s">
        <v>1060</v>
      </c>
      <c r="H16" s="681" t="s">
        <v>1055</v>
      </c>
    </row>
    <row r="17" spans="1:8">
      <c r="A17" s="368"/>
      <c r="B17" s="564"/>
      <c r="C17" s="345"/>
      <c r="D17" s="560"/>
      <c r="E17" s="345"/>
      <c r="F17" s="345"/>
      <c r="G17" s="541"/>
      <c r="H17" s="541"/>
    </row>
    <row r="18" spans="1:8" ht="15" customHeight="1">
      <c r="A18" s="758" t="s">
        <v>908</v>
      </c>
      <c r="B18" s="564"/>
      <c r="C18" s="680" t="s">
        <v>1067</v>
      </c>
      <c r="D18" s="560">
        <f>B18*F18</f>
        <v>0</v>
      </c>
      <c r="E18" s="680" t="s">
        <v>909</v>
      </c>
      <c r="F18" s="345">
        <v>0.88600000000000001</v>
      </c>
      <c r="G18" s="681" t="s">
        <v>772</v>
      </c>
      <c r="H18" s="541" t="s">
        <v>773</v>
      </c>
    </row>
    <row r="19" spans="1:8">
      <c r="A19" s="368"/>
      <c r="B19" s="564"/>
      <c r="C19" s="355"/>
      <c r="D19" s="561"/>
      <c r="E19" s="355"/>
      <c r="F19" s="355"/>
      <c r="G19" s="542"/>
      <c r="H19" s="541"/>
    </row>
    <row r="20" spans="1:8" ht="25">
      <c r="A20" s="603" t="s">
        <v>962</v>
      </c>
      <c r="B20" s="755"/>
      <c r="C20" s="748" t="s">
        <v>1061</v>
      </c>
      <c r="D20" s="756">
        <f>B20/F20</f>
        <v>0</v>
      </c>
      <c r="E20" s="748" t="s">
        <v>1062</v>
      </c>
      <c r="F20" s="355">
        <v>1.4999999999999999E-2</v>
      </c>
      <c r="G20" s="681" t="s">
        <v>1063</v>
      </c>
      <c r="H20" s="681" t="s">
        <v>1064</v>
      </c>
    </row>
    <row r="21" spans="1:8" ht="25">
      <c r="A21" s="603" t="s">
        <v>975</v>
      </c>
      <c r="B21" s="755"/>
      <c r="C21" s="748" t="s">
        <v>1061</v>
      </c>
      <c r="D21" s="756">
        <f>B21/F21</f>
        <v>0</v>
      </c>
      <c r="E21" s="748" t="s">
        <v>1062</v>
      </c>
      <c r="F21" s="355">
        <v>0.2</v>
      </c>
      <c r="G21" s="681" t="s">
        <v>1063</v>
      </c>
      <c r="H21" s="681" t="s">
        <v>1065</v>
      </c>
    </row>
    <row r="22" spans="1:8" ht="25.5" thickBot="1">
      <c r="A22" s="603" t="s">
        <v>976</v>
      </c>
      <c r="B22" s="757"/>
      <c r="C22" s="748" t="s">
        <v>1061</v>
      </c>
      <c r="D22" s="756">
        <f>B22/F22</f>
        <v>0</v>
      </c>
      <c r="E22" s="748" t="s">
        <v>1062</v>
      </c>
      <c r="F22" s="355">
        <v>0.05</v>
      </c>
      <c r="G22" s="681" t="s">
        <v>1063</v>
      </c>
      <c r="H22" s="681" t="s">
        <v>1066</v>
      </c>
    </row>
    <row r="23" spans="1:8" s="370" customFormat="1">
      <c r="A23" s="565"/>
      <c r="B23" s="566"/>
      <c r="E23" s="371"/>
      <c r="G23" s="567"/>
      <c r="H23" s="565"/>
    </row>
    <row r="24" spans="1:8" s="370" customFormat="1">
      <c r="A24" s="565"/>
      <c r="B24" s="566"/>
      <c r="E24" s="371"/>
      <c r="G24" s="567"/>
      <c r="H24" s="565"/>
    </row>
    <row r="25" spans="1:8" s="370" customFormat="1">
      <c r="A25" s="565"/>
      <c r="B25" s="566"/>
      <c r="E25" s="371"/>
      <c r="G25" s="567"/>
      <c r="H25" s="565"/>
    </row>
    <row r="26" spans="1:8" s="370" customFormat="1">
      <c r="A26" s="565"/>
      <c r="B26" s="566"/>
      <c r="E26" s="371"/>
      <c r="G26" s="567"/>
      <c r="H26" s="565"/>
    </row>
    <row r="27" spans="1:8" s="370" customFormat="1">
      <c r="A27" s="565"/>
      <c r="B27" s="566"/>
      <c r="E27" s="371"/>
      <c r="G27" s="567"/>
      <c r="H27" s="565"/>
    </row>
    <row r="28" spans="1:8" s="370" customFormat="1">
      <c r="B28" s="566"/>
      <c r="E28" s="371"/>
      <c r="G28" s="567"/>
      <c r="H28" s="565"/>
    </row>
    <row r="29" spans="1:8" s="370" customFormat="1">
      <c r="B29" s="566"/>
      <c r="E29" s="371"/>
      <c r="G29" s="567"/>
      <c r="H29" s="565"/>
    </row>
    <row r="30" spans="1:8" s="370" customFormat="1">
      <c r="B30" s="566"/>
      <c r="E30" s="371"/>
      <c r="G30" s="567"/>
      <c r="H30" s="565"/>
    </row>
    <row r="31" spans="1:8" s="370" customFormat="1">
      <c r="A31" s="565"/>
      <c r="B31" s="566"/>
      <c r="E31" s="371"/>
      <c r="G31" s="567"/>
      <c r="H31" s="565"/>
    </row>
    <row r="32" spans="1:8" s="370" customFormat="1">
      <c r="A32" s="565"/>
      <c r="B32" s="566"/>
      <c r="E32" s="371"/>
      <c r="G32" s="567"/>
      <c r="H32" s="565"/>
    </row>
    <row r="33" spans="1:8" s="370" customFormat="1">
      <c r="A33" s="565"/>
      <c r="B33" s="568"/>
      <c r="C33" s="569"/>
      <c r="D33" s="570"/>
      <c r="E33" s="571"/>
      <c r="F33" s="572"/>
      <c r="G33" s="573"/>
      <c r="H33" s="572"/>
    </row>
    <row r="34" spans="1:8" s="370" customFormat="1">
      <c r="A34" s="565"/>
      <c r="B34" s="568"/>
      <c r="C34" s="569"/>
      <c r="D34" s="570"/>
      <c r="E34" s="571"/>
      <c r="F34" s="574"/>
      <c r="G34" s="575"/>
      <c r="H34" s="572"/>
    </row>
    <row r="35" spans="1:8" s="370" customFormat="1">
      <c r="A35" s="565"/>
      <c r="E35" s="576"/>
      <c r="F35" s="574"/>
      <c r="G35" s="573"/>
      <c r="H35" s="573"/>
    </row>
    <row r="36" spans="1:8" s="370" customFormat="1">
      <c r="A36" s="565"/>
      <c r="B36" s="568"/>
      <c r="C36" s="569"/>
      <c r="D36" s="570"/>
      <c r="E36" s="571"/>
      <c r="F36" s="574"/>
      <c r="G36" s="575"/>
      <c r="H36" s="572"/>
    </row>
    <row r="37" spans="1:8" s="370" customFormat="1">
      <c r="A37" s="565"/>
      <c r="B37" s="568"/>
      <c r="C37" s="569"/>
      <c r="D37" s="570"/>
      <c r="E37" s="571"/>
      <c r="F37" s="574"/>
      <c r="G37" s="574"/>
      <c r="H37" s="572"/>
    </row>
    <row r="38" spans="1:8" s="370" customFormat="1">
      <c r="A38" s="565"/>
      <c r="B38" s="568"/>
      <c r="C38" s="568"/>
      <c r="D38" s="570"/>
      <c r="E38" s="571"/>
      <c r="F38" s="574"/>
      <c r="G38" s="574"/>
      <c r="H38" s="572"/>
    </row>
    <row r="39" spans="1:8" s="370" customFormat="1">
      <c r="A39" s="565"/>
      <c r="B39" s="568"/>
      <c r="C39" s="569"/>
      <c r="D39" s="570"/>
      <c r="E39" s="577"/>
      <c r="F39" s="574"/>
      <c r="G39" s="574"/>
      <c r="H39" s="572"/>
    </row>
    <row r="40" spans="1:8" s="370" customFormat="1">
      <c r="A40" s="565"/>
      <c r="B40" s="568"/>
      <c r="C40" s="569"/>
      <c r="D40" s="570"/>
      <c r="E40" s="571"/>
      <c r="F40" s="574"/>
      <c r="G40" s="574"/>
      <c r="H40" s="572"/>
    </row>
    <row r="41" spans="1:8" s="370" customFormat="1">
      <c r="A41" s="565"/>
      <c r="B41" s="568"/>
      <c r="C41" s="569"/>
      <c r="D41" s="570"/>
      <c r="E41" s="571"/>
      <c r="F41" s="574"/>
      <c r="G41" s="572"/>
      <c r="H41" s="573"/>
    </row>
    <row r="42" spans="1:8" s="370" customFormat="1">
      <c r="A42" s="565"/>
      <c r="B42" s="568"/>
      <c r="C42" s="569"/>
      <c r="D42" s="570"/>
      <c r="E42" s="571"/>
      <c r="F42" s="574"/>
      <c r="G42" s="574"/>
      <c r="H42" s="573"/>
    </row>
    <row r="43" spans="1:8" s="370" customFormat="1">
      <c r="A43" s="565"/>
      <c r="B43" s="568"/>
      <c r="C43" s="569"/>
      <c r="D43" s="570"/>
      <c r="E43" s="571"/>
      <c r="F43" s="574"/>
      <c r="G43" s="574"/>
      <c r="H43" s="573"/>
    </row>
    <row r="44" spans="1:8" s="370" customFormat="1">
      <c r="A44" s="565"/>
      <c r="B44" s="568"/>
      <c r="C44" s="569"/>
      <c r="D44" s="570"/>
      <c r="E44" s="571"/>
      <c r="F44" s="574"/>
      <c r="G44" s="574"/>
      <c r="H44" s="573"/>
    </row>
    <row r="45" spans="1:8" s="370" customFormat="1">
      <c r="A45" s="565"/>
      <c r="B45" s="568"/>
      <c r="C45" s="568"/>
      <c r="D45" s="570"/>
      <c r="E45" s="568"/>
      <c r="F45" s="574"/>
      <c r="G45" s="574"/>
      <c r="H45" s="573"/>
    </row>
    <row r="46" spans="1:8" s="370" customFormat="1">
      <c r="A46" s="565"/>
      <c r="B46" s="568"/>
      <c r="C46" s="569"/>
      <c r="D46" s="570"/>
      <c r="E46" s="568"/>
      <c r="F46" s="574"/>
      <c r="G46" s="574"/>
      <c r="H46" s="573"/>
    </row>
    <row r="47" spans="1:8" s="370" customFormat="1">
      <c r="A47" s="578"/>
      <c r="F47" s="572"/>
      <c r="G47" s="572"/>
      <c r="H47" s="572"/>
    </row>
    <row r="48" spans="1:8" s="370" customFormat="1">
      <c r="A48" s="565"/>
      <c r="B48" s="568"/>
      <c r="C48" s="568"/>
      <c r="D48" s="579"/>
      <c r="E48" s="568"/>
      <c r="F48" s="574"/>
      <c r="G48" s="574"/>
      <c r="H48" s="572"/>
    </row>
    <row r="49" spans="1:8" s="370" customFormat="1">
      <c r="A49" s="565"/>
      <c r="B49" s="568"/>
      <c r="C49" s="568"/>
      <c r="D49" s="579"/>
      <c r="E49" s="568"/>
      <c r="F49" s="574"/>
      <c r="G49" s="574"/>
      <c r="H49" s="572"/>
    </row>
    <row r="50" spans="1:8" s="370" customFormat="1">
      <c r="A50" s="565"/>
      <c r="B50" s="568"/>
      <c r="C50" s="568"/>
      <c r="D50" s="579"/>
      <c r="E50" s="568"/>
      <c r="F50" s="574"/>
      <c r="G50" s="574"/>
      <c r="H50" s="574"/>
    </row>
    <row r="51" spans="1:8" s="370" customFormat="1">
      <c r="A51" s="565"/>
      <c r="B51" s="568"/>
      <c r="C51" s="568"/>
      <c r="D51" s="579"/>
      <c r="E51" s="568"/>
      <c r="F51" s="574"/>
      <c r="G51" s="574"/>
      <c r="H51" s="572"/>
    </row>
    <row r="52" spans="1:8" s="370" customFormat="1">
      <c r="A52" s="565"/>
      <c r="B52" s="568"/>
      <c r="C52" s="568"/>
      <c r="D52" s="579"/>
      <c r="E52" s="568"/>
      <c r="F52" s="574"/>
      <c r="G52" s="574"/>
      <c r="H52" s="572"/>
    </row>
    <row r="53" spans="1:8" s="370" customFormat="1">
      <c r="A53" s="565"/>
      <c r="B53" s="568"/>
      <c r="C53" s="568"/>
      <c r="D53" s="579"/>
      <c r="E53" s="568"/>
      <c r="F53" s="574"/>
      <c r="G53" s="574"/>
      <c r="H53" s="572"/>
    </row>
    <row r="54" spans="1:8" s="370" customFormat="1">
      <c r="A54" s="565"/>
      <c r="B54" s="568"/>
      <c r="C54" s="568"/>
      <c r="D54" s="579"/>
      <c r="E54" s="568"/>
      <c r="F54" s="574"/>
      <c r="G54" s="574"/>
      <c r="H54" s="572"/>
    </row>
    <row r="55" spans="1:8" s="370" customFormat="1">
      <c r="A55" s="565"/>
      <c r="B55" s="568"/>
      <c r="C55" s="568"/>
      <c r="D55" s="579"/>
      <c r="E55" s="568"/>
      <c r="F55" s="574"/>
      <c r="G55" s="574"/>
      <c r="H55" s="572"/>
    </row>
    <row r="56" spans="1:8" s="370" customFormat="1">
      <c r="A56" s="565"/>
      <c r="B56" s="568"/>
      <c r="C56" s="569"/>
      <c r="D56" s="570"/>
      <c r="E56" s="568"/>
      <c r="F56" s="574"/>
      <c r="G56" s="580"/>
      <c r="H56" s="573"/>
    </row>
    <row r="57" spans="1:8" s="370" customFormat="1">
      <c r="A57" s="565"/>
      <c r="B57" s="568"/>
      <c r="C57" s="568"/>
      <c r="D57" s="579"/>
      <c r="E57" s="568"/>
      <c r="F57" s="574"/>
      <c r="G57" s="574"/>
      <c r="H57" s="572"/>
    </row>
    <row r="58" spans="1:8" s="370" customFormat="1">
      <c r="A58" s="578"/>
      <c r="F58" s="572"/>
      <c r="G58" s="572"/>
      <c r="H58" s="572"/>
    </row>
    <row r="59" spans="1:8" s="370" customFormat="1">
      <c r="A59" s="565"/>
      <c r="B59" s="568"/>
      <c r="C59" s="568"/>
      <c r="D59" s="579"/>
      <c r="E59" s="568"/>
      <c r="F59" s="574"/>
      <c r="G59" s="574"/>
      <c r="H59" s="572"/>
    </row>
    <row r="60" spans="1:8" s="370" customFormat="1">
      <c r="A60" s="565"/>
      <c r="B60" s="568"/>
      <c r="C60" s="568"/>
      <c r="D60" s="579"/>
      <c r="E60" s="568"/>
      <c r="F60" s="574"/>
      <c r="G60" s="574"/>
      <c r="H60" s="572"/>
    </row>
    <row r="61" spans="1:8" s="370" customFormat="1">
      <c r="A61" s="565"/>
      <c r="B61" s="568"/>
      <c r="C61" s="568"/>
      <c r="D61" s="579"/>
      <c r="E61" s="568"/>
      <c r="F61" s="574"/>
      <c r="G61" s="574"/>
      <c r="H61" s="572"/>
    </row>
    <row r="62" spans="1:8" s="370" customFormat="1">
      <c r="A62" s="565"/>
      <c r="B62" s="568"/>
      <c r="C62" s="568"/>
      <c r="D62" s="579"/>
      <c r="E62" s="568"/>
      <c r="F62" s="574"/>
      <c r="G62" s="574"/>
      <c r="H62" s="572"/>
    </row>
    <row r="63" spans="1:8" s="370" customFormat="1">
      <c r="A63" s="565"/>
      <c r="F63" s="572"/>
      <c r="G63" s="572"/>
      <c r="H63" s="572"/>
    </row>
    <row r="64" spans="1:8" s="370" customFormat="1">
      <c r="A64" s="565"/>
      <c r="B64" s="568"/>
      <c r="C64" s="568"/>
      <c r="D64" s="579"/>
      <c r="E64" s="568"/>
      <c r="F64" s="574"/>
      <c r="G64" s="574"/>
      <c r="H64" s="572"/>
    </row>
    <row r="65" spans="1:8" s="370" customFormat="1">
      <c r="A65" s="565"/>
      <c r="B65" s="568"/>
      <c r="C65" s="568"/>
      <c r="D65" s="579"/>
      <c r="E65" s="568"/>
      <c r="F65" s="574"/>
      <c r="G65" s="574"/>
      <c r="H65" s="572"/>
    </row>
    <row r="66" spans="1:8" s="370" customFormat="1">
      <c r="A66" s="565"/>
      <c r="B66" s="568"/>
      <c r="C66" s="568"/>
      <c r="D66" s="579"/>
      <c r="E66" s="568"/>
      <c r="F66" s="574"/>
      <c r="G66" s="574"/>
      <c r="H66" s="572"/>
    </row>
    <row r="67" spans="1:8" s="370" customFormat="1">
      <c r="A67" s="565"/>
      <c r="B67" s="568"/>
      <c r="C67" s="569"/>
      <c r="D67" s="570"/>
      <c r="E67" s="568"/>
      <c r="F67" s="574"/>
      <c r="G67" s="580"/>
      <c r="H67" s="573"/>
    </row>
    <row r="68" spans="1:8" s="370" customFormat="1">
      <c r="A68" s="565"/>
      <c r="F68" s="572"/>
      <c r="G68" s="572"/>
      <c r="H68" s="572"/>
    </row>
    <row r="69" spans="1:8" s="370" customFormat="1">
      <c r="A69" s="565"/>
      <c r="F69" s="572"/>
      <c r="G69" s="572"/>
      <c r="H69" s="572"/>
    </row>
    <row r="70" spans="1:8" s="370" customFormat="1">
      <c r="A70" s="581"/>
      <c r="F70" s="572"/>
      <c r="G70" s="572"/>
      <c r="H70" s="572"/>
    </row>
    <row r="71" spans="1:8" s="370" customFormat="1">
      <c r="A71" s="581"/>
      <c r="F71" s="572"/>
      <c r="G71" s="572"/>
      <c r="H71" s="572"/>
    </row>
    <row r="72" spans="1:8" s="370" customFormat="1">
      <c r="A72" s="565"/>
      <c r="B72" s="371"/>
      <c r="C72" s="568"/>
      <c r="D72" s="579"/>
      <c r="E72" s="568"/>
      <c r="F72" s="574"/>
      <c r="G72" s="574"/>
      <c r="H72" s="572"/>
    </row>
    <row r="73" spans="1:8" s="370" customFormat="1">
      <c r="A73" s="565"/>
      <c r="B73" s="568"/>
      <c r="C73" s="568"/>
      <c r="D73" s="579"/>
      <c r="E73" s="568"/>
      <c r="F73" s="574"/>
      <c r="G73" s="574"/>
      <c r="H73" s="572"/>
    </row>
    <row r="74" spans="1:8" s="370" customFormat="1">
      <c r="A74" s="565"/>
      <c r="B74" s="371"/>
      <c r="F74" s="574"/>
      <c r="G74" s="574"/>
      <c r="H74" s="572"/>
    </row>
    <row r="75" spans="1:8" s="370" customFormat="1">
      <c r="A75" s="565"/>
      <c r="B75" s="371"/>
      <c r="F75" s="574"/>
      <c r="G75" s="574"/>
      <c r="H75" s="572"/>
    </row>
    <row r="76" spans="1:8" s="370" customFormat="1">
      <c r="A76" s="565"/>
      <c r="B76" s="568"/>
      <c r="C76" s="569"/>
      <c r="D76" s="570"/>
      <c r="E76" s="568"/>
      <c r="F76" s="575"/>
      <c r="G76" s="582"/>
      <c r="H76" s="572"/>
    </row>
    <row r="77" spans="1:8" s="370" customFormat="1">
      <c r="A77" s="565"/>
      <c r="B77" s="568"/>
      <c r="C77" s="569"/>
      <c r="D77" s="570"/>
      <c r="E77" s="568"/>
      <c r="F77" s="574"/>
      <c r="G77" s="574"/>
      <c r="H77" s="572"/>
    </row>
    <row r="78" spans="1:8" s="370" customFormat="1">
      <c r="A78" s="565"/>
      <c r="B78" s="568"/>
      <c r="C78" s="568"/>
      <c r="D78" s="579"/>
      <c r="E78" s="568"/>
      <c r="F78" s="574"/>
      <c r="G78" s="575"/>
      <c r="H78" s="572"/>
    </row>
    <row r="79" spans="1:8" s="370" customFormat="1">
      <c r="A79" s="565"/>
      <c r="B79" s="568"/>
      <c r="C79" s="568"/>
      <c r="D79" s="579"/>
      <c r="E79" s="568"/>
      <c r="F79" s="574"/>
      <c r="G79" s="575"/>
      <c r="H79" s="572"/>
    </row>
    <row r="80" spans="1:8" s="370" customFormat="1">
      <c r="A80" s="565"/>
      <c r="B80" s="568"/>
      <c r="C80" s="568"/>
      <c r="D80" s="579"/>
      <c r="E80" s="568"/>
      <c r="F80" s="574"/>
      <c r="G80" s="575"/>
      <c r="H80" s="572"/>
    </row>
    <row r="81" spans="1:8" s="370" customFormat="1">
      <c r="A81" s="565"/>
      <c r="B81" s="568"/>
      <c r="C81" s="569"/>
      <c r="D81" s="570"/>
      <c r="E81" s="568"/>
      <c r="F81" s="574"/>
      <c r="G81" s="573"/>
      <c r="H81" s="573"/>
    </row>
    <row r="82" spans="1:8" s="370" customFormat="1">
      <c r="A82" s="581"/>
      <c r="F82" s="574"/>
      <c r="G82" s="574"/>
      <c r="H82" s="572"/>
    </row>
    <row r="83" spans="1:8" s="370" customFormat="1">
      <c r="A83" s="581"/>
      <c r="F83" s="574"/>
      <c r="G83" s="574"/>
      <c r="H83" s="572"/>
    </row>
    <row r="84" spans="1:8" s="370" customFormat="1">
      <c r="A84" s="565"/>
      <c r="B84" s="371"/>
      <c r="C84" s="568"/>
      <c r="D84" s="579"/>
      <c r="E84" s="568"/>
      <c r="F84" s="574"/>
      <c r="G84" s="574"/>
      <c r="H84" s="572"/>
    </row>
    <row r="85" spans="1:8" s="370" customFormat="1">
      <c r="A85" s="565"/>
      <c r="B85" s="371"/>
      <c r="F85" s="574"/>
      <c r="G85" s="574"/>
      <c r="H85" s="572"/>
    </row>
    <row r="86" spans="1:8" s="370" customFormat="1">
      <c r="A86" s="565"/>
      <c r="B86" s="371"/>
      <c r="F86" s="574"/>
      <c r="G86" s="574"/>
      <c r="H86" s="572"/>
    </row>
    <row r="87" spans="1:8" s="370" customFormat="1">
      <c r="A87" s="565"/>
      <c r="B87" s="371"/>
      <c r="F87" s="574"/>
      <c r="G87" s="574"/>
      <c r="H87" s="572"/>
    </row>
    <row r="88" spans="1:8" s="370" customFormat="1">
      <c r="A88" s="565"/>
      <c r="B88" s="371"/>
      <c r="F88" s="574"/>
      <c r="G88" s="574"/>
      <c r="H88" s="572"/>
    </row>
    <row r="89" spans="1:8" s="370" customFormat="1">
      <c r="A89" s="565"/>
      <c r="B89" s="568"/>
      <c r="C89" s="568"/>
      <c r="D89" s="579"/>
      <c r="E89" s="568"/>
      <c r="F89" s="574"/>
      <c r="G89" s="574"/>
      <c r="H89" s="572"/>
    </row>
    <row r="90" spans="1:8" s="370" customFormat="1">
      <c r="A90" s="565"/>
      <c r="B90" s="568"/>
      <c r="C90" s="569"/>
      <c r="D90" s="570"/>
      <c r="E90" s="568"/>
      <c r="F90" s="574"/>
      <c r="G90" s="574"/>
      <c r="H90" s="572"/>
    </row>
    <row r="91" spans="1:8" s="370" customFormat="1">
      <c r="A91" s="565"/>
      <c r="B91" s="568"/>
      <c r="C91" s="568"/>
      <c r="D91" s="579"/>
      <c r="E91" s="568"/>
      <c r="F91" s="574"/>
      <c r="G91" s="574"/>
      <c r="H91" s="572"/>
    </row>
    <row r="92" spans="1:8" s="370" customFormat="1">
      <c r="A92" s="565"/>
      <c r="B92" s="568"/>
      <c r="C92" s="569"/>
      <c r="D92" s="570"/>
      <c r="E92" s="568"/>
      <c r="F92" s="574"/>
      <c r="G92" s="573"/>
      <c r="H92" s="583"/>
    </row>
    <row r="93" spans="1:8" s="370" customFormat="1">
      <c r="A93" s="565"/>
      <c r="B93" s="371"/>
      <c r="F93" s="574"/>
      <c r="G93" s="574"/>
      <c r="H93" s="572"/>
    </row>
    <row r="94" spans="1:8" s="370" customFormat="1">
      <c r="B94" s="371"/>
      <c r="F94" s="574"/>
      <c r="G94" s="574"/>
      <c r="H94" s="572"/>
    </row>
    <row r="95" spans="1:8" s="370" customFormat="1">
      <c r="A95" s="581"/>
      <c r="B95" s="371"/>
      <c r="F95" s="574"/>
      <c r="G95" s="574"/>
      <c r="H95" s="572"/>
    </row>
    <row r="96" spans="1:8" s="370" customFormat="1">
      <c r="A96" s="581"/>
      <c r="F96" s="574"/>
      <c r="G96" s="574"/>
      <c r="H96" s="572"/>
    </row>
    <row r="97" spans="1:8" s="28" customFormat="1">
      <c r="A97" s="552"/>
      <c r="B97" s="278"/>
      <c r="C97" s="555"/>
      <c r="D97" s="558"/>
      <c r="E97" s="555"/>
      <c r="F97" s="554"/>
      <c r="G97" s="554"/>
      <c r="H97" s="553"/>
    </row>
    <row r="98" spans="1:8" s="28" customFormat="1">
      <c r="A98" s="552"/>
      <c r="B98" s="555"/>
      <c r="C98" s="555"/>
      <c r="D98" s="558"/>
      <c r="E98" s="555"/>
      <c r="F98" s="554"/>
      <c r="G98" s="554"/>
      <c r="H98" s="553"/>
    </row>
    <row r="99" spans="1:8" s="28" customFormat="1">
      <c r="A99" s="552"/>
      <c r="B99" s="278"/>
      <c r="F99" s="554"/>
      <c r="G99" s="554"/>
      <c r="H99" s="553"/>
    </row>
    <row r="100" spans="1:8" s="28" customFormat="1">
      <c r="A100" s="552"/>
      <c r="B100" s="555"/>
      <c r="C100" s="555"/>
      <c r="D100" s="558"/>
      <c r="E100" s="555"/>
      <c r="F100" s="554"/>
      <c r="G100" s="554"/>
      <c r="H100" s="553"/>
    </row>
    <row r="101" spans="1:8" s="28" customFormat="1">
      <c r="F101" s="554"/>
      <c r="G101" s="554"/>
      <c r="H101" s="553"/>
    </row>
    <row r="102" spans="1:8" s="28" customFormat="1">
      <c r="A102" s="552"/>
      <c r="B102" s="555"/>
      <c r="C102" s="555"/>
      <c r="D102" s="558"/>
      <c r="E102" s="555"/>
      <c r="F102" s="554"/>
      <c r="G102" s="554"/>
      <c r="H102" s="553"/>
    </row>
    <row r="103" spans="1:8" s="28" customFormat="1">
      <c r="A103" s="552"/>
      <c r="B103" s="555"/>
      <c r="C103" s="555"/>
      <c r="D103" s="558"/>
      <c r="E103" s="555"/>
      <c r="F103" s="554"/>
      <c r="G103" s="554"/>
      <c r="H103" s="553"/>
    </row>
    <row r="104" spans="1:8" s="28" customFormat="1">
      <c r="A104" s="552"/>
      <c r="B104" s="555"/>
      <c r="C104" s="555"/>
      <c r="D104" s="558"/>
      <c r="E104" s="555"/>
      <c r="F104" s="554"/>
      <c r="G104" s="554"/>
      <c r="H104" s="553"/>
    </row>
    <row r="105" spans="1:8" s="28" customFormat="1">
      <c r="A105" s="552"/>
      <c r="B105" s="555"/>
      <c r="C105" s="556"/>
      <c r="D105" s="557"/>
      <c r="E105" s="555"/>
      <c r="F105" s="554"/>
      <c r="G105" s="553"/>
      <c r="H105" s="447"/>
    </row>
    <row r="106" spans="1:8" s="28" customFormat="1"/>
    <row r="107" spans="1:8" s="28" customFormat="1"/>
    <row r="108" spans="1:8" s="3" customFormat="1"/>
    <row r="109" spans="1:8" s="3" customFormat="1"/>
    <row r="110" spans="1:8" s="3" customFormat="1"/>
    <row r="111" spans="1:8" s="3" customFormat="1"/>
    <row r="112" spans="1:8" s="3" customFormat="1"/>
    <row r="113" s="3" customFormat="1"/>
    <row r="114" s="3" customFormat="1"/>
    <row r="115" s="3" customFormat="1"/>
    <row r="116" s="3" customFormat="1"/>
    <row r="117" s="3" customFormat="1"/>
    <row r="118" s="3" customFormat="1"/>
    <row r="119" s="3" customFormat="1"/>
    <row r="120" s="3" customFormat="1"/>
    <row r="121" s="339" customFormat="1"/>
    <row r="122" s="339" customFormat="1"/>
    <row r="123" s="339" customFormat="1"/>
    <row r="124" s="339" customFormat="1"/>
    <row r="125" s="339" customFormat="1"/>
    <row r="126" s="339" customFormat="1"/>
    <row r="127" s="339" customFormat="1"/>
    <row r="128" s="339" customFormat="1"/>
    <row r="129" s="339" customFormat="1"/>
    <row r="130" s="339" customFormat="1"/>
    <row r="131" s="339" customFormat="1"/>
  </sheetData>
  <sheetProtection algorithmName="SHA-512" hashValue="4ItVVd3EIQYTw2HjAehviT6QnPo2L6/6sqhdELA9k26siUj5pboueND/eIl5cKL94Y76GYfNYetGf0MTVZO41g==" saltValue="SVwOyHONK/rSHroz99hlFQ==" spinCount="100000" sheet="1" objects="1" scenarios="1"/>
  <pageMargins left="0.7" right="0.7" top="0.75" bottom="0.75" header="0.3" footer="0.3"/>
  <pageSetup paperSize="9" orientation="portrait" r:id="rId1"/>
  <ignoredErrors>
    <ignoredError sqref="D15" formula="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2"/>
  <dimension ref="A1:N34"/>
  <sheetViews>
    <sheetView workbookViewId="0">
      <selection activeCell="B21" sqref="B21"/>
    </sheetView>
  </sheetViews>
  <sheetFormatPr defaultColWidth="9.1796875" defaultRowHeight="12.5"/>
  <cols>
    <col min="1" max="1" width="48.36328125" style="339" customWidth="1"/>
    <col min="2" max="2" width="12" style="339" customWidth="1"/>
    <col min="3" max="3" width="10.6328125" style="339" customWidth="1"/>
    <col min="4" max="4" width="11" style="339" customWidth="1"/>
    <col min="5" max="5" width="11.1796875" style="339" customWidth="1"/>
    <col min="6" max="6" width="11.36328125" style="339" customWidth="1"/>
    <col min="7" max="7" width="10.453125" style="339" customWidth="1"/>
    <col min="8" max="8" width="14.36328125" style="339" customWidth="1"/>
    <col min="9" max="9" width="9.81640625" style="339" customWidth="1"/>
    <col min="10" max="16384" width="9.1796875" style="339"/>
  </cols>
  <sheetData>
    <row r="1" spans="1:14" ht="13">
      <c r="A1" s="356" t="s">
        <v>1073</v>
      </c>
      <c r="B1" s="356"/>
    </row>
    <row r="2" spans="1:14" s="361" customFormat="1" ht="12.75" customHeight="1">
      <c r="A2" s="263" t="s">
        <v>837</v>
      </c>
      <c r="B2" s="823" t="s">
        <v>854</v>
      </c>
      <c r="C2" s="825" t="s">
        <v>855</v>
      </c>
      <c r="D2" s="826"/>
      <c r="E2" s="826"/>
      <c r="F2" s="826"/>
      <c r="G2" s="826"/>
      <c r="H2" s="826"/>
      <c r="I2" s="827"/>
      <c r="J2" s="823" t="s">
        <v>1074</v>
      </c>
    </row>
    <row r="3" spans="1:14" ht="62.5">
      <c r="A3" s="417"/>
      <c r="B3" s="824"/>
      <c r="C3" s="269" t="s">
        <v>857</v>
      </c>
      <c r="D3" s="269" t="s">
        <v>858</v>
      </c>
      <c r="E3" s="269" t="s">
        <v>859</v>
      </c>
      <c r="F3" s="712" t="s">
        <v>860</v>
      </c>
      <c r="G3" s="712" t="s">
        <v>861</v>
      </c>
      <c r="H3" s="712" t="s">
        <v>1029</v>
      </c>
      <c r="I3" s="712" t="s">
        <v>1075</v>
      </c>
      <c r="J3" s="824"/>
    </row>
    <row r="4" spans="1:14">
      <c r="A4" s="374" t="s">
        <v>1084</v>
      </c>
      <c r="B4" s="426" t="str">
        <f>IF(OR('Nivel 1-Resumen total'!E5=pres,'Nivel 1-Resumen total'!E6=pres,'Nivel 1-Resumen total'!E7=pres),pres,SUM('Nivel 1-Resumen total'!E5:E7))</f>
        <v>¿Presente?</v>
      </c>
      <c r="C4" s="426" t="str">
        <f>IF(OR('Nivel 1-Resumen total'!F5=pres,'Nivel 1-Resumen total'!F6=pres,'Nivel 1-Resumen total'!F7=pres),pres,SUM('Nivel 1-Resumen total'!F5:F7))</f>
        <v>¿Presente?</v>
      </c>
      <c r="D4" s="426" t="str">
        <f>IF(OR('Nivel 1-Resumen total'!G5=pres,'Nivel 1-Resumen total'!G6=pres,'Nivel 1-Resumen total'!G7=pres),pres,SUM('Nivel 1-Resumen total'!G5:G7))</f>
        <v>¿Presente?</v>
      </c>
      <c r="E4" s="426" t="str">
        <f>IF(OR('Nivel 1-Resumen total'!H5=pres,'Nivel 1-Resumen total'!H6=pres,'Nivel 1-Resumen total'!H7=pres),pres,SUM('Nivel 1-Resumen total'!H5:H7))</f>
        <v>¿Presente?</v>
      </c>
      <c r="F4" s="426" t="str">
        <f>IF(OR('Nivel 1-Resumen total'!I5=pres,'Nivel 1-Resumen total'!I6=pres,'Nivel 1-Resumen total'!I7=pres),pres,SUM('Nivel 1-Resumen total'!I5:I7))</f>
        <v>¿Presente?</v>
      </c>
      <c r="G4" s="426" t="str">
        <f>IF(OR('Nivel 1-Resumen total'!J5=pres,'Nivel 1-Resumen total'!J6=pres,'Nivel 1-Resumen total'!J7=pres),pres,SUM('Nivel 1-Resumen total'!J5:J7))</f>
        <v>¿Presente?</v>
      </c>
      <c r="H4" s="426" t="str">
        <f>IF(OR('Nivel 1-Resumen total'!K5=pres,'Nivel 1-Resumen total'!K6=pres,'Nivel 1-Resumen total'!K7=pres),pres,SUM('Nivel 1-Resumen total'!K5:K7))</f>
        <v>¿Presente?</v>
      </c>
      <c r="I4" s="440">
        <f>SUM(C4:H4)</f>
        <v>0</v>
      </c>
      <c r="J4" s="472" t="e">
        <f>I4/$I$21</f>
        <v>#DIV/0!</v>
      </c>
      <c r="N4" s="456"/>
    </row>
    <row r="5" spans="1:14">
      <c r="A5" s="372" t="s">
        <v>1077</v>
      </c>
      <c r="B5" s="426" t="str">
        <f>IF(OR('Nivel 1-Resumen total'!E8=pres,'Nivel 1-Resumen total'!E9=pres,'Nivel 1-Resumen total'!E10=pres,'Nivel 1-Resumen total'!E11=pres,'Nivel 1-Resumen total'!E12=pres,'Nivel 1-Resumen total'!E13=pres),pres,SUM('Nivel 1-Resumen total'!E8:E13))</f>
        <v>¿Presente?</v>
      </c>
      <c r="C5" s="426" t="str">
        <f>IF(OR('Nivel 1-Resumen total'!F8=pres,'Nivel 1-Resumen total'!F9=pres,'Nivel 1-Resumen total'!F10=pres,'Nivel 1-Resumen total'!F11=pres,'Nivel 1-Resumen total'!F12=pres,'Nivel 1-Resumen total'!F13=pres),pres,SUM('Nivel 1-Resumen total'!F8:F13))</f>
        <v>¿Presente?</v>
      </c>
      <c r="D5" s="426" t="str">
        <f>IF(OR('Nivel 1-Resumen total'!G8=pres,'Nivel 1-Resumen total'!G9=pres,'Nivel 1-Resumen total'!G10=pres,'Nivel 1-Resumen total'!G11=pres,'Nivel 1-Resumen total'!G12=pres,'Nivel 1-Resumen total'!G13=pres),pres,SUM('Nivel 1-Resumen total'!G8:G13))</f>
        <v>¿Presente?</v>
      </c>
      <c r="E5" s="426" t="str">
        <f>IF(OR('Nivel 1-Resumen total'!H8=pres,'Nivel 1-Resumen total'!H9=pres,'Nivel 1-Resumen total'!H10=pres,'Nivel 1-Resumen total'!H11=pres,'Nivel 1-Resumen total'!H12=pres,'Nivel 1-Resumen total'!H13=pres),pres,SUM('Nivel 1-Resumen total'!H8:H13))</f>
        <v>¿Presente?</v>
      </c>
      <c r="F5" s="426" t="str">
        <f>IF(OR('Nivel 1-Resumen total'!I8=pres,'Nivel 1-Resumen total'!I9=pres,'Nivel 1-Resumen total'!I10=pres,'Nivel 1-Resumen total'!I11=pres,'Nivel 1-Resumen total'!I12=pres,'Nivel 1-Resumen total'!I13=pres),pres,SUM('Nivel 1-Resumen total'!I8:I13))</f>
        <v>¿Presente?</v>
      </c>
      <c r="G5" s="426" t="str">
        <f>IF(OR('Nivel 1-Resumen total'!J8=pres,'Nivel 1-Resumen total'!J9=pres,'Nivel 1-Resumen total'!J10=pres,'Nivel 1-Resumen total'!J11=pres,'Nivel 1-Resumen total'!J12=pres,'Nivel 1-Resumen total'!J13=pres),pres,SUM('Nivel 1-Resumen total'!J8:J13))</f>
        <v>¿Presente?</v>
      </c>
      <c r="H5" s="426" t="str">
        <f>IF(OR('Nivel 1-Resumen total'!K8=pres,'Nivel 1-Resumen total'!K9=pres,'Nivel 1-Resumen total'!K10=pres,'Nivel 1-Resumen total'!K11=pres,'Nivel 1-Resumen total'!K12=pres,'Nivel 1-Resumen total'!K13=pres),pres,SUM('Nivel 1-Resumen total'!K8:K13))</f>
        <v>¿Presente?</v>
      </c>
      <c r="I5" s="440">
        <f t="shared" ref="I5:I20" si="0">SUM(C5:H5)</f>
        <v>0</v>
      </c>
      <c r="J5" s="472" t="e">
        <f t="shared" ref="J5:J20" si="1">I5/$I$21</f>
        <v>#DIV/0!</v>
      </c>
    </row>
    <row r="6" spans="1:14">
      <c r="A6" s="374" t="s">
        <v>1085</v>
      </c>
      <c r="B6" s="426" t="str">
        <f>IF(OR('Nivel 1-Resumen total'!E15=pres,'Nivel 1-Resumen total'!E16=pres,'Nivel 1-Resumen total'!E17=pres),pres,SUM('Nivel 1-Resumen total'!E15:E17))</f>
        <v>¿Presente?</v>
      </c>
      <c r="C6" s="426" t="str">
        <f>IF(OR('Nivel 1-Resumen total'!F15=pres,'Nivel 1-Resumen total'!F16=pres,'Nivel 1-Resumen total'!F17=pres),pres,SUM('Nivel 1-Resumen total'!F15:F17))</f>
        <v>¿Presente?</v>
      </c>
      <c r="D6" s="426" t="str">
        <f>IF(OR('Nivel 1-Resumen total'!G15=pres,'Nivel 1-Resumen total'!G16=pres,'Nivel 1-Resumen total'!G17=pres),pres,SUM('Nivel 1-Resumen total'!G15:G17))</f>
        <v>¿Presente?</v>
      </c>
      <c r="E6" s="426" t="str">
        <f>IF(OR('Nivel 1-Resumen total'!H15=pres,'Nivel 1-Resumen total'!H16=pres,'Nivel 1-Resumen total'!H17=pres),pres,SUM('Nivel 1-Resumen total'!H15:H17))</f>
        <v>¿Presente?</v>
      </c>
      <c r="F6" s="426" t="str">
        <f>IF(OR('Nivel 1-Resumen total'!I15=pres,'Nivel 1-Resumen total'!I16=pres,'Nivel 1-Resumen total'!I17=pres),pres,SUM('Nivel 1-Resumen total'!I15:I17))</f>
        <v>¿Presente?</v>
      </c>
      <c r="G6" s="426" t="str">
        <f>IF(OR('Nivel 1-Resumen total'!J15=pres,'Nivel 1-Resumen total'!J16=pres,'Nivel 1-Resumen total'!J17=pres),pres,SUM('Nivel 1-Resumen total'!J15:J17))</f>
        <v>¿Presente?</v>
      </c>
      <c r="H6" s="426" t="str">
        <f>IF(OR('Nivel 1-Resumen total'!K15=pres,'Nivel 1-Resumen total'!K16=pres,'Nivel 1-Resumen total'!K17=pres),pres,SUM('Nivel 1-Resumen total'!K15:K17))</f>
        <v>¿Presente?</v>
      </c>
      <c r="I6" s="471">
        <f t="shared" si="0"/>
        <v>0</v>
      </c>
      <c r="J6" s="472" t="e">
        <f t="shared" si="1"/>
        <v>#DIV/0!</v>
      </c>
      <c r="L6" s="474"/>
    </row>
    <row r="7" spans="1:14" ht="25">
      <c r="A7" s="374" t="s">
        <v>1086</v>
      </c>
      <c r="B7" s="426" t="str">
        <f>IF(OR('Nivel 1-Resumen total'!E19=pres,'Nivel 1-Resumen total'!E20=pres,'Nivel 1-Resumen total'!E21=pres,'Nivel 1-Resumen total'!E22=pres,'Nivel 1-Resumen total'!E23=pres,'Nivel 1-Resumen total'!E24=pres,'Nivel 1-Resumen total'!E25=pres),pres,SUM('Nivel 1-Resumen total'!E19:E25))</f>
        <v>¿Presente?</v>
      </c>
      <c r="C7" s="426" t="str">
        <f>IF(OR('Nivel 1-Resumen total'!F19=pres,'Nivel 1-Resumen total'!F20=pres,'Nivel 1-Resumen total'!F21=pres,'Nivel 1-Resumen total'!F22=pres,'Nivel 1-Resumen total'!F23=pres,'Nivel 1-Resumen total'!F24=pres,'Nivel 1-Resumen total'!F25=pres),pres,SUM('Nivel 1-Resumen total'!F19:F25))</f>
        <v>¿Presente?</v>
      </c>
      <c r="D7" s="426" t="str">
        <f>IF(OR('Nivel 1-Resumen total'!G19=pres,'Nivel 1-Resumen total'!G20=pres,'Nivel 1-Resumen total'!G21=pres,'Nivel 1-Resumen total'!G22=pres,'Nivel 1-Resumen total'!G23=pres,'Nivel 1-Resumen total'!G24=pres,'Nivel 1-Resumen total'!G25=pres),pres,SUM('Nivel 1-Resumen total'!G19:G25))</f>
        <v>¿Presente?</v>
      </c>
      <c r="E7" s="426" t="str">
        <f>IF(OR('Nivel 1-Resumen total'!H19=pres,'Nivel 1-Resumen total'!H20=pres,'Nivel 1-Resumen total'!H21=pres,'Nivel 1-Resumen total'!H22=pres,'Nivel 1-Resumen total'!H23=pres,'Nivel 1-Resumen total'!H24=pres,'Nivel 1-Resumen total'!H25=pres),pres,SUM('Nivel 1-Resumen total'!H19:H25))</f>
        <v>¿Presente?</v>
      </c>
      <c r="F7" s="426" t="str">
        <f>IF(OR('Nivel 1-Resumen total'!I19=pres,'Nivel 1-Resumen total'!I20=pres,'Nivel 1-Resumen total'!I21=pres,'Nivel 1-Resumen total'!I22=pres,'Nivel 1-Resumen total'!I23=pres,'Nivel 1-Resumen total'!I24=pres,'Nivel 1-Resumen total'!I25=pres),pres,SUM('Nivel 1-Resumen total'!I19:I25))</f>
        <v>¿Presente?</v>
      </c>
      <c r="G7" s="426" t="str">
        <f>IF(OR('Nivel 1-Resumen total'!J19=pres,'Nivel 1-Resumen total'!J20=pres,'Nivel 1-Resumen total'!J21=pres,'Nivel 1-Resumen total'!J22=pres,'Nivel 1-Resumen total'!J23=pres,'Nivel 1-Resumen total'!J24=pres,'Nivel 1-Resumen total'!J25=pres),pres,SUM('Nivel 1-Resumen total'!J19:J25))</f>
        <v>¿Presente?</v>
      </c>
      <c r="H7" s="426" t="str">
        <f>IF(OR('Nivel 1-Resumen total'!K19=pres,'Nivel 1-Resumen total'!K20=pres,'Nivel 1-Resumen total'!K21=pres,'Nivel 1-Resumen total'!K22=pres,'Nivel 1-Resumen total'!K23=pres,'Nivel 1-Resumen total'!K24=pres,'Nivel 1-Resumen total'!K25=pres),pres,SUM('Nivel 1-Resumen total'!K19:K25))</f>
        <v>¿Presente?</v>
      </c>
      <c r="I7" s="471">
        <f t="shared" si="0"/>
        <v>0</v>
      </c>
      <c r="J7" s="472" t="e">
        <f t="shared" si="1"/>
        <v>#DIV/0!</v>
      </c>
      <c r="L7" s="474"/>
      <c r="N7" s="456"/>
    </row>
    <row r="8" spans="1:14">
      <c r="A8" s="374" t="s">
        <v>1087</v>
      </c>
      <c r="B8" s="426" t="str">
        <f>IF(OR('Nivel 1-Resumen total'!E26=pres,'Nivel 1-Resumen total'!E27=pres),pres,SUM('Nivel 1-Resumen total'!E26:E27))</f>
        <v>¿Presente?</v>
      </c>
      <c r="C8" s="426" t="str">
        <f>IF(OR('Nivel 1-Resumen total'!F26=pres,'Nivel 1-Resumen total'!F27=pres),pres,SUM('Nivel 1-Resumen total'!F26:F27))</f>
        <v>¿Presente?</v>
      </c>
      <c r="D8" s="426" t="str">
        <f>IF(OR('Nivel 1-Resumen total'!G26=pres,'Nivel 1-Resumen total'!G27=pres),pres,SUM('Nivel 1-Resumen total'!G26:G27))</f>
        <v>¿Presente?</v>
      </c>
      <c r="E8" s="426" t="str">
        <f>IF(OR('Nivel 1-Resumen total'!H26=pres,'Nivel 1-Resumen total'!H27=pres),pres,SUM('Nivel 1-Resumen total'!H26:H27))</f>
        <v>¿Presente?</v>
      </c>
      <c r="F8" s="426" t="str">
        <f>IF(OR('Nivel 1-Resumen total'!I26=pres,'Nivel 1-Resumen total'!I27=pres),pres,SUM('Nivel 1-Resumen total'!I26:I27))</f>
        <v>¿Presente?</v>
      </c>
      <c r="G8" s="426" t="str">
        <f>IF(OR('Nivel 1-Resumen total'!J26=pres,'Nivel 1-Resumen total'!J27=pres),pres,SUM('Nivel 1-Resumen total'!J26:J27))</f>
        <v>¿Presente?</v>
      </c>
      <c r="H8" s="426" t="str">
        <f>IF(OR('Nivel 1-Resumen total'!K26=pres,'Nivel 1-Resumen total'!K27=pres),pres,SUM('Nivel 1-Resumen total'!K26:K27))</f>
        <v>¿Presente?</v>
      </c>
      <c r="I8" s="471">
        <f t="shared" si="0"/>
        <v>0</v>
      </c>
      <c r="J8" s="472" t="e">
        <f t="shared" si="1"/>
        <v>#DIV/0!</v>
      </c>
      <c r="L8" s="474"/>
    </row>
    <row r="9" spans="1:14">
      <c r="A9" s="699" t="s">
        <v>1227</v>
      </c>
      <c r="B9" s="426" t="str">
        <f>IF(OR('Nivel 1-Resumen total'!E29=pres,'Nivel 1-Resumen total'!E30=pres),pres,SUM('Nivel 1-Resumen total'!E29:E30))</f>
        <v>¿Presente?</v>
      </c>
      <c r="C9" s="426" t="str">
        <f>IF(OR('Nivel 1-Resumen total'!F29=pres,'Nivel 1-Resumen total'!F30=pres),pres,SUM('Nivel 1-Resumen total'!F29:F30))</f>
        <v>¿Presente?</v>
      </c>
      <c r="D9" s="426" t="str">
        <f>IF(OR('Nivel 1-Resumen total'!G29=pres,'Nivel 1-Resumen total'!G30=pres),pres,SUM('Nivel 1-Resumen total'!G29:G30))</f>
        <v>¿Presente?</v>
      </c>
      <c r="E9" s="426" t="str">
        <f>IF(OR('Nivel 1-Resumen total'!H29=pres,'Nivel 1-Resumen total'!H30=pres),pres,SUM('Nivel 1-Resumen total'!H29:H30))</f>
        <v>¿Presente?</v>
      </c>
      <c r="F9" s="426" t="str">
        <f>IF(OR('Nivel 1-Resumen total'!I29=pres,'Nivel 1-Resumen total'!I30=pres),pres,SUM('Nivel 1-Resumen total'!I29:I30))</f>
        <v>¿Presente?</v>
      </c>
      <c r="G9" s="426" t="str">
        <f>IF(OR('Nivel 1-Resumen total'!J29=pres,'Nivel 1-Resumen total'!J30=pres),pres,SUM('Nivel 1-Resumen total'!J29:J30))</f>
        <v>¿Presente?</v>
      </c>
      <c r="H9" s="426" t="str">
        <f>IF(OR('Nivel 1-Resumen total'!K29=pres,'Nivel 1-Resumen total'!K30=pres),pres,SUM('Nivel 1-Resumen total'!K29:K30))</f>
        <v>¿Presente?</v>
      </c>
      <c r="I9" s="471">
        <f t="shared" si="0"/>
        <v>0</v>
      </c>
      <c r="J9" s="472" t="e">
        <f t="shared" si="1"/>
        <v>#DIV/0!</v>
      </c>
      <c r="L9" s="474"/>
      <c r="N9" s="474"/>
    </row>
    <row r="10" spans="1:14">
      <c r="A10" s="374" t="s">
        <v>908</v>
      </c>
      <c r="B10" s="426" t="str">
        <f>'Nivel 1-Resumen total'!E32</f>
        <v>¿Presente?</v>
      </c>
      <c r="C10" s="426" t="str">
        <f>'Nivel 1-Resumen total'!F32</f>
        <v>¿Presente?</v>
      </c>
      <c r="D10" s="426" t="str">
        <f>'Nivel 1-Resumen total'!G32</f>
        <v>¿Presente?</v>
      </c>
      <c r="E10" s="426" t="str">
        <f>'Nivel 1-Resumen total'!H32</f>
        <v>¿Presente?</v>
      </c>
      <c r="F10" s="426" t="str">
        <f>'Nivel 1-Resumen total'!I32</f>
        <v>¿Presente?</v>
      </c>
      <c r="G10" s="426" t="str">
        <f>'Nivel 1-Resumen total'!J32</f>
        <v>¿Presente?</v>
      </c>
      <c r="H10" s="426" t="str">
        <f>'Nivel 1-Resumen total'!K32</f>
        <v>¿Presente?</v>
      </c>
      <c r="I10" s="471">
        <f t="shared" si="0"/>
        <v>0</v>
      </c>
      <c r="J10" s="472" t="e">
        <f t="shared" si="1"/>
        <v>#DIV/0!</v>
      </c>
      <c r="L10" s="474"/>
    </row>
    <row r="11" spans="1:14">
      <c r="A11" s="374" t="s">
        <v>1088</v>
      </c>
      <c r="B11" s="426" t="str">
        <f>IF(OR('Nivel 1-Resumen total'!E33=pres,'Nivel 1-Resumen total'!E34=pres),pres,SUM('Nivel 1-Resumen total'!E33:E34))</f>
        <v>¿Presente?</v>
      </c>
      <c r="C11" s="426" t="str">
        <f>IF(OR('Nivel 1-Resumen total'!F33=pres,'Nivel 1-Resumen total'!F34=pres),pres,SUM('Nivel 1-Resumen total'!F33:F34))</f>
        <v>¿Presente?</v>
      </c>
      <c r="D11" s="426" t="str">
        <f>IF(OR('Nivel 1-Resumen total'!G33=pres,'Nivel 1-Resumen total'!G34=pres),pres,SUM('Nivel 1-Resumen total'!G33:G34))</f>
        <v>¿Presente?</v>
      </c>
      <c r="E11" s="426" t="str">
        <f>IF(OR('Nivel 1-Resumen total'!H33=pres,'Nivel 1-Resumen total'!H34=pres),pres,SUM('Nivel 1-Resumen total'!H33:H34))</f>
        <v>¿Presente?</v>
      </c>
      <c r="F11" s="426" t="str">
        <f>IF(OR('Nivel 1-Resumen total'!I33=pres,'Nivel 1-Resumen total'!I34=pres),pres,SUM('Nivel 1-Resumen total'!I33:I34))</f>
        <v>¿Presente?</v>
      </c>
      <c r="G11" s="426" t="str">
        <f>IF(OR('Nivel 1-Resumen total'!J33=pres,'Nivel 1-Resumen total'!J34=pres),pres,SUM('Nivel 1-Resumen total'!J33:J34))</f>
        <v>¿Presente?</v>
      </c>
      <c r="H11" s="426" t="str">
        <f>IF(OR('Nivel 1-Resumen total'!K33=pres,'Nivel 1-Resumen total'!K34=pres),pres,SUM('Nivel 1-Resumen total'!K33:K34))</f>
        <v>¿Presente?</v>
      </c>
      <c r="I11" s="471">
        <f t="shared" si="0"/>
        <v>0</v>
      </c>
      <c r="J11" s="472" t="e">
        <f t="shared" si="1"/>
        <v>#DIV/0!</v>
      </c>
      <c r="L11" s="474"/>
      <c r="N11" s="474"/>
    </row>
    <row r="12" spans="1:14">
      <c r="A12" s="374" t="s">
        <v>1089</v>
      </c>
      <c r="B12" s="426" t="str">
        <f>IF(OR('Nivel 1-Resumen total'!E36=pres,'Nivel 1-Resumen total'!E37=pres,'Nivel 1-Resumen total'!E38=pres,'Nivel 1-Resumen total'!E39=pres,'Nivel 1-Resumen total'!E40=pres,'Nivel 1-Resumen total'!E41=pres,'Nivel 1-Resumen total'!E42=pres,'Nivel 1-Resumen total'!E43=pres),pres,SUM('Nivel 1-Resumen total'!E36:E43))</f>
        <v>¿Presente?</v>
      </c>
      <c r="C12" s="426" t="str">
        <f>IF(OR('Nivel 1-Resumen total'!F36=pres,'Nivel 1-Resumen total'!F37=pres,'Nivel 1-Resumen total'!F38=pres,'Nivel 1-Resumen total'!F39=pres,'Nivel 1-Resumen total'!F40=pres,'Nivel 1-Resumen total'!F41=pres,'Nivel 1-Resumen total'!F42=pres,'Nivel 1-Resumen total'!F43=pres),pres,SUM('Nivel 1-Resumen total'!F36:F43))</f>
        <v>¿Presente?</v>
      </c>
      <c r="D12" s="426" t="str">
        <f>IF(OR('Nivel 1-Resumen total'!G36=pres,'Nivel 1-Resumen total'!G37=pres,'Nivel 1-Resumen total'!G38=pres,'Nivel 1-Resumen total'!G39=pres,'Nivel 1-Resumen total'!G40=pres,'Nivel 1-Resumen total'!G41=pres,'Nivel 1-Resumen total'!G42=pres,'Nivel 1-Resumen total'!G43=pres),pres,SUM('Nivel 1-Resumen total'!G36:G43))</f>
        <v>¿Presente?</v>
      </c>
      <c r="E12" s="426" t="str">
        <f>IF(OR('Nivel 1-Resumen total'!H36=pres,'Nivel 1-Resumen total'!H37=pres,'Nivel 1-Resumen total'!H38=pres,'Nivel 1-Resumen total'!H39=pres,'Nivel 1-Resumen total'!H40=pres,'Nivel 1-Resumen total'!H41=pres,'Nivel 1-Resumen total'!H42=pres,'Nivel 1-Resumen total'!H43=pres),pres,SUM('Nivel 1-Resumen total'!H36:H43))</f>
        <v>¿Presente?</v>
      </c>
      <c r="F12" s="426" t="str">
        <f>IF(OR('Nivel 1-Resumen total'!I36=pres,'Nivel 1-Resumen total'!I37=pres,'Nivel 1-Resumen total'!I38=pres,'Nivel 1-Resumen total'!I39=pres,'Nivel 1-Resumen total'!I40=pres,'Nivel 1-Resumen total'!I41=pres,'Nivel 1-Resumen total'!I42=pres,'Nivel 1-Resumen total'!I43=pres),pres,SUM('Nivel 1-Resumen total'!I36:I43))</f>
        <v>¿Presente?</v>
      </c>
      <c r="G12" s="426" t="str">
        <f>IF(OR('Nivel 1-Resumen total'!J36=pres,'Nivel 1-Resumen total'!J37=pres,'Nivel 1-Resumen total'!J38=pres,'Nivel 1-Resumen total'!J39=pres,'Nivel 1-Resumen total'!J40=pres,'Nivel 1-Resumen total'!J41=pres,'Nivel 1-Resumen total'!J42=pres,'Nivel 1-Resumen total'!J43=pres),pres,SUM('Nivel 1-Resumen total'!J36:J43))</f>
        <v>¿Presente?</v>
      </c>
      <c r="H12" s="426" t="str">
        <f>IF(OR('Nivel 1-Resumen total'!K36=pres,'Nivel 1-Resumen total'!K37=pres,'Nivel 1-Resumen total'!K38=pres,'Nivel 1-Resumen total'!K39=pres,'Nivel 1-Resumen total'!K40=pres,'Nivel 1-Resumen total'!K41=pres,'Nivel 1-Resumen total'!K42=pres,'Nivel 1-Resumen total'!K43=pres),pres,SUM('Nivel 1-Resumen total'!K36:K43))</f>
        <v>¿Presente?</v>
      </c>
      <c r="I12" s="471">
        <f t="shared" si="0"/>
        <v>0</v>
      </c>
      <c r="J12" s="472" t="e">
        <f t="shared" si="1"/>
        <v>#DIV/0!</v>
      </c>
      <c r="L12" s="474"/>
    </row>
    <row r="13" spans="1:14" ht="25">
      <c r="A13" s="374" t="s">
        <v>1090</v>
      </c>
      <c r="B13" s="437" t="str">
        <f>'Nivel 1-Resumen total'!E45</f>
        <v>¿Presente?</v>
      </c>
      <c r="C13" s="437" t="str">
        <f>'Nivel 1-Resumen total'!F45</f>
        <v>¿Presente?</v>
      </c>
      <c r="D13" s="437" t="str">
        <f>'Nivel 1-Resumen total'!G45</f>
        <v>¿Presente?</v>
      </c>
      <c r="E13" s="437" t="str">
        <f>'Nivel 1-Resumen total'!H45</f>
        <v>¿Presente?</v>
      </c>
      <c r="F13" s="437" t="str">
        <f>'Nivel 1-Resumen total'!I45</f>
        <v>¿Presente?</v>
      </c>
      <c r="G13" s="437" t="str">
        <f>'Nivel 1-Resumen total'!J45</f>
        <v>¿Presente?</v>
      </c>
      <c r="H13" s="437" t="str">
        <f>'Nivel 1-Resumen total'!K45</f>
        <v>¿Presente?</v>
      </c>
      <c r="I13" s="471">
        <f t="shared" si="0"/>
        <v>0</v>
      </c>
      <c r="J13" s="472" t="e">
        <f t="shared" si="1"/>
        <v>#DIV/0!</v>
      </c>
      <c r="L13" s="474"/>
    </row>
    <row r="14" spans="1:14">
      <c r="A14" s="374" t="s">
        <v>1091</v>
      </c>
      <c r="B14" s="426" t="str">
        <f>IF(OR('Nivel 1-Resumen total'!E46=pres,'Nivel 1-Resumen total'!E47=pres,'Nivel 1-Resumen total'!E48=pres,'Nivel 1-Resumen total'!E49=pres,'Nivel 1-Resumen total'!E50=pres,'Nivel 1-Resumen total'!E51=pres,'Nivel 1-Resumen total'!E52=pres,'Nivel 1-Resumen total'!E53=pres,'Nivel 1-Resumen total'!E54=pres,'Nivel 1-Resumen total'!E55=pres,'Nivel 1-Resumen total'!E56=pres),pres,SUM('Nivel 1-Resumen total'!E46:E56))</f>
        <v>¿Presente?</v>
      </c>
      <c r="C14" s="426" t="str">
        <f>IF(OR('Nivel 1-Resumen total'!F46=pres,'Nivel 1-Resumen total'!F47=pres,'Nivel 1-Resumen total'!F48=pres,'Nivel 1-Resumen total'!F49=pres,'Nivel 1-Resumen total'!F50=pres,'Nivel 1-Resumen total'!F51=pres,'Nivel 1-Resumen total'!F52=pres,'Nivel 1-Resumen total'!F53=pres,'Nivel 1-Resumen total'!F54=pres,'Nivel 1-Resumen total'!F55=pres,'Nivel 1-Resumen total'!F56=pres),pres,SUM('Nivel 1-Resumen total'!F46:F56))</f>
        <v>¿Presente?</v>
      </c>
      <c r="D14" s="426" t="str">
        <f>IF(OR('Nivel 1-Resumen total'!G46=pres,'Nivel 1-Resumen total'!G47=pres,'Nivel 1-Resumen total'!G48=pres,'Nivel 1-Resumen total'!G49=pres,'Nivel 1-Resumen total'!G50=pres,'Nivel 1-Resumen total'!G51=pres,'Nivel 1-Resumen total'!G52=pres,'Nivel 1-Resumen total'!G53=pres,'Nivel 1-Resumen total'!G54=pres,'Nivel 1-Resumen total'!G55=pres,'Nivel 1-Resumen total'!G56=pres),pres,SUM('Nivel 1-Resumen total'!G46:G56))</f>
        <v>¿Presente?</v>
      </c>
      <c r="E14" s="426" t="str">
        <f>IF(OR('Nivel 1-Resumen total'!H46=pres,'Nivel 1-Resumen total'!H47=pres,'Nivel 1-Resumen total'!H48=pres,'Nivel 1-Resumen total'!H49=pres,'Nivel 1-Resumen total'!H50=pres,'Nivel 1-Resumen total'!H51=pres,'Nivel 1-Resumen total'!H52=pres,'Nivel 1-Resumen total'!H53=pres,'Nivel 1-Resumen total'!H54=pres,'Nivel 1-Resumen total'!H55=pres,'Nivel 1-Resumen total'!H56=pres),pres,SUM('Nivel 1-Resumen total'!H46:H56))</f>
        <v>¿Presente?</v>
      </c>
      <c r="F14" s="426" t="str">
        <f>IF(OR('Nivel 1-Resumen total'!I46=pres,'Nivel 1-Resumen total'!I47=pres,'Nivel 1-Resumen total'!I48=pres,'Nivel 1-Resumen total'!I49=pres,'Nivel 1-Resumen total'!I50=pres,'Nivel 1-Resumen total'!I51=pres,'Nivel 1-Resumen total'!I52=pres,'Nivel 1-Resumen total'!I53=pres,'Nivel 1-Resumen total'!I54=pres,'Nivel 1-Resumen total'!I55=pres,'Nivel 1-Resumen total'!I56=pres),pres,SUM('Nivel 1-Resumen total'!I46:I56))</f>
        <v>¿Presente?</v>
      </c>
      <c r="G14" s="426" t="str">
        <f>IF(OR('Nivel 1-Resumen total'!J46=pres,'Nivel 1-Resumen total'!J47=pres,'Nivel 1-Resumen total'!J48=pres,'Nivel 1-Resumen total'!J49=pres,'Nivel 1-Resumen total'!J50=pres,'Nivel 1-Resumen total'!J51=pres,'Nivel 1-Resumen total'!J52=pres,'Nivel 1-Resumen total'!J53=pres,'Nivel 1-Resumen total'!J54=pres,'Nivel 1-Resumen total'!J55=pres,'Nivel 1-Resumen total'!J56=pres),pres,SUM('Nivel 1-Resumen total'!J46:J56))</f>
        <v>¿Presente?</v>
      </c>
      <c r="H14" s="426" t="str">
        <f>IF(OR('Nivel 1-Resumen total'!K46=pres,'Nivel 1-Resumen total'!K47=pres,'Nivel 1-Resumen total'!K48=pres,'Nivel 1-Resumen total'!K49=pres,'Nivel 1-Resumen total'!K50=pres,'Nivel 1-Resumen total'!K51=pres,'Nivel 1-Resumen total'!K52=pres,'Nivel 1-Resumen total'!K53=pres,'Nivel 1-Resumen total'!K54=pres,'Nivel 1-Resumen total'!K55=pres,'Nivel 1-Resumen total'!K56=pres),pres,SUM('Nivel 1-Resumen total'!K46:K56))</f>
        <v>¿Presente?</v>
      </c>
      <c r="I14" s="471">
        <f t="shared" si="0"/>
        <v>0</v>
      </c>
      <c r="J14" s="472" t="e">
        <f t="shared" si="1"/>
        <v>#DIV/0!</v>
      </c>
      <c r="L14" s="474"/>
    </row>
    <row r="15" spans="1:14">
      <c r="A15" s="374" t="s">
        <v>935</v>
      </c>
      <c r="B15" s="426" t="str">
        <f>IF(OR('Nivel 1-Resumen total'!E58=pres,'Nivel 1-Resumen total'!E59=pres),pres,SUM('Nivel 1-Resumen total'!E58:E59))</f>
        <v>¿Presente?</v>
      </c>
      <c r="C15" s="426" t="str">
        <f>IF(OR('Nivel 1-Resumen total'!F58=pres,'Nivel 1-Resumen total'!F59=pres),pres,SUM('Nivel 1-Resumen total'!F58:F59))</f>
        <v>¿Presente?</v>
      </c>
      <c r="D15" s="426" t="str">
        <f>IF(OR('Nivel 1-Resumen total'!G58=pres,'Nivel 1-Resumen total'!G59=pres),pres,SUM('Nivel 1-Resumen total'!G58:G59))</f>
        <v>¿Presente?</v>
      </c>
      <c r="E15" s="426" t="str">
        <f>IF(OR('Nivel 1-Resumen total'!H58=pres,'Nivel 1-Resumen total'!H59=pres),pres,SUM('Nivel 1-Resumen total'!H58:H59))</f>
        <v>¿Presente?</v>
      </c>
      <c r="F15" s="426" t="str">
        <f>IF(OR('Nivel 1-Resumen total'!I58=pres,'Nivel 1-Resumen total'!I59=pres),pres,SUM('Nivel 1-Resumen total'!I58:I59))</f>
        <v>¿Presente?</v>
      </c>
      <c r="G15" s="426" t="str">
        <f>IF(OR('Nivel 1-Resumen total'!J58=pres,'Nivel 1-Resumen total'!J59=pres),pres,SUM('Nivel 1-Resumen total'!J58:J59))</f>
        <v>¿Presente?</v>
      </c>
      <c r="H15" s="426" t="str">
        <f>IF(OR('Nivel 1-Resumen total'!K58=pres,'Nivel 1-Resumen total'!K59=pres),pres,SUM('Nivel 1-Resumen total'!K58:K59))</f>
        <v>¿Presente?</v>
      </c>
      <c r="I15" s="471">
        <f t="shared" si="0"/>
        <v>0</v>
      </c>
      <c r="J15" s="472" t="e">
        <f t="shared" si="1"/>
        <v>#DIV/0!</v>
      </c>
      <c r="L15" s="474"/>
    </row>
    <row r="16" spans="1:14" ht="25">
      <c r="A16" s="374" t="s">
        <v>1092</v>
      </c>
      <c r="B16" s="426" t="str">
        <f>IF(OR('Nivel 1-Resumen total'!E61=pres,'Nivel 1-Resumen total'!E62=pres,'Nivel 1-Resumen total'!E63=pres,'Nivel 1-Resumen total'!E64=pres,'Nivel 1-Resumen total'!E65=pres),pres,SUM('Nivel 1-Resumen total'!E61:E65))</f>
        <v>¿Presente?</v>
      </c>
      <c r="C16" s="426" t="str">
        <f>IF(OR('Nivel 1-Resumen total'!F61=pres,'Nivel 1-Resumen total'!F62=pres,'Nivel 1-Resumen total'!F63=pres,'Nivel 1-Resumen total'!F64=pres,'Nivel 1-Resumen total'!F65=pres),pres,SUM('Nivel 1-Resumen total'!F61:F65))</f>
        <v>¿Presente?</v>
      </c>
      <c r="D16" s="426" t="str">
        <f>IF(OR('Nivel 1-Resumen total'!G61=pres,'Nivel 1-Resumen total'!G62=pres,'Nivel 1-Resumen total'!G63=pres,'Nivel 1-Resumen total'!G64=pres,'Nivel 1-Resumen total'!G65=pres),pres,SUM('Nivel 1-Resumen total'!G61:G65))</f>
        <v>¿Presente?</v>
      </c>
      <c r="E16" s="426" t="str">
        <f>IF(OR('Nivel 1-Resumen total'!H61=pres,'Nivel 1-Resumen total'!H62=pres,'Nivel 1-Resumen total'!H63=pres,'Nivel 1-Resumen total'!H64=pres,'Nivel 1-Resumen total'!H65=pres),pres,SUM('Nivel 1-Resumen total'!H61:H65))</f>
        <v>¿Presente?</v>
      </c>
      <c r="F16" s="426" t="str">
        <f>IF(OR('Nivel 1-Resumen total'!I61=pres,'Nivel 1-Resumen total'!I62=pres,'Nivel 1-Resumen total'!I63=pres,'Nivel 1-Resumen total'!I64=pres,'Nivel 1-Resumen total'!I65=pres),pres,SUM('Nivel 1-Resumen total'!I61:I65))</f>
        <v>¿Presente?</v>
      </c>
      <c r="G16" s="426" t="str">
        <f>IF(OR('Nivel 1-Resumen total'!J61=pres,'Nivel 1-Resumen total'!J62=pres,'Nivel 1-Resumen total'!J63=pres,'Nivel 1-Resumen total'!J64=pres,'Nivel 1-Resumen total'!J65=pres),pres,SUM('Nivel 1-Resumen total'!J61:J65))</f>
        <v>¿Presente?</v>
      </c>
      <c r="H16" s="426" t="str">
        <f>IF(OR('Nivel 1-Resumen total'!K61=pres,'Nivel 1-Resumen total'!K62=pres,'Nivel 1-Resumen total'!K63=pres,'Nivel 1-Resumen total'!K64=pres,'Nivel 1-Resumen total'!K65=pres),pres,SUM('Nivel 1-Resumen total'!K61:K65))</f>
        <v>¿Presente?</v>
      </c>
      <c r="I16" s="471">
        <f t="shared" si="0"/>
        <v>0</v>
      </c>
      <c r="J16" s="472" t="e">
        <f t="shared" si="1"/>
        <v>#DIV/0!</v>
      </c>
    </row>
    <row r="17" spans="1:12">
      <c r="A17" s="374" t="s">
        <v>1093</v>
      </c>
      <c r="B17" s="452" t="str">
        <f>'Nivel 1-Resumen total'!E67</f>
        <v>¿Presente?</v>
      </c>
      <c r="C17" s="452" t="str">
        <f>'Nivel 1-Resumen total'!F67</f>
        <v>¿Presente?</v>
      </c>
      <c r="D17" s="452" t="str">
        <f>'Nivel 1-Resumen total'!G67</f>
        <v>¿Presente?</v>
      </c>
      <c r="E17" s="452" t="str">
        <f>'Nivel 1-Resumen total'!H67</f>
        <v>¿Presente?</v>
      </c>
      <c r="F17" s="452" t="str">
        <f>'Nivel 1-Resumen total'!I67</f>
        <v>¿Presente?</v>
      </c>
      <c r="G17" s="452" t="str">
        <f>'Nivel 1-Resumen total'!J67</f>
        <v>¿Presente?</v>
      </c>
      <c r="H17" s="452" t="str">
        <f>'Nivel 1-Resumen total'!K67</f>
        <v>¿Presente?</v>
      </c>
      <c r="I17" s="471">
        <f t="shared" si="0"/>
        <v>0</v>
      </c>
      <c r="J17" s="472" t="e">
        <f t="shared" si="1"/>
        <v>#DIV/0!</v>
      </c>
      <c r="L17" s="474"/>
    </row>
    <row r="18" spans="1:12">
      <c r="A18" s="374" t="s">
        <v>1094</v>
      </c>
      <c r="B18" s="545" t="str">
        <f>'Nivel 1-Resumen total'!E68</f>
        <v>¿Presente?</v>
      </c>
      <c r="C18" s="545" t="str">
        <f>'Nivel 1-Resumen total'!F68</f>
        <v>¿Presente?</v>
      </c>
      <c r="D18" s="545" t="str">
        <f>'Nivel 1-Resumen total'!G68</f>
        <v>¿Presente?</v>
      </c>
      <c r="E18" s="545" t="str">
        <f>'Nivel 1-Resumen total'!H68</f>
        <v>¿Presente?</v>
      </c>
      <c r="F18" s="545" t="str">
        <f>'Nivel 1-Resumen total'!I68</f>
        <v>¿Presente?</v>
      </c>
      <c r="G18" s="545" t="str">
        <f>'Nivel 1-Resumen total'!J68</f>
        <v>¿Presente?</v>
      </c>
      <c r="H18" s="545" t="str">
        <f>'Nivel 1-Resumen total'!K68</f>
        <v>¿Presente?</v>
      </c>
      <c r="I18" s="440">
        <f>SUM(C18:H18)-IF(OR(E18="-", E18=que, E18=pres),0,E18)</f>
        <v>0</v>
      </c>
      <c r="J18" s="472" t="e">
        <f t="shared" si="1"/>
        <v>#DIV/0!</v>
      </c>
      <c r="L18" s="475"/>
    </row>
    <row r="19" spans="1:12">
      <c r="A19" s="374" t="s">
        <v>1095</v>
      </c>
      <c r="B19" s="545" t="str">
        <f>'Nivel 1-Resumen total'!E69</f>
        <v>¿Presente?</v>
      </c>
      <c r="C19" s="545" t="str">
        <f>'Nivel 1-Resumen total'!F69</f>
        <v>¿Presente?</v>
      </c>
      <c r="D19" s="545" t="str">
        <f>'Nivel 1-Resumen total'!G69</f>
        <v>¿Presente?</v>
      </c>
      <c r="E19" s="545" t="str">
        <f>'Nivel 1-Resumen total'!H69</f>
        <v>¿Presente?</v>
      </c>
      <c r="F19" s="545" t="str">
        <f>'Nivel 1-Resumen total'!I69</f>
        <v>¿Presente?</v>
      </c>
      <c r="G19" s="545" t="str">
        <f>'Nivel 1-Resumen total'!J69</f>
        <v>¿Presente?</v>
      </c>
      <c r="H19" s="545" t="str">
        <f>'Nivel 1-Resumen total'!K69</f>
        <v>¿Presente?</v>
      </c>
      <c r="I19" s="440">
        <f>SUM(C19:H19)-IF(OR(D19="-",D19=que, D19=pres),0,D19)</f>
        <v>0</v>
      </c>
      <c r="J19" s="472" t="e">
        <f t="shared" si="1"/>
        <v>#DIV/0!</v>
      </c>
    </row>
    <row r="20" spans="1:12">
      <c r="A20" s="374" t="s">
        <v>993</v>
      </c>
      <c r="B20" s="426" t="str">
        <f>IF(OR('Nivel 1-Resumen total'!E71=pres,'Nivel 1-Resumen total'!E72=pres),pres,SUM('Nivel 1-Resumen total'!E71:E72))</f>
        <v>¿Presente?</v>
      </c>
      <c r="C20" s="426" t="str">
        <f>IF(OR('Nivel 1-Resumen total'!F71=pres,'Nivel 1-Resumen total'!F72=pres),pres,SUM('Nivel 1-Resumen total'!F71:F72))</f>
        <v>¿Presente?</v>
      </c>
      <c r="D20" s="426" t="str">
        <f>IF(OR('Nivel 1-Resumen total'!G71=pres,'Nivel 1-Resumen total'!G72=pres),pres,SUM('Nivel 1-Resumen total'!G71:G72))</f>
        <v>¿Presente?</v>
      </c>
      <c r="E20" s="426" t="str">
        <f>IF(OR('Nivel 1-Resumen total'!H71=pres,'Nivel 1-Resumen total'!H72=pres),pres,SUM('Nivel 1-Resumen total'!H71:H72))</f>
        <v>¿Presente?</v>
      </c>
      <c r="F20" s="426" t="str">
        <f>IF(OR('Nivel 1-Resumen total'!I71=pres,'Nivel 1-Resumen total'!I72=pres),pres,SUM('Nivel 1-Resumen total'!I71:I72))</f>
        <v>¿Presente?</v>
      </c>
      <c r="G20" s="426" t="str">
        <f>IF(OR('Nivel 1-Resumen total'!J71=pres,'Nivel 1-Resumen total'!J72=pres),pres,SUM('Nivel 1-Resumen total'!J71:J72))</f>
        <v>¿Presente?</v>
      </c>
      <c r="H20" s="426" t="str">
        <f>IF(OR('Nivel 1-Resumen total'!K71=pres,'Nivel 1-Resumen total'!K72=pres),pres,SUM('Nivel 1-Resumen total'!K71:K72))</f>
        <v>¿Presente?</v>
      </c>
      <c r="I20" s="440">
        <f t="shared" si="0"/>
        <v>0</v>
      </c>
      <c r="J20" s="472" t="e">
        <f t="shared" si="1"/>
        <v>#DIV/0!</v>
      </c>
    </row>
    <row r="21" spans="1:12" s="356" customFormat="1" ht="13">
      <c r="A21" s="265" t="s">
        <v>1096</v>
      </c>
      <c r="B21" s="431">
        <f>ROUND(SUM(B4:B20)-(0.9*IF(OR(B16="-",B16=que, B16=pres),0,B16))-(0.9*IF(OR(B17="-",B17=que, B17=pres),0,B17))-(0.9*IF(OR(B18="-",B18=que, B18=pres),0,B18))-IF(OR(B19="-", B19=que, B19=pres),0,B19)+(-IF(OR(B12="-",B12=que, B12=pres),0,B12)+SUM(C12:H12))+(-IF(OR(B6="-",B6=que, B6=pres),0,B6)+SUM(C6:H6)),-1)</f>
        <v>0</v>
      </c>
      <c r="C21" s="431">
        <f>ROUND(SUM(C4:C20),-1)</f>
        <v>0</v>
      </c>
      <c r="D21" s="431">
        <f>ROUND(SUM(D4:D20)-IF(OR(D19="-",D19=que, D19=pres),0,D19),-1)</f>
        <v>0</v>
      </c>
      <c r="E21" s="431">
        <f>ROUND(SUM(E4:E20)-IF(OR(E18="-", E18=que, E18=pres),0,E18),-1)</f>
        <v>0</v>
      </c>
      <c r="F21" s="431">
        <f>ROUND(SUM(F4:F20),-1)</f>
        <v>0</v>
      </c>
      <c r="G21" s="431">
        <f>ROUND(SUM(G4:G20),-1)</f>
        <v>0</v>
      </c>
      <c r="H21" s="431">
        <f>ROUND(SUM(H4:H20),-1)</f>
        <v>0</v>
      </c>
      <c r="I21" s="431">
        <f>ROUND(SUM(I4:I20),-1)</f>
        <v>0</v>
      </c>
      <c r="J21" s="473" t="e">
        <f>SUM(J4:J20)</f>
        <v>#DIV/0!</v>
      </c>
      <c r="L21" s="474"/>
    </row>
    <row r="22" spans="1:12">
      <c r="A22" s="602" t="s">
        <v>853</v>
      </c>
      <c r="C22" s="544"/>
      <c r="D22" s="544"/>
      <c r="E22" s="544"/>
      <c r="F22" s="544"/>
      <c r="G22" s="544"/>
      <c r="H22" s="544"/>
      <c r="I22" s="544"/>
    </row>
    <row r="23" spans="1:12">
      <c r="A23" s="602" t="s">
        <v>1097</v>
      </c>
      <c r="B23" s="323"/>
      <c r="C23" s="544"/>
      <c r="D23" s="544"/>
      <c r="E23" s="544"/>
      <c r="F23" s="544"/>
      <c r="G23" s="544"/>
      <c r="H23" s="544"/>
      <c r="I23" s="544"/>
    </row>
    <row r="24" spans="1:12" ht="13">
      <c r="A24" s="602" t="s">
        <v>1098</v>
      </c>
      <c r="B24" s="323"/>
      <c r="C24" s="544"/>
      <c r="D24" s="544"/>
      <c r="E24" s="544"/>
      <c r="F24" s="544"/>
      <c r="G24" s="544"/>
      <c r="H24" s="544"/>
      <c r="I24" s="544"/>
    </row>
    <row r="25" spans="1:12">
      <c r="A25" s="602" t="s">
        <v>1099</v>
      </c>
    </row>
    <row r="26" spans="1:12">
      <c r="A26" s="602" t="s">
        <v>1100</v>
      </c>
    </row>
    <row r="27" spans="1:12">
      <c r="A27" s="339" t="s">
        <v>1101</v>
      </c>
    </row>
    <row r="28" spans="1:12">
      <c r="A28" s="602" t="s">
        <v>1102</v>
      </c>
    </row>
    <row r="29" spans="1:12">
      <c r="A29" s="602" t="s">
        <v>1103</v>
      </c>
    </row>
    <row r="30" spans="1:12">
      <c r="A30" s="602" t="s">
        <v>1104</v>
      </c>
    </row>
    <row r="31" spans="1:12">
      <c r="A31" s="602" t="s">
        <v>1105</v>
      </c>
    </row>
    <row r="32" spans="1:12">
      <c r="A32" s="602" t="s">
        <v>1106</v>
      </c>
    </row>
    <row r="33" spans="1:1">
      <c r="A33" s="339" t="s">
        <v>1107</v>
      </c>
    </row>
    <row r="34" spans="1:1">
      <c r="A34" s="602" t="s">
        <v>1226</v>
      </c>
    </row>
  </sheetData>
  <sheetProtection algorithmName="SHA-512" hashValue="Fyoc+gPO1HD0IIcbjXOXK1tC8zjNWUAhH6sZKq44nNkQESqB2eYZxh6rSWDllPQYtcfswVL8EbvT31XJ3whfkg==" saltValue="3h0I8o9ugB7HQA+stQE+dg==" spinCount="100000" sheet="1" objects="1" scenarios="1"/>
  <mergeCells count="3">
    <mergeCell ref="B2:B3"/>
    <mergeCell ref="C2:I2"/>
    <mergeCell ref="J2:J3"/>
  </mergeCells>
  <pageMargins left="0.39370078740157483" right="0.39370078740157483" top="0.74803149606299213" bottom="0.74803149606299213" header="0.31496062992125984" footer="0.31496062992125984"/>
  <pageSetup paperSize="9" orientation="landscape" r:id="rId1"/>
  <headerFooter>
    <oddFooter>&amp;L&amp;A
Printed &amp;D</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3"/>
  <dimension ref="A1:R45"/>
  <sheetViews>
    <sheetView workbookViewId="0">
      <selection activeCell="A13" sqref="A13"/>
    </sheetView>
  </sheetViews>
  <sheetFormatPr defaultColWidth="9.1796875" defaultRowHeight="12.5"/>
  <cols>
    <col min="1" max="1" width="55.36328125" style="339" customWidth="1"/>
    <col min="2" max="8" width="12.6328125" style="339" customWidth="1"/>
    <col min="9" max="11" width="9.1796875" style="339"/>
    <col min="12" max="12" width="12.453125" style="339" customWidth="1"/>
    <col min="13" max="16384" width="9.1796875" style="339"/>
  </cols>
  <sheetData>
    <row r="1" spans="1:8" ht="13">
      <c r="A1" s="356" t="s">
        <v>1108</v>
      </c>
      <c r="B1" s="323"/>
    </row>
    <row r="2" spans="1:8">
      <c r="A2" s="602"/>
    </row>
    <row r="3" spans="1:8" ht="13">
      <c r="A3" s="602" t="s">
        <v>1109</v>
      </c>
      <c r="B3" s="356"/>
    </row>
    <row r="4" spans="1:8" ht="13">
      <c r="A4" s="526" t="s">
        <v>1110</v>
      </c>
      <c r="B4" s="356"/>
    </row>
    <row r="5" spans="1:8" ht="13">
      <c r="A5" s="356"/>
      <c r="B5" s="356"/>
    </row>
    <row r="6" spans="1:8" s="361" customFormat="1" ht="18.75" customHeight="1">
      <c r="A6" s="263" t="s">
        <v>837</v>
      </c>
      <c r="B6" s="828" t="s">
        <v>844</v>
      </c>
      <c r="C6" s="830" t="s">
        <v>845</v>
      </c>
      <c r="D6" s="831"/>
      <c r="E6" s="831"/>
      <c r="F6" s="831"/>
      <c r="G6" s="831"/>
      <c r="H6" s="832"/>
    </row>
    <row r="7" spans="1:8" ht="63">
      <c r="A7" s="760" t="s">
        <v>1111</v>
      </c>
      <c r="B7" s="829"/>
      <c r="C7" s="746" t="s">
        <v>847</v>
      </c>
      <c r="D7" s="746" t="s">
        <v>848</v>
      </c>
      <c r="E7" s="746" t="s">
        <v>849</v>
      </c>
      <c r="F7" s="745" t="s">
        <v>850</v>
      </c>
      <c r="G7" s="745" t="s">
        <v>851</v>
      </c>
      <c r="H7" s="745" t="s">
        <v>852</v>
      </c>
    </row>
    <row r="8" spans="1:8">
      <c r="A8" s="699" t="s">
        <v>1076</v>
      </c>
      <c r="B8" s="440" t="str">
        <f>'Nivel 1-Resumen ejec.'!B4</f>
        <v>¿Presente?</v>
      </c>
      <c r="C8" s="440" t="str">
        <f>'Nivel 1-Resumen ejec.'!C4</f>
        <v>¿Presente?</v>
      </c>
      <c r="D8" s="440" t="str">
        <f>'Nivel 1-Resumen ejec.'!D4</f>
        <v>¿Presente?</v>
      </c>
      <c r="E8" s="440" t="str">
        <f>'Nivel 1-Resumen ejec.'!E4</f>
        <v>¿Presente?</v>
      </c>
      <c r="F8" s="440" t="str">
        <f>'Nivel 1-Resumen ejec.'!F4</f>
        <v>¿Presente?</v>
      </c>
      <c r="G8" s="440" t="str">
        <f>'Nivel 1-Resumen ejec.'!G4</f>
        <v>¿Presente?</v>
      </c>
      <c r="H8" s="440" t="str">
        <f>'Nivel 1-Resumen ejec.'!H4</f>
        <v>¿Presente?</v>
      </c>
    </row>
    <row r="9" spans="1:8">
      <c r="A9" s="372" t="s">
        <v>1112</v>
      </c>
      <c r="B9" s="440" t="str">
        <f>'Nivel 1-Resumen ejec.'!B5</f>
        <v>¿Presente?</v>
      </c>
      <c r="C9" s="440" t="str">
        <f>'Nivel 1-Resumen ejec.'!C5</f>
        <v>¿Presente?</v>
      </c>
      <c r="D9" s="440" t="str">
        <f>'Nivel 1-Resumen ejec.'!D5</f>
        <v>¿Presente?</v>
      </c>
      <c r="E9" s="440" t="str">
        <f>'Nivel 1-Resumen ejec.'!E5</f>
        <v>¿Presente?</v>
      </c>
      <c r="F9" s="440" t="str">
        <f>'Nivel 1-Resumen ejec.'!F5</f>
        <v>¿Presente?</v>
      </c>
      <c r="G9" s="440" t="str">
        <f>'Nivel 1-Resumen ejec.'!G5</f>
        <v>¿Presente?</v>
      </c>
      <c r="H9" s="440" t="str">
        <f>'Nivel 1-Resumen ejec.'!H5</f>
        <v>¿Presente?</v>
      </c>
    </row>
    <row r="10" spans="1:8">
      <c r="A10" s="699" t="s">
        <v>1078</v>
      </c>
      <c r="B10" s="440" t="str">
        <f>'Nivel 1-Resumen ejec.'!B6</f>
        <v>¿Presente?</v>
      </c>
      <c r="C10" s="440" t="str">
        <f>'Nivel 1-Resumen ejec.'!C6</f>
        <v>¿Presente?</v>
      </c>
      <c r="D10" s="440" t="str">
        <f>'Nivel 1-Resumen ejec.'!D6</f>
        <v>¿Presente?</v>
      </c>
      <c r="E10" s="440" t="str">
        <f>'Nivel 1-Resumen ejec.'!E6</f>
        <v>¿Presente?</v>
      </c>
      <c r="F10" s="440" t="str">
        <f>'Nivel 1-Resumen ejec.'!F6</f>
        <v>¿Presente?</v>
      </c>
      <c r="G10" s="440" t="str">
        <f>'Nivel 1-Resumen ejec.'!G6</f>
        <v>¿Presente?</v>
      </c>
      <c r="H10" s="440" t="str">
        <f>'Nivel 1-Resumen ejec.'!H6</f>
        <v>¿Presente?</v>
      </c>
    </row>
    <row r="11" spans="1:8" ht="25">
      <c r="A11" s="699" t="s">
        <v>1079</v>
      </c>
      <c r="B11" s="440" t="str">
        <f>'Nivel 1-Resumen ejec.'!B7</f>
        <v>¿Presente?</v>
      </c>
      <c r="C11" s="440" t="str">
        <f>'Nivel 1-Resumen ejec.'!C7</f>
        <v>¿Presente?</v>
      </c>
      <c r="D11" s="440" t="str">
        <f>'Nivel 1-Resumen ejec.'!D7</f>
        <v>¿Presente?</v>
      </c>
      <c r="E11" s="440" t="str">
        <f>'Nivel 1-Resumen ejec.'!E7</f>
        <v>¿Presente?</v>
      </c>
      <c r="F11" s="440" t="str">
        <f>'Nivel 1-Resumen ejec.'!F7</f>
        <v>¿Presente?</v>
      </c>
      <c r="G11" s="440" t="str">
        <f>'Nivel 1-Resumen ejec.'!G7</f>
        <v>¿Presente?</v>
      </c>
      <c r="H11" s="440" t="str">
        <f>'Nivel 1-Resumen ejec.'!H7</f>
        <v>¿Presente?</v>
      </c>
    </row>
    <row r="12" spans="1:8">
      <c r="A12" s="699" t="s">
        <v>1080</v>
      </c>
      <c r="B12" s="440" t="str">
        <f>'Nivel 1-Resumen ejec.'!B8</f>
        <v>¿Presente?</v>
      </c>
      <c r="C12" s="440" t="str">
        <f>'Nivel 1-Resumen ejec.'!C8</f>
        <v>¿Presente?</v>
      </c>
      <c r="D12" s="440" t="str">
        <f>'Nivel 1-Resumen ejec.'!D8</f>
        <v>¿Presente?</v>
      </c>
      <c r="E12" s="440" t="str">
        <f>'Nivel 1-Resumen ejec.'!E8</f>
        <v>¿Presente?</v>
      </c>
      <c r="F12" s="440" t="str">
        <f>'Nivel 1-Resumen ejec.'!F8</f>
        <v>¿Presente?</v>
      </c>
      <c r="G12" s="440" t="str">
        <f>'Nivel 1-Resumen ejec.'!G8</f>
        <v>¿Presente?</v>
      </c>
      <c r="H12" s="440" t="str">
        <f>'Nivel 1-Resumen ejec.'!H8</f>
        <v>¿Presente?</v>
      </c>
    </row>
    <row r="13" spans="1:8">
      <c r="A13" s="699" t="s">
        <v>1229</v>
      </c>
      <c r="B13" s="440" t="str">
        <f>'Nivel 1-Resumen ejec.'!B9</f>
        <v>¿Presente?</v>
      </c>
      <c r="C13" s="440" t="str">
        <f>'Nivel 1-Resumen ejec.'!C9</f>
        <v>¿Presente?</v>
      </c>
      <c r="D13" s="440" t="str">
        <f>'Nivel 1-Resumen ejec.'!D9</f>
        <v>¿Presente?</v>
      </c>
      <c r="E13" s="440" t="str">
        <f>'Nivel 1-Resumen ejec.'!E9</f>
        <v>¿Presente?</v>
      </c>
      <c r="F13" s="440" t="str">
        <f>'Nivel 1-Resumen ejec.'!F9</f>
        <v>¿Presente?</v>
      </c>
      <c r="G13" s="440" t="str">
        <f>'Nivel 1-Resumen ejec.'!G9</f>
        <v>¿Presente?</v>
      </c>
      <c r="H13" s="440" t="str">
        <f>'Nivel 1-Resumen ejec.'!H9</f>
        <v>¿Presente?</v>
      </c>
    </row>
    <row r="14" spans="1:8">
      <c r="A14" s="699" t="s">
        <v>1081</v>
      </c>
      <c r="B14" s="440" t="str">
        <f>'Nivel 1-Resumen ejec.'!B10</f>
        <v>¿Presente?</v>
      </c>
      <c r="C14" s="440" t="str">
        <f>'Nivel 1-Resumen ejec.'!C10</f>
        <v>¿Presente?</v>
      </c>
      <c r="D14" s="440" t="str">
        <f>'Nivel 1-Resumen ejec.'!D10</f>
        <v>¿Presente?</v>
      </c>
      <c r="E14" s="440" t="str">
        <f>'Nivel 1-Resumen ejec.'!E10</f>
        <v>¿Presente?</v>
      </c>
      <c r="F14" s="440" t="str">
        <f>'Nivel 1-Resumen ejec.'!F10</f>
        <v>¿Presente?</v>
      </c>
      <c r="G14" s="440" t="str">
        <f>'Nivel 1-Resumen ejec.'!G10</f>
        <v>¿Presente?</v>
      </c>
      <c r="H14" s="440" t="str">
        <f>'Nivel 1-Resumen ejec.'!H10</f>
        <v>¿Presente?</v>
      </c>
    </row>
    <row r="15" spans="1:8">
      <c r="A15" s="699" t="s">
        <v>1113</v>
      </c>
      <c r="B15" s="440" t="str">
        <f>'Nivel 1-Resumen ejec.'!B11</f>
        <v>¿Presente?</v>
      </c>
      <c r="C15" s="440" t="str">
        <f>'Nivel 1-Resumen ejec.'!C11</f>
        <v>¿Presente?</v>
      </c>
      <c r="D15" s="440" t="str">
        <f>'Nivel 1-Resumen ejec.'!D11</f>
        <v>¿Presente?</v>
      </c>
      <c r="E15" s="440" t="str">
        <f>'Nivel 1-Resumen ejec.'!E11</f>
        <v>¿Presente?</v>
      </c>
      <c r="F15" s="440" t="str">
        <f>'Nivel 1-Resumen ejec.'!F11</f>
        <v>¿Presente?</v>
      </c>
      <c r="G15" s="440" t="str">
        <f>'Nivel 1-Resumen ejec.'!G11</f>
        <v>¿Presente?</v>
      </c>
      <c r="H15" s="440" t="str">
        <f>'Nivel 1-Resumen ejec.'!H11</f>
        <v>¿Presente?</v>
      </c>
    </row>
    <row r="16" spans="1:8">
      <c r="A16" s="699" t="s">
        <v>1114</v>
      </c>
      <c r="B16" s="440" t="str">
        <f>'Nivel 1-Resumen ejec.'!B12</f>
        <v>¿Presente?</v>
      </c>
      <c r="C16" s="440" t="str">
        <f>'Nivel 1-Resumen ejec.'!C12</f>
        <v>¿Presente?</v>
      </c>
      <c r="D16" s="440" t="str">
        <f>'Nivel 1-Resumen ejec.'!D12</f>
        <v>¿Presente?</v>
      </c>
      <c r="E16" s="440" t="str">
        <f>'Nivel 1-Resumen ejec.'!E12</f>
        <v>¿Presente?</v>
      </c>
      <c r="F16" s="440" t="str">
        <f>'Nivel 1-Resumen ejec.'!F12</f>
        <v>¿Presente?</v>
      </c>
      <c r="G16" s="440" t="str">
        <f>'Nivel 1-Resumen ejec.'!G12</f>
        <v>¿Presente?</v>
      </c>
      <c r="H16" s="440" t="str">
        <f>'Nivel 1-Resumen ejec.'!H12</f>
        <v>¿Presente?</v>
      </c>
    </row>
    <row r="17" spans="1:18">
      <c r="A17" s="699" t="s">
        <v>1121</v>
      </c>
      <c r="B17" s="440" t="str">
        <f>'Nivel 1-Resumen ejec.'!B13</f>
        <v>¿Presente?</v>
      </c>
      <c r="C17" s="440" t="str">
        <f>'Nivel 1-Resumen ejec.'!C13</f>
        <v>¿Presente?</v>
      </c>
      <c r="D17" s="440" t="str">
        <f>'Nivel 1-Resumen ejec.'!D13</f>
        <v>¿Presente?</v>
      </c>
      <c r="E17" s="440" t="str">
        <f>'Nivel 1-Resumen ejec.'!E13</f>
        <v>¿Presente?</v>
      </c>
      <c r="F17" s="440" t="str">
        <f>'Nivel 1-Resumen ejec.'!F13</f>
        <v>¿Presente?</v>
      </c>
      <c r="G17" s="440" t="str">
        <f>'Nivel 1-Resumen ejec.'!G13</f>
        <v>¿Presente?</v>
      </c>
      <c r="H17" s="440" t="str">
        <f>'Nivel 1-Resumen ejec.'!H13</f>
        <v>¿Presente?</v>
      </c>
    </row>
    <row r="18" spans="1:18">
      <c r="A18" s="699" t="s">
        <v>1115</v>
      </c>
      <c r="B18" s="440" t="str">
        <f>'Nivel 1-Resumen ejec.'!B14</f>
        <v>¿Presente?</v>
      </c>
      <c r="C18" s="440" t="str">
        <f>'Nivel 1-Resumen ejec.'!C14</f>
        <v>¿Presente?</v>
      </c>
      <c r="D18" s="440" t="str">
        <f>'Nivel 1-Resumen ejec.'!D14</f>
        <v>¿Presente?</v>
      </c>
      <c r="E18" s="440" t="str">
        <f>'Nivel 1-Resumen ejec.'!E14</f>
        <v>¿Presente?</v>
      </c>
      <c r="F18" s="440" t="str">
        <f>'Nivel 1-Resumen ejec.'!F14</f>
        <v>¿Presente?</v>
      </c>
      <c r="G18" s="440" t="str">
        <f>'Nivel 1-Resumen ejec.'!G14</f>
        <v>¿Presente?</v>
      </c>
      <c r="H18" s="440" t="str">
        <f>'Nivel 1-Resumen ejec.'!H14</f>
        <v>¿Presente?</v>
      </c>
    </row>
    <row r="19" spans="1:18">
      <c r="A19" s="699" t="s">
        <v>1082</v>
      </c>
      <c r="B19" s="440" t="str">
        <f>'Nivel 1-Resumen ejec.'!B15</f>
        <v>¿Presente?</v>
      </c>
      <c r="C19" s="440" t="str">
        <f>'Nivel 1-Resumen ejec.'!C15</f>
        <v>¿Presente?</v>
      </c>
      <c r="D19" s="440" t="str">
        <f>'Nivel 1-Resumen ejec.'!D15</f>
        <v>¿Presente?</v>
      </c>
      <c r="E19" s="440" t="str">
        <f>'Nivel 1-Resumen ejec.'!E15</f>
        <v>¿Presente?</v>
      </c>
      <c r="F19" s="440" t="str">
        <f>'Nivel 1-Resumen ejec.'!F15</f>
        <v>¿Presente?</v>
      </c>
      <c r="G19" s="440" t="str">
        <f>'Nivel 1-Resumen ejec.'!G15</f>
        <v>¿Presente?</v>
      </c>
      <c r="H19" s="440" t="str">
        <f>'Nivel 1-Resumen ejec.'!H15</f>
        <v>¿Presente?</v>
      </c>
    </row>
    <row r="20" spans="1:18" ht="12" customHeight="1">
      <c r="A20" s="699" t="s">
        <v>1116</v>
      </c>
      <c r="B20" s="440" t="str">
        <f>IF(OR('Nivel 1-Resumen total'!E61=pres,'Nivel 1-Resumen total'!E62=pres,'Nivel 1-Resumen total'!E63=pres,'Nivel 1-Resumen total'!E64=pres,'Nivel 1-Resumen total'!E65=pres),pres,0.1*SUM('Nivel 1-Resumen total'!E61:E65))</f>
        <v>¿Presente?</v>
      </c>
      <c r="C20" s="440" t="str">
        <f>'Nivel 1-Resumen ejec.'!C16</f>
        <v>¿Presente?</v>
      </c>
      <c r="D20" s="440" t="str">
        <f>'Nivel 1-Resumen ejec.'!D16</f>
        <v>¿Presente?</v>
      </c>
      <c r="E20" s="440" t="str">
        <f>'Nivel 1-Resumen ejec.'!E16</f>
        <v>¿Presente?</v>
      </c>
      <c r="F20" s="440" t="str">
        <f>'Nivel 1-Resumen ejec.'!F16</f>
        <v>¿Presente?</v>
      </c>
      <c r="G20" s="440" t="str">
        <f>'Nivel 1-Resumen ejec.'!G16</f>
        <v>¿Presente?</v>
      </c>
      <c r="H20" s="440" t="str">
        <f>'Nivel 1-Resumen ejec.'!H16</f>
        <v>¿Presente?</v>
      </c>
    </row>
    <row r="21" spans="1:18">
      <c r="A21" s="699" t="s">
        <v>1117</v>
      </c>
      <c r="B21" s="440">
        <f>0.1*IF(OR('Nivel 1-Resumen total'!E67="-",'Nivel 1-Resumen total'!E67=que, 'Nivel 1-Resumen total'!E67=pres),0,'Nivel 1-Resumen total'!E67)</f>
        <v>0</v>
      </c>
      <c r="C21" s="440" t="str">
        <f>'Nivel 1-Resumen ejec.'!C17</f>
        <v>¿Presente?</v>
      </c>
      <c r="D21" s="440" t="str">
        <f>'Nivel 1-Resumen ejec.'!D17</f>
        <v>¿Presente?</v>
      </c>
      <c r="E21" s="440" t="str">
        <f>'Nivel 1-Resumen ejec.'!E17</f>
        <v>¿Presente?</v>
      </c>
      <c r="F21" s="440" t="str">
        <f>IF('Nivel 1-Resumen total'!I67="-",0,'Nivel 1-Resumen total'!I67)</f>
        <v>¿Presente?</v>
      </c>
      <c r="G21" s="440" t="str">
        <f>IF('Nivel 1-Resumen total'!J67="-",0,'Nivel 1-Resumen total'!J67)</f>
        <v>¿Presente?</v>
      </c>
      <c r="H21" s="440" t="str">
        <f>IF('Nivel 1-Resumen total'!K67="-",0,'Nivel 1-Resumen total'!K67)</f>
        <v>¿Presente?</v>
      </c>
    </row>
    <row r="22" spans="1:18">
      <c r="A22" s="699" t="s">
        <v>1118</v>
      </c>
      <c r="B22" s="598">
        <f>0.1*IF(OR('Paso 5-Trat.+recicl. desechos'!F27="-",'Paso 5-Trat.+recicl. desechos'!F27=que, 'Paso 5-Trat.+recicl. desechos'!F27=pres),0,'Paso 5-Trat.+recicl. desechos'!F27)</f>
        <v>0</v>
      </c>
      <c r="C22" s="440" t="str">
        <f>'Nivel 1-Resumen ejec.'!C18</f>
        <v>¿Presente?</v>
      </c>
      <c r="D22" s="440" t="str">
        <f>'Nivel 1-Resumen ejec.'!D18</f>
        <v>¿Presente?</v>
      </c>
      <c r="E22" s="440" t="str">
        <f>'Nivel 1-Resumen ejec.'!E18</f>
        <v>¿Presente?</v>
      </c>
      <c r="F22" s="598" t="str">
        <f>IF('Paso 5-Trat.+recicl. desechos'!J27="-",0,'Paso 5-Trat.+recicl. desechos'!J27)</f>
        <v>¿Presente?</v>
      </c>
      <c r="G22" s="598" t="str">
        <f>IF('Paso 5-Trat.+recicl. desechos'!K27="-",0,'Paso 5-Trat.+recicl. desechos'!K27)</f>
        <v>¿Presente?</v>
      </c>
      <c r="H22" s="598" t="str">
        <f>IF('Paso 5-Trat.+recicl. desechos'!L27="-",0,'Paso 5-Trat.+recicl. desechos'!L27)</f>
        <v>¿Presente?</v>
      </c>
    </row>
    <row r="23" spans="1:18">
      <c r="A23" s="699" t="s">
        <v>1119</v>
      </c>
      <c r="B23" s="598">
        <f>0*IF(OR('Paso 5-Trat.+recicl. desechos'!F29="-",'Paso 5-Trat.+recicl. desechos'!F29=que, 'Paso 5-Trat.+recicl. desechos'!F29=pres),0,'Paso 5-Trat.+recicl. desechos'!F29)</f>
        <v>0</v>
      </c>
      <c r="C23" s="440" t="str">
        <f>'Nivel 1-Resumen ejec.'!C19</f>
        <v>¿Presente?</v>
      </c>
      <c r="D23" s="440" t="str">
        <f>'Nivel 1-Resumen ejec.'!D19</f>
        <v>¿Presente?</v>
      </c>
      <c r="E23" s="440" t="str">
        <f>'Nivel 1-Resumen ejec.'!E19</f>
        <v>¿Presente?</v>
      </c>
      <c r="F23" s="440" t="str">
        <f>'Nivel 1-Resumen ejec.'!F19</f>
        <v>¿Presente?</v>
      </c>
      <c r="G23" s="440" t="str">
        <f>'Nivel 1-Resumen ejec.'!G19</f>
        <v>¿Presente?</v>
      </c>
      <c r="H23" s="440" t="str">
        <f>'Nivel 1-Resumen ejec.'!H19</f>
        <v>¿Presente?</v>
      </c>
    </row>
    <row r="24" spans="1:18">
      <c r="A24" s="699" t="s">
        <v>1083</v>
      </c>
      <c r="B24" s="440" t="str">
        <f>IF(OR('Nivel 1-Resumen total'!E71=pres,'Nivel 1-Resumen total'!E72=pres),pres,SUM('Nivel 1-Resumen total'!E71:E72))</f>
        <v>¿Presente?</v>
      </c>
      <c r="C24" s="440" t="str">
        <f>'Nivel 1-Resumen ejec.'!C20</f>
        <v>¿Presente?</v>
      </c>
      <c r="D24" s="440" t="str">
        <f>'Nivel 1-Resumen ejec.'!D20</f>
        <v>¿Presente?</v>
      </c>
      <c r="E24" s="440" t="str">
        <f>'Nivel 1-Resumen ejec.'!E20</f>
        <v>¿Presente?</v>
      </c>
      <c r="F24" s="440" t="str">
        <f>'Nivel 1-Resumen ejec.'!F20</f>
        <v>¿Presente?</v>
      </c>
      <c r="G24" s="440" t="str">
        <f>'Nivel 1-Resumen ejec.'!G20</f>
        <v>¿Presente?</v>
      </c>
      <c r="H24" s="440" t="str">
        <f>'Nivel 1-Resumen ejec.'!H20</f>
        <v>¿Presente?</v>
      </c>
    </row>
    <row r="25" spans="1:18" s="356" customFormat="1" ht="13">
      <c r="A25" s="265" t="s">
        <v>1120</v>
      </c>
      <c r="B25" s="431">
        <f>ROUND(SUM(B8:B24),-1)</f>
        <v>0</v>
      </c>
      <c r="C25" s="431">
        <f>ROUND(SUM(C8:C24),-1)</f>
        <v>0</v>
      </c>
      <c r="D25" s="431">
        <f>ROUND(SUM(D8:D24)-IF(OR(D23="-",D23=que,D23=pres),0,D23),-1)</f>
        <v>0</v>
      </c>
      <c r="E25" s="431">
        <f>ROUND(SUM(E8:E24)-IF(OR(E22="-", E22=que, E22=pres),0,E22),-1)</f>
        <v>0</v>
      </c>
      <c r="F25" s="431">
        <f>ROUND(SUM(F8:F24),-1)</f>
        <v>0</v>
      </c>
      <c r="G25" s="431">
        <f>ROUND(SUM(G8:G24),-1)</f>
        <v>0</v>
      </c>
      <c r="H25" s="431">
        <f>ROUND(SUM(H8:H24),-1)</f>
        <v>0</v>
      </c>
      <c r="J25" s="339"/>
      <c r="K25" s="339"/>
      <c r="L25" s="339"/>
      <c r="M25" s="339"/>
      <c r="N25" s="339"/>
      <c r="O25" s="339"/>
      <c r="P25" s="339"/>
      <c r="Q25" s="339"/>
      <c r="R25" s="339"/>
    </row>
    <row r="26" spans="1:18" s="356" customFormat="1" ht="13">
      <c r="A26" s="469"/>
      <c r="B26" s="470"/>
      <c r="C26" s="470"/>
      <c r="D26" s="470"/>
      <c r="E26" s="470"/>
      <c r="F26" s="470"/>
      <c r="G26" s="470"/>
      <c r="H26" s="470"/>
    </row>
    <row r="27" spans="1:18" ht="13">
      <c r="A27" s="526" t="s">
        <v>1130</v>
      </c>
      <c r="B27" s="323"/>
    </row>
    <row r="28" spans="1:18">
      <c r="A28" s="602" t="s">
        <v>1131</v>
      </c>
    </row>
    <row r="29" spans="1:18">
      <c r="A29" s="602" t="s">
        <v>1132</v>
      </c>
    </row>
    <row r="30" spans="1:18">
      <c r="A30" s="602" t="s">
        <v>1133</v>
      </c>
    </row>
    <row r="31" spans="1:18">
      <c r="A31" s="602" t="s">
        <v>1134</v>
      </c>
    </row>
    <row r="32" spans="1:18">
      <c r="A32" s="602" t="s">
        <v>1135</v>
      </c>
    </row>
    <row r="33" spans="1:6">
      <c r="A33" s="602" t="s">
        <v>1136</v>
      </c>
    </row>
    <row r="34" spans="1:6">
      <c r="A34" s="602" t="s">
        <v>1137</v>
      </c>
    </row>
    <row r="35" spans="1:6">
      <c r="A35" s="602" t="s">
        <v>1138</v>
      </c>
    </row>
    <row r="36" spans="1:6">
      <c r="A36" s="339" t="s">
        <v>1139</v>
      </c>
    </row>
    <row r="37" spans="1:6">
      <c r="A37" s="339" t="s">
        <v>1140</v>
      </c>
    </row>
    <row r="38" spans="1:6">
      <c r="A38" s="602" t="s">
        <v>1141</v>
      </c>
      <c r="F38" s="323"/>
    </row>
    <row r="39" spans="1:6">
      <c r="A39" s="602" t="s">
        <v>1142</v>
      </c>
    </row>
    <row r="40" spans="1:6">
      <c r="A40" s="602" t="s">
        <v>1143</v>
      </c>
    </row>
    <row r="41" spans="1:6">
      <c r="A41" s="602" t="s">
        <v>1228</v>
      </c>
    </row>
    <row r="42" spans="1:6" ht="13">
      <c r="A42" s="526" t="s">
        <v>1144</v>
      </c>
    </row>
    <row r="43" spans="1:6" ht="13">
      <c r="A43" s="526" t="s">
        <v>1145</v>
      </c>
    </row>
    <row r="45" spans="1:6">
      <c r="A45" s="323" t="s">
        <v>713</v>
      </c>
    </row>
  </sheetData>
  <sheetProtection algorithmName="SHA-512" hashValue="UF80K7ec6hk15cGLgVK5D7P4FFQxbZnNzQEPeYS8L1rhvNoPRA8PLP+09Ip7a9sqBAw4XrLj2V14i2pKkKJeBg==" saltValue="voyd+IepZjaZA6r41oUt7g==" spinCount="100000" sheet="1"/>
  <mergeCells count="2">
    <mergeCell ref="B6:B7"/>
    <mergeCell ref="C6:H6"/>
  </mergeCells>
  <pageMargins left="0.39370078740157483" right="0.39370078740157483" top="0.74803149606299213" bottom="0.74803149606299213" header="0.31496062992125984" footer="0.31496062992125984"/>
  <pageSetup paperSize="9" orientation="landscape" r:id="rId1"/>
  <headerFooter>
    <oddFooter>&amp;L&amp;A
Printed &amp;D</oddFooter>
  </headerFooter>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pageSetUpPr fitToPage="1"/>
  </sheetPr>
  <dimension ref="A1:B77"/>
  <sheetViews>
    <sheetView topLeftCell="A43" workbookViewId="0">
      <selection activeCell="A71" sqref="A71"/>
    </sheetView>
  </sheetViews>
  <sheetFormatPr defaultColWidth="9.1796875" defaultRowHeight="12.5"/>
  <cols>
    <col min="1" max="1" width="48.453125" style="339" customWidth="1"/>
    <col min="2" max="2" width="16.6328125" style="360" customWidth="1"/>
    <col min="3" max="16384" width="9.1796875" style="339"/>
  </cols>
  <sheetData>
    <row r="1" spans="1:2" ht="13">
      <c r="A1" s="356" t="s">
        <v>1122</v>
      </c>
      <c r="B1" s="357"/>
    </row>
    <row r="2" spans="1:2" s="361" customFormat="1">
      <c r="A2" s="263" t="s">
        <v>837</v>
      </c>
      <c r="B2" s="745" t="s">
        <v>838</v>
      </c>
    </row>
    <row r="3" spans="1:2" ht="13">
      <c r="A3" s="417"/>
      <c r="B3" s="344" t="str">
        <f>quest</f>
        <v>S/N/?</v>
      </c>
    </row>
    <row r="4" spans="1:2" ht="13">
      <c r="A4" s="394" t="str">
        <f>'Paso 2-Energía'!A4</f>
        <v>Consumo de energía</v>
      </c>
      <c r="B4" s="373"/>
    </row>
    <row r="5" spans="1:2">
      <c r="A5" s="263" t="s">
        <v>1123</v>
      </c>
      <c r="B5" s="268" t="str">
        <f>IF(OR('Paso 2-Energía'!B5=yes,'Paso 2-Energía'!B5=no,'Paso 2-Energía'!B5=que),'Paso 2-Energía'!B5,  pres)</f>
        <v>¿Presente?</v>
      </c>
    </row>
    <row r="6" spans="1:2">
      <c r="A6" s="753" t="str">
        <f>'Paso 2-Energía'!A8</f>
        <v>Combustión de carbón en calderas industriales de carbón</v>
      </c>
      <c r="B6" s="268" t="str">
        <f>IF(OR('Paso 2-Energía'!B8=yes,'Paso 2-Energía'!B8=no,'Paso 2-Energía'!B8=que),'Paso 2-Energía'!B8,  pres)</f>
        <v>¿Presente?</v>
      </c>
    </row>
    <row r="7" spans="1:2">
      <c r="A7" s="263" t="str">
        <f>'Paso 2-Energía'!A11</f>
        <v>Otros usos del carbón</v>
      </c>
      <c r="B7" s="268" t="str">
        <f>IF(OR('Paso 2-Energía'!B11=yes,'Paso 2-Energía'!B11=no,'Paso 2-Energía'!B11=que),'Paso 2-Energía'!B11,  pres)</f>
        <v>¿Presente?</v>
      </c>
    </row>
    <row r="8" spans="1:2">
      <c r="A8" s="263" t="str">
        <f>'Paso 2-Energía'!A12</f>
        <v>Combustión/uso de coque de petróleo y petróleo pesado</v>
      </c>
      <c r="B8" s="268" t="str">
        <f>IF(OR('Paso 2-Energía'!B12=yes,'Paso 2-Energía'!B12=no,'Paso 2-Energía'!B12=que),'Paso 2-Energía'!B12,  pres)</f>
        <v>¿Presente?</v>
      </c>
    </row>
    <row r="9" spans="1:2" ht="25">
      <c r="A9" s="263" t="str">
        <f>'Paso 2-Energía'!A15</f>
        <v>Combustión/uso de diesel, gasoil, petróleo, querosén, GLP y otros destilados livianos a medios</v>
      </c>
      <c r="B9" s="268" t="str">
        <f>IF(OR('Paso 2-Energía'!B15=yes,'Paso 2-Energía'!B15=no,'Paso 2-Energía'!B15=que),'Paso 2-Energía'!B15,  pres)</f>
        <v>¿Presente?</v>
      </c>
    </row>
    <row r="10" spans="1:2">
      <c r="A10" s="263" t="str">
        <f>'Paso 2-Energía'!A18</f>
        <v>Uso de gas natural o limpio</v>
      </c>
      <c r="B10" s="268" t="str">
        <f>IF(OR('Paso 2-Energía'!B18=yes,'Paso 2-Energía'!B18=no,'Paso 2-Energía'!B18=que),'Paso 2-Energía'!B18,  pres)</f>
        <v>¿Presente?</v>
      </c>
    </row>
    <row r="11" spans="1:2">
      <c r="A11" s="263" t="str">
        <f>'Paso 2-Energía'!A19</f>
        <v>Uso de gas por cañería (calidad de consumo)</v>
      </c>
      <c r="B11" s="268" t="str">
        <f>IF(OR('Paso 2-Energía'!B19=yes,'Paso 2-Energía'!B19=no,'Paso 2-Energía'!B19=que),'Paso 2-Energía'!B19,  pres)</f>
        <v>¿Presente?</v>
      </c>
    </row>
    <row r="12" spans="1:2">
      <c r="A12" s="263" t="s">
        <v>885</v>
      </c>
      <c r="B12" s="268" t="str">
        <f>IF(OR('Paso 2-Energía'!B20=yes,'Paso 2-Energía'!B20=no,'Paso 2-Energía'!B20=que),'Paso 2-Energía'!B20,  pres)</f>
        <v>¿Presente?</v>
      </c>
    </row>
    <row r="13" spans="1:2">
      <c r="A13" s="263" t="str">
        <f>'Paso 2-Energía'!A21</f>
        <v>Combustión de carbón vegetal</v>
      </c>
      <c r="B13" s="268" t="str">
        <f>IF(OR('Paso 2-Energía'!B21=yes,'Paso 2-Energía'!B21=no,'Paso 2-Energía'!B21=que),'Paso 2-Energía'!B21,  pres)</f>
        <v>¿Presente?</v>
      </c>
    </row>
    <row r="14" spans="1:2" ht="13">
      <c r="A14" s="394" t="str">
        <f>'Paso 2-Energía'!A23</f>
        <v>Producción de combustible</v>
      </c>
      <c r="B14" s="304"/>
    </row>
    <row r="15" spans="1:2">
      <c r="A15" s="263" t="str">
        <f>'Paso 2-Energía'!A24</f>
        <v>Extracción de petróleo</v>
      </c>
      <c r="B15" s="268" t="str">
        <f>IF(OR('Paso 2-Energía'!B24=yes,'Paso 2-Energía'!B24=no,'Paso 2-Energía'!B24=que),'Paso 2-Energía'!B24,  pres)</f>
        <v>¿Presente?</v>
      </c>
    </row>
    <row r="16" spans="1:2">
      <c r="A16" s="263" t="str">
        <f>'Paso 2-Energía'!A25</f>
        <v>Refinación de petróleo</v>
      </c>
      <c r="B16" s="268" t="str">
        <f>IF(OR('Paso 2-Energía'!B25=yes,'Paso 2-Energía'!B25=no,'Paso 2-Energía'!B25=que),'Paso 2-Energía'!B25,  pres)</f>
        <v>¿Presente?</v>
      </c>
    </row>
    <row r="17" spans="1:2">
      <c r="A17" s="263" t="str">
        <f>'Paso 2-Energía'!A26</f>
        <v>Extracción y procesamiento de gas natural</v>
      </c>
      <c r="B17" s="268" t="str">
        <f>IF(OR('Paso 2-Energía'!B26=yes,'Paso 2-Energía'!B26=no,'Paso 2-Energía'!B26=que),'Paso 2-Energía'!B26,  pres)</f>
        <v>¿Presente?</v>
      </c>
    </row>
    <row r="18" spans="1:2" ht="13">
      <c r="A18" s="394" t="str">
        <f>'Paso 3-Metales-Materias primas'!A5</f>
        <v>Producción de metales primarios</v>
      </c>
      <c r="B18" s="304"/>
    </row>
    <row r="19" spans="1:2">
      <c r="A19" s="263" t="str">
        <f>'Paso 3-Metales-Materias primas'!A6</f>
        <v>Extracción (primaria) de mercurio y procesamiento inicial</v>
      </c>
      <c r="B19" s="268" t="str">
        <f>IF(OR('Paso 3-Metales-Materias primas'!B6=yes,'Paso 3-Metales-Materias primas'!B6=no,'Paso 3-Metales-Materias primas'!B6=que),'Paso 3-Metales-Materias primas'!B6,  pres)</f>
        <v>¿Presente?</v>
      </c>
    </row>
    <row r="20" spans="1:2">
      <c r="A20" s="263" t="str">
        <f>'Paso 3-Metales-Materias primas'!A7</f>
        <v>Producción de zinc a partir de concentrados</v>
      </c>
      <c r="B20" s="268" t="str">
        <f>IF(OR('Paso 3-Metales-Materias primas'!B7=yes,'Paso 3-Metales-Materias primas'!B7=no,'Paso 3-Metales-Materias primas'!B7=que),'Paso 3-Metales-Materias primas'!B7,  pres)</f>
        <v>¿Presente?</v>
      </c>
    </row>
    <row r="21" spans="1:2">
      <c r="A21" s="263" t="str">
        <f>'Paso 3-Metales-Materias primas'!A10</f>
        <v>Producción de cobre a partir de concentrados</v>
      </c>
      <c r="B21" s="268" t="str">
        <f>IF(OR('Paso 3-Metales-Materias primas'!B10=yes,'Paso 3-Metales-Materias primas'!B10=no,'Paso 3-Metales-Materias primas'!B10=que),'Paso 3-Metales-Materias primas'!B10,  pres)</f>
        <v>¿Presente?</v>
      </c>
    </row>
    <row r="22" spans="1:2">
      <c r="A22" s="263" t="str">
        <f>'Paso 3-Metales-Materias primas'!A13</f>
        <v>Producción de plomo a partir de concentrados</v>
      </c>
      <c r="B22" s="268" t="str">
        <f>IF(OR('Paso 3-Metales-Materias primas'!B13=yes,'Paso 3-Metales-Materias primas'!B13=no,'Paso 3-Metales-Materias primas'!B13=que),'Paso 3-Metales-Materias primas'!B13,  pres)</f>
        <v>¿Presente?</v>
      </c>
    </row>
    <row r="23" spans="1:2" ht="25">
      <c r="A23" s="263" t="str">
        <f>'Paso 3-Metales-Materias primas'!A16</f>
        <v>Extracción de oro por métodos distintos a la amalgamación de mercurio</v>
      </c>
      <c r="B23" s="268" t="str">
        <f>IF(OR('Paso 3-Metales-Materias primas'!B16=yes,'Paso 3-Metales-Materias primas'!B16=no,'Paso 3-Metales-Materias primas'!B16=que),'Paso 3-Metales-Materias primas'!B16,  pres)</f>
        <v>¿Presente?</v>
      </c>
    </row>
    <row r="24" spans="1:2" ht="25">
      <c r="A24" s="263" t="str">
        <f>'Paso 3-Metales-Materias primas'!A17</f>
        <v>Producción de alúmina a partir de bauxita (producción de aluminio)</v>
      </c>
      <c r="B24" s="268" t="str">
        <f>IF(OR('Paso 3-Metales-Materias primas'!B17=yes,'Paso 3-Metales-Materias primas'!B17=no,'Paso 3-Metales-Materias primas'!B17=que),'Paso 3-Metales-Materias primas'!B17,  pres)</f>
        <v>¿Presente?</v>
      </c>
    </row>
    <row r="25" spans="1:2" ht="25">
      <c r="A25" s="263" t="str">
        <f>'Paso 3-Metales-Materias primas'!A18</f>
        <v>Producción primaria de metal ferroso (producción de arrabio)</v>
      </c>
      <c r="B25" s="268" t="str">
        <f>IF(OR('Paso 3-Metales-Materias primas'!B18=yes,'Paso 3-Metales-Materias primas'!B18=no,'Paso 3-Metales-Materias primas'!B18=que),'Paso 3-Metales-Materias primas'!B18,  pres)</f>
        <v>¿Presente?</v>
      </c>
    </row>
    <row r="26" spans="1:2" ht="25">
      <c r="A26" s="263" t="str">
        <f>'Paso 3-Metales-Materias primas'!A19</f>
        <v>Extracción de oro con amalgamación de mercurio -  a partir del mineral entero (mineral en bruto)</v>
      </c>
      <c r="B26" s="268" t="str">
        <f>IF(OR('Paso 3-Metales-Materias primas'!B19=yes,'Paso 3-Metales-Materias primas'!B19=no,'Paso 3-Metales-Materias primas'!B19=que),'Paso 3-Metales-Materias primas'!B19,  pres)</f>
        <v>¿Presente?</v>
      </c>
    </row>
    <row r="27" spans="1:2" ht="25">
      <c r="A27" s="263" t="str">
        <f>'Paso 3-Metales-Materias primas'!A22</f>
        <v>Extracción de oro con amalgamación de mercurio - a partir de concentrados</v>
      </c>
      <c r="B27" s="268" t="str">
        <f>IF(OR('Paso 3-Metales-Materias primas'!B22=yes,'Paso 3-Metales-Materias primas'!B22=no,'Paso 3-Metales-Materias primas'!B22=que),'Paso 3-Metales-Materias primas'!B22,  pres)</f>
        <v>¿Presente?</v>
      </c>
    </row>
    <row r="28" spans="1:2" ht="13">
      <c r="A28" s="394" t="str">
        <f>'Paso 3-Metales-Materias primas'!A25</f>
        <v>Producción de otros materiales</v>
      </c>
      <c r="B28" s="304"/>
    </row>
    <row r="29" spans="1:2">
      <c r="A29" s="263" t="str">
        <f>'Paso 3-Metales-Materias primas'!A26</f>
        <v>Producción de cemento</v>
      </c>
      <c r="B29" s="268" t="str">
        <f>IF(OR('Paso 3-Metales-Materias primas'!B26=yes,'Paso 3-Metales-Materias primas'!B26=no,'Paso 3-Metales-Materias primas'!B26=que),'Paso 3-Metales-Materias primas'!B26,  pres)</f>
        <v>¿Presente?</v>
      </c>
    </row>
    <row r="30" spans="1:2">
      <c r="A30" s="263" t="str">
        <f>'Paso 3-Metales-Materias primas'!A31</f>
        <v>Producción de pasta y papel</v>
      </c>
      <c r="B30" s="268" t="str">
        <f>IF(OR('Paso 3-Metales-Materias primas'!B31=yes,'Paso 3-Metales-Materias primas'!B31=no,'Paso 3-Metales-Materias primas'!B31=que),'Paso 3-Metales-Materias primas'!B31,  pres)</f>
        <v>¿Presente?</v>
      </c>
    </row>
    <row r="31" spans="1:2" ht="13">
      <c r="A31" s="394" t="str">
        <f>'Paso 4-Uso industrial de Hg'!A4</f>
        <v>Producción de productos químicos</v>
      </c>
      <c r="B31" s="304"/>
    </row>
    <row r="32" spans="1:2">
      <c r="A32" s="263" t="str">
        <f>'Paso 4-Uso industrial de Hg'!A5</f>
        <v>Producción de cloro-álcali con celdas de mercurio</v>
      </c>
      <c r="B32" s="268" t="str">
        <f>IF(OR('Paso 4-Uso industrial de Hg'!B5=yes,'Paso 4-Uso industrial de Hg'!B5=no,'Paso 4-Uso industrial de Hg'!B5=que),'Paso 4-Uso industrial de Hg'!B5,  pres)</f>
        <v>¿Presente?</v>
      </c>
    </row>
    <row r="33" spans="1:2">
      <c r="A33" s="263" t="str">
        <f>'Paso 4-Uso industrial de Hg'!A6</f>
        <v>Producción de CVM con catalizador de mercurio</v>
      </c>
      <c r="B33" s="268" t="str">
        <f>IF(OR('Paso 4-Uso industrial de Hg'!B6=yes,'Paso 4-Uso industrial de Hg'!B6=no,'Paso 4-Uso industrial de Hg'!B6=que),'Paso 4-Uso industrial de Hg'!B6,  pres)</f>
        <v>¿Presente?</v>
      </c>
    </row>
    <row r="34" spans="1:2">
      <c r="A34" s="263" t="str">
        <f>'Paso 4-Uso industrial de Hg'!A7</f>
        <v>Producción de acetaldehído con catalizador de mercurio</v>
      </c>
      <c r="B34" s="268" t="str">
        <f>IF(OR('Paso 4-Uso industrial de Hg'!B7=yes,'Paso 4-Uso industrial de Hg'!B7=no,'Paso 4-Uso industrial de Hg'!B7=que),'Paso 4-Uso industrial de Hg'!B7,  pres)</f>
        <v>¿Presente?</v>
      </c>
    </row>
    <row r="35" spans="1:2" ht="13">
      <c r="A35" s="394" t="str">
        <f>'Paso 4-Uso industrial de Hg'!A9</f>
        <v>Producción de productos con contenido de mercurio</v>
      </c>
      <c r="B35" s="304"/>
    </row>
    <row r="36" spans="1:2" ht="25">
      <c r="A36" s="263" t="str">
        <f>'Paso 4-Uso industrial de Hg'!A10</f>
        <v xml:space="preserve">Termómetros de Hg (médicos, atmosféricos, de laboratorio, industriales, etc.) </v>
      </c>
      <c r="B36" s="268" t="str">
        <f>IF(OR('Paso 4-Uso industrial de Hg'!B10=yes,'Paso 4-Uso industrial de Hg'!B10=no,'Paso 4-Uso industrial de Hg'!B10=que),'Paso 4-Uso industrial de Hg'!B10,  pres)</f>
        <v>¿Presente?</v>
      </c>
    </row>
    <row r="37" spans="1:2">
      <c r="A37" s="263" t="str">
        <f>'Paso 4-Uso industrial de Hg'!A11</f>
        <v xml:space="preserve">Conmutadores eléctricos y relés con mercurio </v>
      </c>
      <c r="B37" s="268" t="str">
        <f>IF(OR('Paso 4-Uso industrial de Hg'!B11=yes,'Paso 4-Uso industrial de Hg'!B11=no,'Paso 4-Uso industrial de Hg'!B11=que),'Paso 4-Uso industrial de Hg'!B11,  pres)</f>
        <v>¿Presente?</v>
      </c>
    </row>
    <row r="38" spans="1:2" ht="25">
      <c r="A38" s="263" t="str">
        <f>'Paso 4-Uso industrial de Hg'!A12</f>
        <v xml:space="preserve">Fuentes lumínicas con mercurio (fluorescentes, compactas, otras: ver pauta) </v>
      </c>
      <c r="B38" s="268" t="str">
        <f>IF(OR('Paso 4-Uso industrial de Hg'!B12=yes,'Paso 4-Uso industrial de Hg'!B12=no,'Paso 4-Uso industrial de Hg'!B12=que),'Paso 4-Uso industrial de Hg'!B12,  pres)</f>
        <v>¿Presente?</v>
      </c>
    </row>
    <row r="39" spans="1:2">
      <c r="A39" s="263" t="str">
        <f>'Paso 4-Uso industrial de Hg'!A13</f>
        <v xml:space="preserve">Pilas con mercurio </v>
      </c>
      <c r="B39" s="268" t="str">
        <f>IF(OR('Paso 4-Uso industrial de Hg'!B13=yes,'Paso 4-Uso industrial de Hg'!B13=no,'Paso 4-Uso industrial de Hg'!B13=que),'Paso 4-Uso industrial de Hg'!B13,  pres)</f>
        <v>¿Presente?</v>
      </c>
    </row>
    <row r="40" spans="1:2">
      <c r="A40" s="263" t="str">
        <f>'Paso 4-Uso industrial de Hg'!A14</f>
        <v xml:space="preserve">Manómetros e indicadores con mercurio </v>
      </c>
      <c r="B40" s="268" t="str">
        <f>IF(OR('Paso 4-Uso industrial de Hg'!B14=yes,'Paso 4-Uso industrial de Hg'!B14=no,'Paso 4-Uso industrial de Hg'!B14=que),'Paso 4-Uso industrial de Hg'!B14,  pres)</f>
        <v>¿Presente?</v>
      </c>
    </row>
    <row r="41" spans="1:2">
      <c r="A41" s="263" t="str">
        <f>'Paso 4-Uso industrial de Hg'!A15</f>
        <v xml:space="preserve">Biocidas y pesticidas con mercurio </v>
      </c>
      <c r="B41" s="268" t="str">
        <f>IF(OR('Paso 4-Uso industrial de Hg'!B15=yes,'Paso 4-Uso industrial de Hg'!B15=no,'Paso 4-Uso industrial de Hg'!B15=que),'Paso 4-Uso industrial de Hg'!B15,  pres)</f>
        <v>¿Presente?</v>
      </c>
    </row>
    <row r="42" spans="1:2">
      <c r="A42" s="263" t="str">
        <f>'Paso 4-Uso industrial de Hg'!A16</f>
        <v xml:space="preserve">Pinturas con mercurio </v>
      </c>
      <c r="B42" s="268" t="str">
        <f>IF(OR('Paso 4-Uso industrial de Hg'!B16=yes,'Paso 4-Uso industrial de Hg'!B16=no,'Paso 4-Uso industrial de Hg'!B16=que),'Paso 4-Uso industrial de Hg'!B16,  pres)</f>
        <v>¿Presente?</v>
      </c>
    </row>
    <row r="43" spans="1:2" ht="25">
      <c r="A43" s="263" t="str">
        <f>'Paso 4-Uso industrial de Hg'!A17</f>
        <v xml:space="preserve">Cremas y jabones aclarantes de la piel con productos químicos con mercurio </v>
      </c>
      <c r="B43" s="268" t="str">
        <f>IF(OR('Paso 4-Uso industrial de Hg'!B17=yes,'Paso 4-Uso industrial de Hg'!B17=no,'Paso 4-Uso industrial de Hg'!B17=que),'Paso 4-Uso industrial de Hg'!B17,  pres)</f>
        <v>¿Presente?</v>
      </c>
    </row>
    <row r="44" spans="1:2" ht="26">
      <c r="A44" s="394" t="str">
        <f>'Paso 6-Prod. y sust. con Hg'!A6</f>
        <v>Uso y desecho de productos con contenido de mercurio</v>
      </c>
      <c r="B44" s="304"/>
    </row>
    <row r="45" spans="1:2">
      <c r="A45" s="263" t="str">
        <f>'Paso 6-Prod. y sust. con Hg'!A7</f>
        <v>Empastes de amalgamas dentales (empastes de "plata")</v>
      </c>
      <c r="B45" s="268" t="str">
        <f>IF(OR('Paso 6-Prod. y sust. con Hg'!B7=yes,'Paso 6-Prod. y sust. con Hg'!B7=no,'Paso 6-Prod. y sust. con Hg'!B7=que),'Paso 6-Prod. y sust. con Hg'!B7,  pres)</f>
        <v>¿Presente?</v>
      </c>
    </row>
    <row r="46" spans="1:2">
      <c r="A46" s="263" t="str">
        <f>'Paso 6-Prod. y sust. con Hg'!A16</f>
        <v>Termómetros médicos de Hg</v>
      </c>
      <c r="B46" s="268" t="str">
        <f>IF(OR('Paso 6-Prod. y sust. con Hg'!B16=yes,'Paso 6-Prod. y sust. con Hg'!B16=no,'Paso 6-Prod. y sust. con Hg'!B16=que),'Paso 6-Prod. y sust. con Hg'!B16,  pres)</f>
        <v>¿Presente?</v>
      </c>
    </row>
    <row r="47" spans="1:2" ht="29" customHeight="1">
      <c r="A47" s="263" t="str">
        <f>'Paso 6-Prod. y sust. con Hg'!A17</f>
        <v>Otros termómetros de vidrio de Hg (aire, laboratorio, lechería, etc.)</v>
      </c>
      <c r="B47" s="741" t="str">
        <f>IF(OR('Paso 6-Prod. y sust. con Hg'!B17=yes,'Paso 6-Prod. y sust. con Hg'!B17=no,'Paso 6-Prod. y sust. con Hg'!B17=que),'Paso 6-Prod. y sust. con Hg'!B17,  pres)</f>
        <v>¿Presente?</v>
      </c>
    </row>
    <row r="48" spans="1:2" ht="42" customHeight="1">
      <c r="A48" s="263" t="str">
        <f>'Paso 6-Prod. y sust. con Hg'!A18</f>
        <v>Termómetros de Hg para control de motores y demás termómetros de Hg de gran tamaño de uso industrial o especializado</v>
      </c>
      <c r="B48" s="741" t="str">
        <f>IF(OR('Paso 6-Prod. y sust. con Hg'!B18=yes,'Paso 6-Prod. y sust. con Hg'!B18=no,'Paso 6-Prod. y sust. con Hg'!B18=que),'Paso 6-Prod. y sust. con Hg'!B18,  pres)</f>
        <v>¿Presente?</v>
      </c>
    </row>
    <row r="49" spans="1:2">
      <c r="A49" s="674" t="str">
        <f>'Paso 6-Prod. y sust. con Hg'!A20</f>
        <v>Conmutadores eléctricos y relés con mercurio</v>
      </c>
      <c r="B49" s="268" t="str">
        <f>IF(OR('Paso 6-Prod. y sust. con Hg'!B20=yes,'Paso 6-Prod. y sust. con Hg'!B20=no,'Paso 6-Prod. y sust. con Hg'!B20=que),'Paso 6-Prod. y sust. con Hg'!B20,  pres)</f>
        <v>¿Presente?</v>
      </c>
    </row>
    <row r="50" spans="1:2">
      <c r="A50" s="263" t="str">
        <f>'Paso 6-Prod. y sust. con Hg'!A24</f>
        <v>Tubos fluorescentes (de doble terminal)</v>
      </c>
      <c r="B50" s="268" t="str">
        <f>IF(OR('Paso 6-Prod. y sust. con Hg'!B24=yes,'Paso 6-Prod. y sust. con Hg'!B24=no,'Paso 6-Prod. y sust. con Hg'!B24=que),'Paso 6-Prod. y sust. con Hg'!B24,  pres)</f>
        <v>¿Presente?</v>
      </c>
    </row>
    <row r="51" spans="1:2">
      <c r="A51" s="263" t="str">
        <f>'Paso 6-Prod. y sust. con Hg'!A25</f>
        <v>Lámpara compacta fluorescente (de un solo terminal)</v>
      </c>
      <c r="B51" s="268" t="str">
        <f>IF(OR('Paso 6-Prod. y sust. con Hg'!B25=yes,'Paso 6-Prod. y sust. con Hg'!B25=no,'Paso 6-Prod. y sust. con Hg'!B25=que),'Paso 6-Prod. y sust. con Hg'!B25,  pres)</f>
        <v>¿Presente?</v>
      </c>
    </row>
    <row r="52" spans="1:2">
      <c r="A52" s="263" t="str">
        <f>'Paso 6-Prod. y sust. con Hg'!A26</f>
        <v>Otras fuentes de luz con contenido de Hg (ver pauta)</v>
      </c>
      <c r="B52" s="268" t="str">
        <f>IF(OR('Paso 6-Prod. y sust. con Hg'!B26=yes,'Paso 6-Prod. y sust. con Hg'!B26=no,'Paso 6-Prod. y sust. con Hg'!B26=que),'Paso 6-Prod. y sust. con Hg'!B26,  pres)</f>
        <v>¿Presente?</v>
      </c>
    </row>
    <row r="53" spans="1:2" ht="25">
      <c r="A53" s="263" t="str">
        <f>'Paso 6-Prod. y sust. con Hg'!A29</f>
        <v>Óxido de mercurio (celdas de botón y de otros tamaño); también llamadas "celdas de mercurio y zinc"</v>
      </c>
      <c r="B53" s="268" t="str">
        <f>IF(OR('Paso 6-Prod. y sust. con Hg'!B29=yes,'Paso 6-Prod. y sust. con Hg'!B29=no,'Paso 6-Prod. y sust. con Hg'!B29=que),'Paso 6-Prod. y sust. con Hg'!B29,  pres)</f>
        <v>¿Presente?</v>
      </c>
    </row>
    <row r="54" spans="1:2" ht="27" customHeight="1">
      <c r="A54" s="263" t="str">
        <f>'Paso 6-Prod. y sust. con Hg'!A30</f>
        <v>Otras celdas de botón (zinc-aire, celdas de botón alcalinas, plata-óxido)</v>
      </c>
      <c r="B54" s="268" t="str">
        <f>IF(OR('Paso 6-Prod. y sust. con Hg'!B30=yes,'Paso 6-Prod. y sust. con Hg'!B30=no,'Paso 6-Prod. y sust. con Hg'!B30=que),'Paso 6-Prod. y sust. con Hg'!B30,  pres)</f>
        <v>¿Presente?</v>
      </c>
    </row>
    <row r="55" spans="1:2" ht="29" customHeight="1">
      <c r="A55" s="263" t="str">
        <f>'Paso 6-Prod. y sust. con Hg'!A31</f>
        <v>Otras pilas con mercurio (pilas cilíndricas alcalinas comunes, de permanganato, etc.; ver pauta)</v>
      </c>
      <c r="B55" s="268" t="str">
        <f>IF(OR('Paso 6-Prod. y sust. con Hg'!B31=yes,'Paso 6-Prod. y sust. con Hg'!B31=no,'Paso 6-Prod. y sust. con Hg'!B31=que),'Paso 6-Prod. y sust. con Hg'!B31,  pres)</f>
        <v>¿Presente?</v>
      </c>
    </row>
    <row r="56" spans="1:2" ht="25">
      <c r="A56" s="263" t="str">
        <f>'Paso 6-Prod. y sust. con Hg'!A33</f>
        <v>Poliuretano (PU, PUR) producido con catalizador de mercurio</v>
      </c>
      <c r="B56" s="268" t="str">
        <f>IF(OR('Paso 6-Prod. y sust. con Hg'!B33=yes,'Paso 6-Prod. y sust. con Hg'!B33=no,'Paso 6-Prod. y sust. con Hg'!B33=que),'Paso 6-Prod. y sust. con Hg'!B33,  pres)</f>
        <v>¿Presente?</v>
      </c>
    </row>
    <row r="57" spans="1:2" ht="13">
      <c r="A57" s="394" t="str">
        <f>'Paso 5-Trat.+recicl. desechos'!A8</f>
        <v>Producción de metales reciclados</v>
      </c>
      <c r="B57" s="304"/>
    </row>
    <row r="58" spans="1:2" ht="25">
      <c r="A58" s="263" t="str">
        <f>'Paso 5-Trat.+recicl. desechos'!A9</f>
        <v>Producción de mercurio reciclado ("producción secundaria")</v>
      </c>
      <c r="B58" s="268" t="str">
        <f>IF(OR('Paso 5-Trat.+recicl. desechos'!B9=yes,'Paso 5-Trat.+recicl. desechos'!B9=no,'Paso 5-Trat.+recicl. desechos'!B9=que),'Paso 5-Trat.+recicl. desechos'!B9,  pres)</f>
        <v>¿Presente?</v>
      </c>
    </row>
    <row r="59" spans="1:2" ht="25">
      <c r="A59" s="263" t="str">
        <f>'Paso 5-Trat.+recicl. desechos'!A10</f>
        <v>Producción de metales ferrosos reciclados (hierro y acero)</v>
      </c>
      <c r="B59" s="268" t="str">
        <f>IF(OR('Paso 5-Trat.+recicl. desechos'!B10=yes,'Paso 5-Trat.+recicl. desechos'!B10=no,'Paso 5-Trat.+recicl. desechos'!B10=que),'Paso 5-Trat.+recicl. desechos'!B10,  pres)</f>
        <v>¿Presente?</v>
      </c>
    </row>
    <row r="60" spans="1:2" ht="13">
      <c r="A60" s="394" t="str">
        <f>'Paso 5-Trat.+recicl. desechos'!A12</f>
        <v>Incineración de desechos</v>
      </c>
      <c r="B60" s="304"/>
    </row>
    <row r="61" spans="1:2">
      <c r="A61" s="263" t="str">
        <f>'Paso 5-Trat.+recicl. desechos'!A13</f>
        <v>Incineración de desechos municipales o generales</v>
      </c>
      <c r="B61" s="268" t="str">
        <f>IF(OR('Paso 5-Trat.+recicl. desechos'!B13=yes,'Paso 5-Trat.+recicl. desechos'!B13=no,'Paso 5-Trat.+recicl. desechos'!B13=que),'Paso 5-Trat.+recicl. desechos'!B13,  pres)</f>
        <v>¿Presente?</v>
      </c>
    </row>
    <row r="62" spans="1:2">
      <c r="A62" s="263" t="str">
        <f>'Paso 5-Trat.+recicl. desechos'!A16</f>
        <v>Incineración residuos peligrosos</v>
      </c>
      <c r="B62" s="268" t="str">
        <f>IF(OR('Paso 5-Trat.+recicl. desechos'!B16=yes,'Paso 5-Trat.+recicl. desechos'!B16=no,'Paso 5-Trat.+recicl. desechos'!B16=que),'Paso 5-Trat.+recicl. desechos'!B16,  pres)</f>
        <v>¿Presente?</v>
      </c>
    </row>
    <row r="63" spans="1:2">
      <c r="A63" s="263" t="str">
        <f>'Paso 5-Trat.+recicl. desechos'!A19</f>
        <v>Incineración y quema al aire libre de desechos médicos</v>
      </c>
      <c r="B63" s="268" t="str">
        <f>IF(OR('Paso 5-Trat.+recicl. desechos'!B19=yes,'Paso 5-Trat.+recicl. desechos'!B19=no,'Paso 5-Trat.+recicl. desechos'!B19=que),'Paso 5-Trat.+recicl. desechos'!B19,  pres)</f>
        <v>¿Presente?</v>
      </c>
    </row>
    <row r="64" spans="1:2">
      <c r="A64" s="263" t="str">
        <f>'Paso 5-Trat.+recicl. desechos'!A22</f>
        <v>Incineración de lodos residuales</v>
      </c>
      <c r="B64" s="268" t="str">
        <f>IF(OR('Paso 5-Trat.+recicl. desechos'!B22=yes,'Paso 5-Trat.+recicl. desechos'!B22=no,'Paso 5-Trat.+recicl. desechos'!B22=que),'Paso 5-Trat.+recicl. desechos'!B22,  pres)</f>
        <v>¿Presente?</v>
      </c>
    </row>
    <row r="65" spans="1:2" ht="25">
      <c r="A65" s="263" t="str">
        <f>'Paso 5-Trat.+recicl. desechos'!A23</f>
        <v>Quema al aire libre de desechos (en vertederos y de manera informal)</v>
      </c>
      <c r="B65" s="268" t="str">
        <f>IF(OR('Paso 5-Trat.+recicl. desechos'!B23=yes,'Paso 5-Trat.+recicl. desechos'!B23=no,'Paso 5-Trat.+recicl. desechos'!B23=que),'Paso 5-Trat.+recicl. desechos'!B23,  pres)</f>
        <v>¿Presente?</v>
      </c>
    </row>
    <row r="66" spans="1:2" ht="26">
      <c r="A66" s="394" t="str">
        <f>'Paso 5-Trat.+recicl. desechos'!A25</f>
        <v>Depósito/vertido de desechos y tratamiento de aguas residuales</v>
      </c>
      <c r="B66" s="304"/>
    </row>
    <row r="67" spans="1:2">
      <c r="A67" s="263" t="str">
        <f>'Paso 5-Trat.+recicl. desechos'!A26</f>
        <v>Vertederos o depósitos controlados</v>
      </c>
      <c r="B67" s="268" t="str">
        <f>IF(OR('Paso 5-Trat.+recicl. desechos'!B26=yes,'Paso 5-Trat.+recicl. desechos'!B26=no,'Paso 5-Trat.+recicl. desechos'!B26=que),'Paso 5-Trat.+recicl. desechos'!B26,  pres)</f>
        <v>¿Presente?</v>
      </c>
    </row>
    <row r="68" spans="1:2">
      <c r="A68" s="263" t="str">
        <f>'Paso 5-Trat.+recicl. desechos'!A27</f>
        <v>Vertido informal de desechos generales *1</v>
      </c>
      <c r="B68" s="268" t="str">
        <f>IF(OR('Paso 5-Trat.+recicl. desechos'!B27=yes,'Paso 5-Trat.+recicl. desechos'!B27=no,'Paso 5-Trat.+recicl. desechos'!B27=que),'Paso 5-Trat.+recicl. desechos'!B27,  pres)</f>
        <v>¿Presente?</v>
      </c>
    </row>
    <row r="69" spans="1:2">
      <c r="A69" s="263" t="str">
        <f>'Paso 5-Trat.+recicl. desechos'!A29</f>
        <v>Sistema/tratamiento de aguas residuales</v>
      </c>
      <c r="B69" s="268" t="str">
        <f>IF(OR('Paso 5-Trat.+recicl. desechos'!B29=yes,'Paso 5-Trat.+recicl. desechos'!B29=no,'Paso 5-Trat.+recicl. desechos'!B29=que),'Paso 5-Trat.+recicl. desechos'!B29,  pres)</f>
        <v>¿Presente?</v>
      </c>
    </row>
    <row r="70" spans="1:2" ht="13">
      <c r="A70" s="394" t="str">
        <f>'Paso 7-Crematorios-cementerios'!A4</f>
        <v>Crematorios y cementerios</v>
      </c>
      <c r="B70" s="304"/>
    </row>
    <row r="71" spans="1:2">
      <c r="A71" s="263" t="str">
        <f>'Paso 7-Crematorios-cementerios'!A5</f>
        <v>Crematorios</v>
      </c>
      <c r="B71" s="268" t="str">
        <f>IF(OR('Paso 7-Crematorios-cementerios'!B5=yes,'Paso 7-Crematorios-cementerios'!B5=no,'Paso 7-Crematorios-cementerios'!B5=que),'Paso 7-Crematorios-cementerios'!B5,  pres)</f>
        <v>¿Presente?</v>
      </c>
    </row>
    <row r="72" spans="1:2">
      <c r="A72" s="263" t="str">
        <f>'Paso 7-Crematorios-cementerios'!A6</f>
        <v>Cementerios</v>
      </c>
      <c r="B72" s="268" t="str">
        <f>IF(OR('Paso 7-Crematorios-cementerios'!B6=yes,'Paso 7-Crematorios-cementerios'!B6=no,'Paso 7-Crematorios-cementerios'!B6=que),'Paso 7-Crematorios-cementerios'!B6,  pres)</f>
        <v>¿Presente?</v>
      </c>
    </row>
    <row r="73" spans="1:2">
      <c r="A73" s="358"/>
      <c r="B73" s="359"/>
    </row>
    <row r="77" spans="1:2">
      <c r="A77" s="374"/>
    </row>
  </sheetData>
  <sheetProtection algorithmName="SHA-512" hashValue="e5QtFzZBy+7UHtvoI9OgGiCawENsnrJbbJjGzdlhsB+A+pddriP+Rsw+qkz/RVYEBHWPSsPTndVhrAGdn0UJ+A==" saltValue="KvYwV7QnbyUuteISwRsoHg==" spinCount="100000" sheet="1" objects="1" scenarios="1"/>
  <pageMargins left="0.39370078740157483" right="0.39370078740157483" top="0.74803149606299213" bottom="0.74803149606299213" header="0.31496062992125984" footer="0.31496062992125984"/>
  <pageSetup paperSize="9" scale="90" fitToHeight="2" orientation="landscape" r:id="rId1"/>
  <headerFooter>
    <oddFooter>&amp;L&amp;A
Printed &amp;D</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9"/>
  <dimension ref="A1:E82"/>
  <sheetViews>
    <sheetView topLeftCell="A29" workbookViewId="0">
      <selection activeCell="E73" sqref="E73"/>
    </sheetView>
  </sheetViews>
  <sheetFormatPr defaultColWidth="9.1796875" defaultRowHeight="12.5"/>
  <cols>
    <col min="1" max="1" width="46.81640625" style="339" customWidth="1"/>
    <col min="2" max="2" width="10.36328125" style="360" customWidth="1"/>
    <col min="3" max="3" width="13.453125" style="339" customWidth="1"/>
    <col min="4" max="4" width="33.453125" style="339" customWidth="1"/>
    <col min="5" max="5" width="12.453125" style="339" customWidth="1"/>
    <col min="6" max="16384" width="9.1796875" style="339"/>
  </cols>
  <sheetData>
    <row r="1" spans="1:5" ht="13">
      <c r="A1" s="356" t="s">
        <v>1146</v>
      </c>
      <c r="B1" s="357"/>
    </row>
    <row r="2" spans="1:5" s="361" customFormat="1" ht="37.5">
      <c r="A2" s="263" t="s">
        <v>837</v>
      </c>
      <c r="B2" s="745" t="s">
        <v>838</v>
      </c>
      <c r="C2" s="263"/>
      <c r="D2" s="263"/>
      <c r="E2" s="745" t="s">
        <v>844</v>
      </c>
    </row>
    <row r="3" spans="1:5" ht="25.5">
      <c r="A3" s="417"/>
      <c r="B3" s="344" t="str">
        <f>quest</f>
        <v>S/N/?</v>
      </c>
      <c r="C3" s="738" t="s">
        <v>1147</v>
      </c>
      <c r="D3" s="738" t="s">
        <v>843</v>
      </c>
      <c r="E3" s="745" t="s">
        <v>846</v>
      </c>
    </row>
    <row r="4" spans="1:5" ht="13">
      <c r="A4" s="394" t="str">
        <f>'Range-thresholds'!A5</f>
        <v>Consumo de energía</v>
      </c>
      <c r="B4" s="373"/>
      <c r="C4" s="424"/>
      <c r="D4" s="304"/>
      <c r="E4" s="424"/>
    </row>
    <row r="5" spans="1:5">
      <c r="A5" s="263" t="str">
        <f>'Range-thresholds'!A6</f>
        <v>Combustión de carbón en centrales eléctricas</v>
      </c>
      <c r="B5" s="268" t="str">
        <f>IF(OR('Paso 2-Energía'!B5=yes,'Paso 2-Energía'!B5=no,'Paso 2-Energía'!B5=que),'Paso 2-Energía'!B5,  pres)</f>
        <v>¿Presente?</v>
      </c>
      <c r="C5" s="427">
        <f>'Nivel 1-Resumen total'!C5</f>
        <v>0</v>
      </c>
      <c r="D5" s="263" t="str">
        <f>'Paso 2-Energía'!D5</f>
        <v xml:space="preserve">Carbón quemado, t/a </v>
      </c>
      <c r="E5" s="427" t="str">
        <f>'Nivel 1-Resumen total'!E5</f>
        <v>¿Presente?</v>
      </c>
    </row>
    <row r="6" spans="1:5" ht="25">
      <c r="A6" s="263" t="str">
        <f>'Range-thresholds'!A7</f>
        <v>Combustión de carbón en calderas industriales de carbón</v>
      </c>
      <c r="B6" s="268" t="str">
        <f>IF(OR('Paso 2-Energía'!B8=yes,'Paso 2-Energía'!B8=no,'Paso 2-Energía'!B8=que),'Paso 2-Energía'!B8,  pres)</f>
        <v>¿Presente?</v>
      </c>
      <c r="C6" s="427">
        <f>'Nivel 1-Resumen total'!C6</f>
        <v>0</v>
      </c>
      <c r="D6" s="263" t="str">
        <f>'Paso 2-Energía'!D8</f>
        <v xml:space="preserve">Carbón quemado, t/a </v>
      </c>
      <c r="E6" s="427" t="str">
        <f>'Nivel 1-Resumen total'!E6</f>
        <v>¿Presente?</v>
      </c>
    </row>
    <row r="7" spans="1:5">
      <c r="A7" s="263" t="str">
        <f>'Range-thresholds'!A8</f>
        <v>Otros usos del carbón</v>
      </c>
      <c r="B7" s="268" t="str">
        <f>IF(OR('Paso 2-Energía'!B11=yes,'Paso 2-Energía'!B11=no,'Paso 2-Energía'!B11=que),'Paso 2-Energía'!B11,  pres)</f>
        <v>¿Presente?</v>
      </c>
      <c r="C7" s="427">
        <f>'Nivel 1-Resumen total'!C7</f>
        <v>0</v>
      </c>
      <c r="D7" s="263" t="str">
        <f>'Paso 2-Energía'!D11</f>
        <v>Carbón utilizado, t/a</v>
      </c>
      <c r="E7" s="427" t="str">
        <f>'Nivel 1-Resumen total'!E7</f>
        <v>¿Presente?</v>
      </c>
    </row>
    <row r="8" spans="1:5" ht="25">
      <c r="A8" s="263" t="str">
        <f>'Range-thresholds'!A9</f>
        <v>Combustión/uso de coque de petróleo y petróleo pesado</v>
      </c>
      <c r="B8" s="268" t="str">
        <f>IF(OR('Paso 2-Energía'!B12=yes,'Paso 2-Energía'!B12=no,'Paso 2-Energía'!B12=que),'Paso 2-Energía'!B12,  pres)</f>
        <v>¿Presente?</v>
      </c>
      <c r="C8" s="427">
        <f>'Nivel 1-Resumen total'!C8</f>
        <v>0</v>
      </c>
      <c r="D8" s="263" t="str">
        <f>'Paso 2-Energía'!D12</f>
        <v>Producto de petróleo quemado, t/a</v>
      </c>
      <c r="E8" s="427" t="str">
        <f>'Nivel 1-Resumen total'!E8</f>
        <v>¿Presente?</v>
      </c>
    </row>
    <row r="9" spans="1:5" ht="25">
      <c r="A9" s="263" t="str">
        <f>'Range-thresholds'!A10</f>
        <v>Combustión/uso de diesel, gasoil, petróleo, querosén, GLP y otros destilados livianos a medios</v>
      </c>
      <c r="B9" s="268" t="str">
        <f>IF(OR('Paso 2-Energía'!B15=yes,'Paso 2-Energía'!B15=no,'Paso 2-Energía'!B15=que),'Paso 2-Energía'!B15,  pres)</f>
        <v>¿Presente?</v>
      </c>
      <c r="C9" s="427">
        <f>'Nivel 1-Resumen total'!C9</f>
        <v>0</v>
      </c>
      <c r="D9" s="263" t="str">
        <f>'Paso 2-Energía'!D15</f>
        <v>Producto de petróleo quemado, t/a</v>
      </c>
      <c r="E9" s="427" t="str">
        <f>'Nivel 1-Resumen total'!E9</f>
        <v>¿Presente?</v>
      </c>
    </row>
    <row r="10" spans="1:5">
      <c r="A10" s="263" t="str">
        <f>'Range-thresholds'!A11</f>
        <v>Uso de gas natural o limpio</v>
      </c>
      <c r="B10" s="268" t="str">
        <f>IF(OR('Paso 2-Energía'!B18=yes,'Paso 2-Energía'!B18=no,'Paso 2-Energía'!B18=que),'Paso 2-Energía'!B18,  pres)</f>
        <v>¿Presente?</v>
      </c>
      <c r="C10" s="427">
        <f>'Nivel 1-Resumen total'!C10</f>
        <v>0</v>
      </c>
      <c r="D10" s="263" t="str">
        <f>'Paso 2-Energía'!D18</f>
        <v>Gas usado, Nm³/a</v>
      </c>
      <c r="E10" s="427" t="str">
        <f>'Nivel 1-Resumen total'!E10</f>
        <v>¿Presente?</v>
      </c>
    </row>
    <row r="11" spans="1:5">
      <c r="A11" s="263" t="str">
        <f>'Range-thresholds'!A12</f>
        <v>Uso de gas por cañería (calidad de consumo)</v>
      </c>
      <c r="B11" s="268" t="str">
        <f>IF(OR('Paso 2-Energía'!B19=yes,'Paso 2-Energía'!B19=no,'Paso 2-Energía'!B19=que),'Paso 2-Energía'!B19,  pres)</f>
        <v>¿Presente?</v>
      </c>
      <c r="C11" s="427">
        <f>'Nivel 1-Resumen total'!C11</f>
        <v>0</v>
      </c>
      <c r="D11" s="263" t="str">
        <f>'Paso 2-Energía'!D19</f>
        <v>Gas usado, Nm³/a</v>
      </c>
      <c r="E11" s="427" t="str">
        <f>'Nivel 1-Resumen total'!E11</f>
        <v>¿Presente?</v>
      </c>
    </row>
    <row r="12" spans="1:5">
      <c r="A12" s="263" t="str">
        <f>'Range-thresholds'!A13</f>
        <v>Energía y producción de calor de biomasa</v>
      </c>
      <c r="B12" s="268" t="str">
        <f>IF(OR('Paso 2-Energía'!B20=yes,'Paso 2-Energía'!B20=no,'Paso 2-Energía'!B20=que),'Paso 2-Energía'!B20,  pres)</f>
        <v>¿Presente?</v>
      </c>
      <c r="C12" s="427">
        <f>'Nivel 1-Resumen total'!C12</f>
        <v>0</v>
      </c>
      <c r="D12" s="263" t="str">
        <f>'Paso 2-Energía'!D20</f>
        <v>Biomasa quemada, t/a</v>
      </c>
      <c r="E12" s="427" t="str">
        <f>'Nivel 1-Resumen total'!E12</f>
        <v>¿Presente?</v>
      </c>
    </row>
    <row r="13" spans="1:5">
      <c r="A13" s="263" t="str">
        <f>'Range-thresholds'!A14</f>
        <v>Combustión de carbón vegetal</v>
      </c>
      <c r="B13" s="268" t="str">
        <f>IF(OR('Paso 2-Energía'!B21=yes,'Paso 2-Energía'!B21=no,'Paso 2-Energía'!B21=que),'Paso 2-Energía'!B21,  pres)</f>
        <v>¿Presente?</v>
      </c>
      <c r="C13" s="427">
        <f>'Nivel 1-Resumen total'!C13</f>
        <v>0</v>
      </c>
      <c r="D13" s="263" t="str">
        <f>'Paso 2-Energía'!D21</f>
        <v>Carbón vegetal quemado, t/a</v>
      </c>
      <c r="E13" s="427" t="str">
        <f>'Nivel 1-Resumen total'!E13</f>
        <v>¿Presente?</v>
      </c>
    </row>
    <row r="14" spans="1:5" ht="13">
      <c r="A14" s="394" t="str">
        <f>'Range-thresholds'!A15</f>
        <v>Producción de combustible</v>
      </c>
      <c r="B14" s="304"/>
      <c r="C14" s="304"/>
      <c r="D14" s="372"/>
      <c r="E14" s="372"/>
    </row>
    <row r="15" spans="1:5">
      <c r="A15" s="263" t="str">
        <f>'Range-thresholds'!A16</f>
        <v>Extracción de petróleo</v>
      </c>
      <c r="B15" s="268" t="str">
        <f>IF(OR('Paso 2-Energía'!B24=yes,'Paso 2-Energía'!B24=no,'Paso 2-Energía'!B24=que),'Paso 2-Energía'!B24,  pres)</f>
        <v>¿Presente?</v>
      </c>
      <c r="C15" s="427">
        <f>'Nivel 1-Resumen total'!C15</f>
        <v>0</v>
      </c>
      <c r="D15" s="263" t="str">
        <f>'Paso 2-Energía'!D24</f>
        <v>Petróleo crudo producido, t/a</v>
      </c>
      <c r="E15" s="427" t="str">
        <f>'Nivel 1-Resumen total'!E15</f>
        <v>¿Presente?</v>
      </c>
    </row>
    <row r="16" spans="1:5">
      <c r="A16" s="263" t="str">
        <f>'Range-thresholds'!A17</f>
        <v>Refinación de petróleo</v>
      </c>
      <c r="B16" s="268" t="str">
        <f>IF(OR('Paso 2-Energía'!B25=yes,'Paso 2-Energía'!B25=no,'Paso 2-Energía'!B25=que),'Paso 2-Energía'!B25,  pres)</f>
        <v>¿Presente?</v>
      </c>
      <c r="C16" s="427">
        <f>'Nivel 1-Resumen total'!C16</f>
        <v>0</v>
      </c>
      <c r="D16" s="263" t="str">
        <f>'Paso 2-Energía'!D25</f>
        <v>Petróleo crudo refinado, t/a</v>
      </c>
      <c r="E16" s="427" t="str">
        <f>'Nivel 1-Resumen total'!E16</f>
        <v>¿Presente?</v>
      </c>
    </row>
    <row r="17" spans="1:5">
      <c r="A17" s="263" t="str">
        <f>'Range-thresholds'!A18</f>
        <v>Extracción y procesamiento de gas natural</v>
      </c>
      <c r="B17" s="268" t="str">
        <f>IF(OR('Paso 2-Energía'!B26=yes,'Paso 2-Energía'!B26=no,'Paso 2-Energía'!B26=que),'Paso 2-Energía'!B26,  pres)</f>
        <v>¿Presente?</v>
      </c>
      <c r="C17" s="427">
        <f>'Nivel 1-Resumen total'!C17</f>
        <v>0</v>
      </c>
      <c r="D17" s="263" t="str">
        <f>'Paso 2-Energía'!D26</f>
        <v>Gas producido, Nm³/a</v>
      </c>
      <c r="E17" s="427" t="str">
        <f>'Nivel 1-Resumen total'!E17</f>
        <v>¿Presente?</v>
      </c>
    </row>
    <row r="18" spans="1:5" ht="13">
      <c r="A18" s="394" t="str">
        <f>'Range-thresholds'!A19</f>
        <v>Producción de metales primarios</v>
      </c>
      <c r="B18" s="304"/>
      <c r="C18" s="304"/>
      <c r="D18" s="372"/>
      <c r="E18" s="372"/>
    </row>
    <row r="19" spans="1:5">
      <c r="A19" s="263" t="str">
        <f>'Range-thresholds'!A20</f>
        <v>Extracción (primaria) de mercurio y procesamiento inicial</v>
      </c>
      <c r="B19" s="268" t="str">
        <f>IF(OR('Paso 3-Metales-Materias primas'!B6=yes,'Paso 3-Metales-Materias primas'!B6=no,'Paso 3-Metales-Materias primas'!B6=que),'Paso 3-Metales-Materias primas'!B6,  pres)</f>
        <v>¿Presente?</v>
      </c>
      <c r="C19" s="427">
        <f>'Nivel 1-Resumen total'!C19</f>
        <v>0</v>
      </c>
      <c r="D19" s="263" t="str">
        <f>'Paso 3-Metales-Materias primas'!D6</f>
        <v>Mercurio producido, t/a</v>
      </c>
      <c r="E19" s="427" t="str">
        <f>'Nivel 1-Resumen total'!E19</f>
        <v>¿Presente?</v>
      </c>
    </row>
    <row r="20" spans="1:5">
      <c r="A20" s="263" t="str">
        <f>'Range-thresholds'!A21</f>
        <v>Producción de zinc a partir de concentrados</v>
      </c>
      <c r="B20" s="268" t="str">
        <f>IF(OR('Paso 3-Metales-Materias primas'!B7=yes,'Paso 3-Metales-Materias primas'!B7=no,'Paso 3-Metales-Materias primas'!B7=que),'Paso 3-Metales-Materias primas'!B7,  pres)</f>
        <v>¿Presente?</v>
      </c>
      <c r="C20" s="427">
        <f>'Nivel 1-Resumen total'!C20</f>
        <v>0</v>
      </c>
      <c r="D20" s="263" t="str">
        <f>'Paso 3-Metales-Materias primas'!D7</f>
        <v>Concentrado usado, t/a</v>
      </c>
      <c r="E20" s="427" t="str">
        <f>'Nivel 1-Resumen total'!E20</f>
        <v>¿Presente?</v>
      </c>
    </row>
    <row r="21" spans="1:5">
      <c r="A21" s="263" t="str">
        <f>'Range-thresholds'!A22</f>
        <v>Producción de cobre a partir de concentrados</v>
      </c>
      <c r="B21" s="268" t="str">
        <f>IF(OR('Paso 3-Metales-Materias primas'!B10=yes,'Paso 3-Metales-Materias primas'!B10=no,'Paso 3-Metales-Materias primas'!B10=que),'Paso 3-Metales-Materias primas'!B10,  pres)</f>
        <v>¿Presente?</v>
      </c>
      <c r="C21" s="427">
        <f>'Nivel 1-Resumen total'!C21</f>
        <v>0</v>
      </c>
      <c r="D21" s="263" t="str">
        <f>'Paso 3-Metales-Materias primas'!D10</f>
        <v>Concentrado usado, t/a</v>
      </c>
      <c r="E21" s="427" t="str">
        <f>'Nivel 1-Resumen total'!E21</f>
        <v>¿Presente?</v>
      </c>
    </row>
    <row r="22" spans="1:5">
      <c r="A22" s="263" t="str">
        <f>'Range-thresholds'!A23</f>
        <v>Producción de plomo a partir de concentrados</v>
      </c>
      <c r="B22" s="268" t="str">
        <f>IF(OR('Paso 3-Metales-Materias primas'!B13=yes,'Paso 3-Metales-Materias primas'!B13=no,'Paso 3-Metales-Materias primas'!B13=que),'Paso 3-Metales-Materias primas'!B13,  pres)</f>
        <v>¿Presente?</v>
      </c>
      <c r="C22" s="427">
        <f>'Nivel 1-Resumen total'!C22</f>
        <v>0</v>
      </c>
      <c r="D22" s="263" t="str">
        <f>'Paso 3-Metales-Materias primas'!D13</f>
        <v>Concentrado usado, t/a</v>
      </c>
      <c r="E22" s="427" t="str">
        <f>'Nivel 1-Resumen total'!E22</f>
        <v>¿Presente?</v>
      </c>
    </row>
    <row r="23" spans="1:5" ht="25">
      <c r="A23" s="263" t="str">
        <f>'Range-thresholds'!A24</f>
        <v>Extracción de oro por métodos distintos a la amalgamación de mercurio</v>
      </c>
      <c r="B23" s="268" t="str">
        <f>IF(OR('Paso 3-Metales-Materias primas'!B16=yes,'Paso 3-Metales-Materias primas'!B16=no,'Paso 3-Metales-Materias primas'!B16=que),'Paso 3-Metales-Materias primas'!B16,  pres)</f>
        <v>¿Presente?</v>
      </c>
      <c r="C23" s="427">
        <f>'Nivel 1-Resumen total'!C23</f>
        <v>0</v>
      </c>
      <c r="D23" s="263" t="str">
        <f>'Paso 3-Metales-Materias primas'!D16</f>
        <v>Mineral de oro usado, t/a</v>
      </c>
      <c r="E23" s="427" t="str">
        <f>'Nivel 1-Resumen total'!E23</f>
        <v>¿Presente?</v>
      </c>
    </row>
    <row r="24" spans="1:5" ht="25">
      <c r="A24" s="263" t="str">
        <f>'Range-thresholds'!A25</f>
        <v>Producción de alúmina a partir de bauxita (producción de aluminio)</v>
      </c>
      <c r="B24" s="268" t="str">
        <f>IF(OR('Paso 3-Metales-Materias primas'!B17=yes,'Paso 3-Metales-Materias primas'!B17=no,'Paso 3-Metales-Materias primas'!B17=que),'Paso 3-Metales-Materias primas'!B17,  pres)</f>
        <v>¿Presente?</v>
      </c>
      <c r="C24" s="427">
        <f>'Nivel 1-Resumen total'!C24</f>
        <v>0</v>
      </c>
      <c r="D24" s="263" t="str">
        <f>'Paso 3-Metales-Materias primas'!D17</f>
        <v>Bauxita procesada, t/a</v>
      </c>
      <c r="E24" s="427" t="str">
        <f>'Nivel 1-Resumen total'!E24</f>
        <v>¿Presente?</v>
      </c>
    </row>
    <row r="25" spans="1:5" ht="25">
      <c r="A25" s="263" t="str">
        <f>'Range-thresholds'!A26</f>
        <v>Producción primaria de metal ferroso (producción de arrabio)</v>
      </c>
      <c r="B25" s="268" t="str">
        <f>IF(OR('Paso 3-Metales-Materias primas'!B18=yes,'Paso 3-Metales-Materias primas'!B18=no,'Paso 3-Metales-Materias primas'!B18=que),'Paso 3-Metales-Materias primas'!B18,  pres)</f>
        <v>¿Presente?</v>
      </c>
      <c r="C25" s="427">
        <f>'Nivel 1-Resumen total'!C25</f>
        <v>0</v>
      </c>
      <c r="D25" s="263" t="str">
        <f>'Paso 3-Metales-Materias primas'!D18</f>
        <v>Arrabio producido, t/a</v>
      </c>
      <c r="E25" s="427" t="str">
        <f>'Nivel 1-Resumen total'!E25</f>
        <v>¿Presente?</v>
      </c>
    </row>
    <row r="26" spans="1:5" ht="25">
      <c r="A26" s="263" t="str">
        <f>'Range-thresholds'!A27</f>
        <v>Extracción de oro con amalgamación de mercurio -  a partir del mineral entero (mineral en bruto)</v>
      </c>
      <c r="B26" s="268" t="str">
        <f>IF(OR('Paso 3-Metales-Materias primas'!B19=yes,'Paso 3-Metales-Materias primas'!B19=no,'Paso 3-Metales-Materias primas'!B19=que),'Paso 3-Metales-Materias primas'!B19,  pres)</f>
        <v>¿Presente?</v>
      </c>
      <c r="C26" s="427">
        <f>'Nivel 1-Resumen total'!C26</f>
        <v>0</v>
      </c>
      <c r="D26" s="263" t="str">
        <f>'Paso 3-Metales-Materias primas'!D19</f>
        <v>Gold produced, kg/a</v>
      </c>
      <c r="E26" s="427" t="str">
        <f>'Nivel 1-Resumen total'!E26</f>
        <v>¿Presente?</v>
      </c>
    </row>
    <row r="27" spans="1:5" ht="25">
      <c r="A27" s="263" t="str">
        <f>'Range-thresholds'!A28</f>
        <v>Extracción de oro con amalgamación de mercurio - a partir de concentrados</v>
      </c>
      <c r="B27" s="268" t="str">
        <f>IF(OR('Paso 3-Metales-Materias primas'!B22=yes,'Paso 3-Metales-Materias primas'!B22=no,'Paso 3-Metales-Materias primas'!B22=que),'Paso 3-Metales-Materias primas'!B22,  pres)</f>
        <v>¿Presente?</v>
      </c>
      <c r="C27" s="427">
        <f>'Nivel 1-Resumen total'!C27</f>
        <v>0</v>
      </c>
      <c r="D27" s="263" t="str">
        <f>'Paso 3-Metales-Materias primas'!D22</f>
        <v>Gold produced, kg/a</v>
      </c>
      <c r="E27" s="427" t="str">
        <f>'Nivel 1-Resumen total'!E27</f>
        <v>¿Presente?</v>
      </c>
    </row>
    <row r="28" spans="1:5" ht="13">
      <c r="A28" s="394" t="str">
        <f>'Range-thresholds'!A29</f>
        <v>Producción de otros materiales</v>
      </c>
      <c r="B28" s="304"/>
      <c r="C28" s="304"/>
      <c r="D28" s="372"/>
      <c r="E28" s="372"/>
    </row>
    <row r="29" spans="1:5">
      <c r="A29" s="263" t="s">
        <v>792</v>
      </c>
      <c r="B29" s="268" t="str">
        <f>IF(OR('Paso 3-Metales-Materias primas'!B26=yes,'Paso 3-Metales-Materias primas'!B26=no,'Paso 3-Metales-Materias primas'!B26=que),'Paso 3-Metales-Materias primas'!B26,  pres)</f>
        <v>¿Presente?</v>
      </c>
      <c r="C29" s="427">
        <f>'Nivel 1-Resumen total'!C29</f>
        <v>0</v>
      </c>
      <c r="D29" s="263" t="str">
        <f>'Paso 3-Metales-Materias primas'!D26</f>
        <v>Cemento producido, t/a</v>
      </c>
      <c r="E29" s="427" t="str">
        <f>'Nivel 1-Resumen total'!E29</f>
        <v>¿Presente?</v>
      </c>
    </row>
    <row r="30" spans="1:5">
      <c r="A30" s="263" t="str">
        <f>'Range-thresholds'!A31</f>
        <v>Producción de pasta y papel</v>
      </c>
      <c r="B30" s="268" t="str">
        <f>IF(OR('Paso 3-Metales-Materias primas'!B31=yes,'Paso 3-Metales-Materias primas'!B31=no,'Paso 3-Metales-Materias primas'!B31=que),'Paso 3-Metales-Materias primas'!B31,  pres)</f>
        <v>¿Presente?</v>
      </c>
      <c r="C30" s="427">
        <f>'Nivel 1-Resumen total'!C30</f>
        <v>0</v>
      </c>
      <c r="D30" s="263" t="str">
        <f>'Paso 3-Metales-Materias primas'!D31</f>
        <v>Biomasa usada para la producción, t/a</v>
      </c>
      <c r="E30" s="427" t="str">
        <f>'Nivel 1-Resumen total'!E30</f>
        <v>¿Presente?</v>
      </c>
    </row>
    <row r="31" spans="1:5" ht="13">
      <c r="A31" s="394" t="str">
        <f>'Range-thresholds'!A32</f>
        <v>Producción de productos químicos</v>
      </c>
      <c r="B31" s="304"/>
      <c r="C31" s="304"/>
      <c r="D31" s="305"/>
      <c r="E31" s="305"/>
    </row>
    <row r="32" spans="1:5">
      <c r="A32" s="263" t="str">
        <f>'Range-thresholds'!A33</f>
        <v>Producción de cloro-álcali con celdas de mercurio</v>
      </c>
      <c r="B32" s="268" t="str">
        <f>IF(OR('Paso 4-Uso industrial de Hg'!B5=yes,'Paso 4-Uso industrial de Hg'!B5=no,'Paso 4-Uso industrial de Hg'!B5=que),'Paso 4-Uso industrial de Hg'!B5,  pres)</f>
        <v>¿Presente?</v>
      </c>
      <c r="C32" s="427">
        <f>'Nivel 1-Resumen total'!C32</f>
        <v>0</v>
      </c>
      <c r="D32" s="273" t="str">
        <f>'Paso 4-Uso industrial de Hg'!D5</f>
        <v xml:space="preserve">Cl2 producido, t/a </v>
      </c>
      <c r="E32" s="427" t="str">
        <f>'Nivel 1-Resumen total'!E32</f>
        <v>¿Presente?</v>
      </c>
    </row>
    <row r="33" spans="1:5">
      <c r="A33" s="263" t="str">
        <f>'Range-thresholds'!A34</f>
        <v>Producción de CVM con catalizador de mercurio</v>
      </c>
      <c r="B33" s="268" t="str">
        <f>IF(OR('Paso 4-Uso industrial de Hg'!B6=yes,'Paso 4-Uso industrial de Hg'!B6=no,'Paso 4-Uso industrial de Hg'!B6=que),'Paso 4-Uso industrial de Hg'!B6,  pres)</f>
        <v>¿Presente?</v>
      </c>
      <c r="C33" s="427">
        <f>'Nivel 1-Resumen total'!C33</f>
        <v>0</v>
      </c>
      <c r="D33" s="273" t="str">
        <f>'Paso 4-Uso industrial de Hg'!D6</f>
        <v xml:space="preserve">CVM producido, t/a </v>
      </c>
      <c r="E33" s="427" t="str">
        <f>'Nivel 1-Resumen total'!E33</f>
        <v>¿Presente?</v>
      </c>
    </row>
    <row r="34" spans="1:5">
      <c r="A34" s="263" t="str">
        <f>'Range-thresholds'!A35</f>
        <v>Producción de acetaldehído con catalizador de mercurio</v>
      </c>
      <c r="B34" s="268" t="str">
        <f>IF(OR('Paso 4-Uso industrial de Hg'!B7=yes,'Paso 4-Uso industrial de Hg'!B7=no,'Paso 4-Uso industrial de Hg'!B7=que),'Paso 4-Uso industrial de Hg'!B7,  pres)</f>
        <v>¿Presente?</v>
      </c>
      <c r="C34" s="427">
        <f>'Nivel 1-Resumen total'!C34</f>
        <v>0</v>
      </c>
      <c r="D34" s="273" t="str">
        <f>'Paso 4-Uso industrial de Hg'!D7</f>
        <v>Acetaldehído producido, t/a</v>
      </c>
      <c r="E34" s="427" t="str">
        <f>'Nivel 1-Resumen total'!E34</f>
        <v>¿Presente?</v>
      </c>
    </row>
    <row r="35" spans="1:5" ht="26">
      <c r="A35" s="394" t="str">
        <f>'Range-thresholds'!A36</f>
        <v>Producción de productos con contenido de mercurio</v>
      </c>
      <c r="B35" s="304"/>
      <c r="C35" s="304"/>
      <c r="D35" s="305"/>
      <c r="E35" s="305"/>
    </row>
    <row r="36" spans="1:5" ht="25">
      <c r="A36" s="263" t="str">
        <f>'Range-thresholds'!A37</f>
        <v xml:space="preserve">Termómetros de Hg (médicos, atmosféricos, de laboratorio, industriales, etc.) </v>
      </c>
      <c r="B36" s="268" t="str">
        <f>IF(OR('Paso 4-Uso industrial de Hg'!B10=yes,'Paso 4-Uso industrial de Hg'!B10=no,'Paso 4-Uso industrial de Hg'!B10=que),'Paso 4-Uso industrial de Hg'!B10,  pres)</f>
        <v>¿Presente?</v>
      </c>
      <c r="C36" s="427">
        <f>'Nivel 1-Resumen total'!C36</f>
        <v>0</v>
      </c>
      <c r="D36" s="273" t="str">
        <f>'Paso 4-Uso industrial de Hg'!D10</f>
        <v>Mercurio utilizado para producción, kg/a</v>
      </c>
      <c r="E36" s="427" t="str">
        <f>'Nivel 1-Resumen total'!E36</f>
        <v>¿Presente?</v>
      </c>
    </row>
    <row r="37" spans="1:5">
      <c r="A37" s="263" t="str">
        <f>'Range-thresholds'!A38</f>
        <v xml:space="preserve">Conmutadores eléctricos y relés con mercurio </v>
      </c>
      <c r="B37" s="268" t="str">
        <f>IF(OR('Paso 4-Uso industrial de Hg'!B11=yes,'Paso 4-Uso industrial de Hg'!B11=no,'Paso 4-Uso industrial de Hg'!B11=que),'Paso 4-Uso industrial de Hg'!B11,  pres)</f>
        <v>¿Presente?</v>
      </c>
      <c r="C37" s="427">
        <f>'Nivel 1-Resumen total'!C37</f>
        <v>0</v>
      </c>
      <c r="D37" s="273" t="str">
        <f>'Paso 4-Uso industrial de Hg'!D11</f>
        <v>Mercurio utilizado para producción, kg/a</v>
      </c>
      <c r="E37" s="427" t="str">
        <f>'Nivel 1-Resumen total'!E37</f>
        <v>¿Presente?</v>
      </c>
    </row>
    <row r="38" spans="1:5" ht="25">
      <c r="A38" s="263" t="str">
        <f>'Range-thresholds'!A39</f>
        <v xml:space="preserve">Fuentes lumínicas con mercurio (fluorescentes, compactas, otras: ver pauta) </v>
      </c>
      <c r="B38" s="268" t="str">
        <f>IF(OR('Paso 4-Uso industrial de Hg'!B12=yes,'Paso 4-Uso industrial de Hg'!B12=no,'Paso 4-Uso industrial de Hg'!B12=que),'Paso 4-Uso industrial de Hg'!B12,  pres)</f>
        <v>¿Presente?</v>
      </c>
      <c r="C38" s="427">
        <f>'Nivel 1-Resumen total'!C38</f>
        <v>0</v>
      </c>
      <c r="D38" s="273" t="str">
        <f>'Paso 4-Uso industrial de Hg'!D12</f>
        <v>Mercurio utilizado para producción, kg/a</v>
      </c>
      <c r="E38" s="427" t="str">
        <f>'Nivel 1-Resumen total'!E38</f>
        <v>¿Presente?</v>
      </c>
    </row>
    <row r="39" spans="1:5">
      <c r="A39" s="263" t="str">
        <f>'Range-thresholds'!A40</f>
        <v xml:space="preserve">Pilas con mercurio </v>
      </c>
      <c r="B39" s="268" t="str">
        <f>IF(OR('Paso 4-Uso industrial de Hg'!B13=yes,'Paso 4-Uso industrial de Hg'!B13=no,'Paso 4-Uso industrial de Hg'!B13=que),'Paso 4-Uso industrial de Hg'!B13,  pres)</f>
        <v>¿Presente?</v>
      </c>
      <c r="C39" s="427">
        <f>'Nivel 1-Resumen total'!C39</f>
        <v>0</v>
      </c>
      <c r="D39" s="273" t="str">
        <f>'Paso 4-Uso industrial de Hg'!D13</f>
        <v>Mercurio utilizado para producción, kg/a</v>
      </c>
      <c r="E39" s="427" t="str">
        <f>'Nivel 1-Resumen total'!E39</f>
        <v>¿Presente?</v>
      </c>
    </row>
    <row r="40" spans="1:5">
      <c r="A40" s="263" t="str">
        <f>'Range-thresholds'!A41</f>
        <v xml:space="preserve">Manómetros e indicadores con mercurio </v>
      </c>
      <c r="B40" s="268" t="str">
        <f>IF(OR('Paso 4-Uso industrial de Hg'!B14=yes,'Paso 4-Uso industrial de Hg'!B14=no,'Paso 4-Uso industrial de Hg'!B14=que),'Paso 4-Uso industrial de Hg'!B14,  pres)</f>
        <v>¿Presente?</v>
      </c>
      <c r="C40" s="427">
        <f>'Nivel 1-Resumen total'!C40</f>
        <v>0</v>
      </c>
      <c r="D40" s="273" t="str">
        <f>'Paso 4-Uso industrial de Hg'!D14</f>
        <v>Mercurio utilizado para producción, kg/a</v>
      </c>
      <c r="E40" s="427" t="str">
        <f>'Nivel 1-Resumen total'!E40</f>
        <v>¿Presente?</v>
      </c>
    </row>
    <row r="41" spans="1:5">
      <c r="A41" s="263" t="str">
        <f>'Range-thresholds'!A42</f>
        <v xml:space="preserve">Biocidas y pesticidas con mercurio </v>
      </c>
      <c r="B41" s="268" t="str">
        <f>IF(OR('Paso 4-Uso industrial de Hg'!B15=yes,'Paso 4-Uso industrial de Hg'!B15=no,'Paso 4-Uso industrial de Hg'!B15=que),'Paso 4-Uso industrial de Hg'!B15,  pres)</f>
        <v>¿Presente?</v>
      </c>
      <c r="C41" s="427">
        <f>'Nivel 1-Resumen total'!C41</f>
        <v>0</v>
      </c>
      <c r="D41" s="273" t="str">
        <f>'Paso 4-Uso industrial de Hg'!D15</f>
        <v>Mercurio utilizado para producción, kg/a</v>
      </c>
      <c r="E41" s="427" t="str">
        <f>'Nivel 1-Resumen total'!E41</f>
        <v>¿Presente?</v>
      </c>
    </row>
    <row r="42" spans="1:5">
      <c r="A42" s="263" t="str">
        <f>'Range-thresholds'!A43</f>
        <v xml:space="preserve">Pinturas con mercurio </v>
      </c>
      <c r="B42" s="268" t="str">
        <f>IF(OR('Paso 4-Uso industrial de Hg'!B16=yes,'Paso 4-Uso industrial de Hg'!B16=no,'Paso 4-Uso industrial de Hg'!B16=que),'Paso 4-Uso industrial de Hg'!B16,  pres)</f>
        <v>¿Presente?</v>
      </c>
      <c r="C42" s="427">
        <f>'Nivel 1-Resumen total'!C42</f>
        <v>0</v>
      </c>
      <c r="D42" s="273" t="str">
        <f>'Paso 4-Uso industrial de Hg'!D16</f>
        <v>Mercurio utilizado para producción, kg/a</v>
      </c>
      <c r="E42" s="427" t="str">
        <f>'Nivel 1-Resumen total'!E42</f>
        <v>¿Presente?</v>
      </c>
    </row>
    <row r="43" spans="1:5" ht="25">
      <c r="A43" s="263" t="str">
        <f>'Range-thresholds'!A44</f>
        <v xml:space="preserve">Cremas y jabones aclarantes de la piel con productos químicos con mercurio </v>
      </c>
      <c r="B43" s="268" t="str">
        <f>IF(OR('Paso 4-Uso industrial de Hg'!B17=yes,'Paso 4-Uso industrial de Hg'!B17=no,'Paso 4-Uso industrial de Hg'!B17=que),'Paso 4-Uso industrial de Hg'!B17,  pres)</f>
        <v>¿Presente?</v>
      </c>
      <c r="C43" s="427">
        <f>'Nivel 1-Resumen total'!C43</f>
        <v>0</v>
      </c>
      <c r="D43" s="273" t="str">
        <f>'Paso 4-Uso industrial de Hg'!D17</f>
        <v>Mercurio utilizado para producción, kg/a</v>
      </c>
      <c r="E43" s="427" t="str">
        <f>'Nivel 1-Resumen total'!E43</f>
        <v>¿Presente?</v>
      </c>
    </row>
    <row r="44" spans="1:5" ht="26">
      <c r="A44" s="394" t="str">
        <f>'Range-thresholds'!A45</f>
        <v>Uso y desecho de productos con contenido de mercurio</v>
      </c>
      <c r="B44" s="304"/>
      <c r="C44" s="304"/>
      <c r="D44" s="372"/>
      <c r="E44" s="372"/>
    </row>
    <row r="45" spans="1:5" ht="25">
      <c r="A45" s="263" t="str">
        <f>'Range-thresholds'!A46</f>
        <v>Empastes de amalgamas dentales (empastes de "plata")</v>
      </c>
      <c r="B45" s="268" t="str">
        <f>IF(OR('Paso 6-Prod. y sust. con Hg'!B7=yes,'Paso 6-Prod. y sust. con Hg'!B7=no,'Paso 6-Prod. y sust. con Hg'!B7=que),'Paso 6-Prod. y sust. con Hg'!B7,  pres)</f>
        <v>¿Presente?</v>
      </c>
      <c r="C45" s="427">
        <f>'Nivel 1-Resumen total'!C45</f>
        <v>0</v>
      </c>
      <c r="D45" s="422" t="str">
        <f>'Paso 6-Prod. y sust. con Hg'!D8</f>
        <v>Número de habitantes</v>
      </c>
      <c r="E45" s="427" t="str">
        <f>'Nivel 1-Resumen total'!E45</f>
        <v>¿Presente?</v>
      </c>
    </row>
    <row r="46" spans="1:5">
      <c r="A46" s="263" t="str">
        <f>'Range-thresholds'!A47</f>
        <v>Termómetros</v>
      </c>
      <c r="B46" s="268" t="str">
        <f>IF(OR('Paso 6-Prod. y sust. con Hg'!B15=yes,'Paso 6-Prod. y sust. con Hg'!B15=no,'Paso 6-Prod. y sust. con Hg'!B15=que),'Paso 6-Prod. y sust. con Hg'!B15,  pres)</f>
        <v>¿Presente?</v>
      </c>
      <c r="C46" s="427">
        <f>'Nivel 1-Resumen total'!C46</f>
        <v>0</v>
      </c>
      <c r="D46" s="422" t="str">
        <f>'Paso 6-Prod. y sust. con Hg'!D16</f>
        <v>Artículos vendidos/a</v>
      </c>
      <c r="E46" s="427" t="str">
        <f>'Nivel 1-Resumen total'!E46</f>
        <v>¿Presente?</v>
      </c>
    </row>
    <row r="47" spans="1:5">
      <c r="A47" s="263" t="str">
        <f>'Range-thresholds'!A48</f>
        <v>Conmutadores eléctricos y relés con mercurio</v>
      </c>
      <c r="B47" s="268" t="str">
        <f>IF(OR('Paso 6-Prod. y sust. con Hg'!B20=yes,'Paso 6-Prod. y sust. con Hg'!B20=no,'Paso 6-Prod. y sust. con Hg'!B20=que),'Paso 6-Prod. y sust. con Hg'!B20,  pres)</f>
        <v>¿Presente?</v>
      </c>
      <c r="C47" s="427">
        <f>'Nivel 1-Resumen total'!C47</f>
        <v>0</v>
      </c>
      <c r="D47" s="273">
        <f>'Paso 6-Prod. y sust. con Hg'!D20</f>
        <v>0</v>
      </c>
      <c r="E47" s="427" t="str">
        <f>'Nivel 1-Resumen total'!E47</f>
        <v>¿Presente?</v>
      </c>
    </row>
    <row r="48" spans="1:5">
      <c r="A48" s="263" t="str">
        <f>'Range-thresholds'!A49</f>
        <v>Fuentes de luz con mercurio</v>
      </c>
      <c r="B48" s="268" t="str">
        <f>IF(OR('Paso 6-Prod. y sust. con Hg'!B23=yes,'Paso 6-Prod. y sust. con Hg'!B23=no,'Paso 6-Prod. y sust. con Hg'!B23=que),'Paso 6-Prod. y sust. con Hg'!B23,  pres)</f>
        <v>¿Presente?</v>
      </c>
      <c r="C48" s="427">
        <f>'Nivel 1-Resumen total'!C48</f>
        <v>0</v>
      </c>
      <c r="D48" s="273" t="str">
        <f>'Paso 6-Prod. y sust. con Hg'!D23</f>
        <v>Pilas vendidas, t/a</v>
      </c>
      <c r="E48" s="427" t="str">
        <f>'Nivel 1-Resumen total'!E48</f>
        <v>¿Presente?</v>
      </c>
    </row>
    <row r="49" spans="1:5">
      <c r="A49" s="368" t="str">
        <f>'Range-thresholds'!A50</f>
        <v>Pilas con mercurio</v>
      </c>
      <c r="B49" s="268" t="str">
        <f>IF(OR('Paso 6-Prod. y sust. con Hg'!B28=yes,'Paso 6-Prod. y sust. con Hg'!B28=no,'Paso 6-Prod. y sust. con Hg'!B28=que),'Paso 6-Prod. y sust. con Hg'!B28,  pres)</f>
        <v>¿Presente?</v>
      </c>
      <c r="C49" s="427">
        <f>'Nivel 1-Resumen total'!C49</f>
        <v>0</v>
      </c>
      <c r="D49" s="273">
        <f>'Paso 6-Prod. y sust. con Hg'!D28</f>
        <v>0</v>
      </c>
      <c r="E49" s="427" t="str">
        <f>'Nivel 1-Resumen total'!E49</f>
        <v>¿Presente?</v>
      </c>
    </row>
    <row r="50" spans="1:5" ht="25">
      <c r="A50" s="263" t="str">
        <f>'Range-thresholds'!A51</f>
        <v>Poliuretano (PU, PUR) producido con catalizador de mercurio</v>
      </c>
      <c r="B50" s="268" t="str">
        <f>IF(OR('Paso 6-Prod. y sust. con Hg'!B33=yes,'Paso 6-Prod. y sust. con Hg'!B33=no,'Paso 6-Prod. y sust. con Hg'!B33=que),'Paso 6-Prod. y sust. con Hg'!B33,  pres)</f>
        <v>¿Presente?</v>
      </c>
      <c r="C50" s="427">
        <f>'Nivel 1-Resumen total'!C50</f>
        <v>0</v>
      </c>
      <c r="D50" s="273" t="str">
        <f>'Paso 6-Prod. y sust. con Hg'!D33</f>
        <v>Artículos vendidos/a</v>
      </c>
      <c r="E50" s="427" t="str">
        <f>'Nivel 1-Resumen total'!E50</f>
        <v>¿Presente?</v>
      </c>
    </row>
    <row r="51" spans="1:5">
      <c r="A51" s="263" t="str">
        <f>'Range-thresholds'!A52</f>
        <v>Pinturas con conservantes de mercurio</v>
      </c>
      <c r="B51" s="268" t="str">
        <f>IF(OR('Paso 6-Prod. y sust. con Hg'!B36=yes,'Paso 6-Prod. y sust. con Hg'!B36=no,'Paso 6-Prod. y sust. con Hg'!B36=que),'Paso 6-Prod. y sust. con Hg'!B36,  pres)</f>
        <v>¿Presente?</v>
      </c>
      <c r="C51" s="427">
        <f>'Nivel 1-Resumen total'!C51</f>
        <v>0</v>
      </c>
      <c r="D51" s="273" t="str">
        <f>'Paso 6-Prod. y sust. con Hg'!D36</f>
        <v>Paint sold, t/a</v>
      </c>
      <c r="E51" s="427" t="str">
        <f>'Nivel 1-Resumen total'!E51</f>
        <v>¿Presente?</v>
      </c>
    </row>
    <row r="52" spans="1:5" ht="25">
      <c r="A52" s="263" t="str">
        <f>'Range-thresholds'!A53</f>
        <v>Cremas y jabones aclarantes de la piel con productos químicos con mercurio</v>
      </c>
      <c r="B52" s="268" t="str">
        <f>IF(OR('Paso 6-Prod. y sust. con Hg'!B38=yes,'Paso 6-Prod. y sust. con Hg'!B38=no,'Paso 6-Prod. y sust. con Hg'!B38=que),'Paso 6-Prod. y sust. con Hg'!B38,  pres)</f>
        <v>¿Presente?</v>
      </c>
      <c r="C52" s="427">
        <f>'Nivel 1-Resumen total'!C52</f>
        <v>0</v>
      </c>
      <c r="D52" s="273" t="str">
        <f>'Paso 6-Prod. y sust. con Hg'!D38</f>
        <v>Cream or soap sold, t/a</v>
      </c>
      <c r="E52" s="427" t="str">
        <f>'Nivel 1-Resumen total'!E52</f>
        <v>¿Presente?</v>
      </c>
    </row>
    <row r="53" spans="1:5" ht="25">
      <c r="A53" s="263" t="str">
        <f>'Range-thresholds'!A54</f>
        <v>Dispositivos médicos para tomar la presión sanguínea (esfingomanómetros de mercurio)</v>
      </c>
      <c r="B53" s="268" t="str">
        <f>IF(OR('Paso 6-Prod. y sust. con Hg'!B40=yes,'Paso 6-Prod. y sust. con Hg'!B40=no,'Paso 6-Prod. y sust. con Hg'!B40=que),'Paso 6-Prod. y sust. con Hg'!B40,  pres)</f>
        <v>¿Presente?</v>
      </c>
      <c r="C53" s="427">
        <f>'Nivel 1-Resumen total'!C53</f>
        <v>0</v>
      </c>
      <c r="D53" s="273" t="str">
        <f>'Paso 6-Prod. y sust. con Hg'!D40</f>
        <v>Items sold/a</v>
      </c>
      <c r="E53" s="427" t="str">
        <f>'Nivel 1-Resumen total'!E53</f>
        <v>¿Presente?</v>
      </c>
    </row>
    <row r="54" spans="1:5">
      <c r="A54" s="263" t="str">
        <f>'Range-thresholds'!A55</f>
        <v>Otros manómetros e indicadores con mercurio</v>
      </c>
      <c r="B54" s="268" t="str">
        <f>IF(OR('Paso 6-Prod. y sust. con Hg'!B42=yes,'Paso 6-Prod. y sust. con Hg'!B42=no,'Paso 6-Prod. y sust. con Hg'!B42=que),'Paso 6-Prod. y sust. con Hg'!B42,  pres)</f>
        <v>¿Presente?</v>
      </c>
      <c r="C54" s="427">
        <f>'Nivel 1-Resumen total'!C54</f>
        <v>0</v>
      </c>
      <c r="D54" s="273" t="str">
        <f>'Paso 6-Prod. y sust. con Hg'!D42</f>
        <v>Número de habitantes</v>
      </c>
      <c r="E54" s="427" t="str">
        <f>'Nivel 1-Resumen total'!E54</f>
        <v>¿Presente?</v>
      </c>
    </row>
    <row r="55" spans="1:5">
      <c r="A55" s="263" t="str">
        <f>'Range-thresholds'!A56</f>
        <v>Productos químicos de laboratorio</v>
      </c>
      <c r="B55" s="268" t="str">
        <f>IF(OR('Paso 6-Prod. y sust. con Hg'!B45=yes,'Paso 6-Prod. y sust. con Hg'!B45=no,'Paso 6-Prod. y sust. con Hg'!B45=que),'Paso 6-Prod. y sust. con Hg'!B45,  pres)</f>
        <v>¿Presente?</v>
      </c>
      <c r="C55" s="427">
        <f>'Nivel 1-Resumen total'!C55</f>
        <v>0</v>
      </c>
      <c r="D55" s="273" t="str">
        <f>'Paso 6-Prod. y sust. con Hg'!D45</f>
        <v>Número de habitantes</v>
      </c>
      <c r="E55" s="427" t="str">
        <f>'Nivel 1-Resumen total'!E55</f>
        <v>¿Presente?</v>
      </c>
    </row>
    <row r="56" spans="1:5">
      <c r="A56" s="263" t="str">
        <f>'Range-thresholds'!A57</f>
        <v xml:space="preserve">Demás equipos médicos y de laboratorio con mercurio </v>
      </c>
      <c r="B56" s="268" t="str">
        <f>IF(OR('Paso 6-Prod. y sust. con Hg'!B48=yes,'Paso 6-Prod. y sust. con Hg'!B48=no,'Paso 6-Prod. y sust. con Hg'!B48=que),'Paso 6-Prod. y sust. con Hg'!B48,  pres)</f>
        <v>¿Presente?</v>
      </c>
      <c r="C56" s="427">
        <f>'Nivel 1-Resumen total'!C56</f>
        <v>0</v>
      </c>
      <c r="D56" s="273" t="str">
        <f>'Paso 6-Prod. y sust. con Hg'!D48</f>
        <v>Número de habitantes</v>
      </c>
      <c r="E56" s="427" t="str">
        <f>'Nivel 1-Resumen total'!E56</f>
        <v>¿Presente?</v>
      </c>
    </row>
    <row r="57" spans="1:5" ht="13">
      <c r="A57" s="394" t="str">
        <f>'Range-thresholds'!A58</f>
        <v>Producción de metales reciclados</v>
      </c>
      <c r="B57" s="304"/>
      <c r="C57" s="304"/>
      <c r="D57" s="372"/>
      <c r="E57" s="372"/>
    </row>
    <row r="58" spans="1:5" ht="25">
      <c r="A58" s="263" t="str">
        <f>'Range-thresholds'!A59</f>
        <v>Producción de mercurio reciclado ("producción secundaria")</v>
      </c>
      <c r="B58" s="268" t="str">
        <f>IF(OR('Paso 5-Trat.+recicl. desechos'!B9=yes,'Paso 5-Trat.+recicl. desechos'!B9=no,'Paso 5-Trat.+recicl. desechos'!B9=que),'Paso 5-Trat.+recicl. desechos'!B9,  pres)</f>
        <v>¿Presente?</v>
      </c>
      <c r="C58" s="427">
        <f>'Nivel 1-Resumen total'!C58</f>
        <v>0</v>
      </c>
      <c r="D58" s="273" t="str">
        <f>'Paso 5-Trat.+recicl. desechos'!D9</f>
        <v xml:space="preserve">Mercurio producido, kg/a </v>
      </c>
      <c r="E58" s="427" t="str">
        <f>'Nivel 1-Resumen total'!E58</f>
        <v>¿Presente?</v>
      </c>
    </row>
    <row r="59" spans="1:5" ht="25">
      <c r="A59" s="263" t="str">
        <f>'Range-thresholds'!A60</f>
        <v>Producción de metales ferrosos reciclados (hierro y acero)</v>
      </c>
      <c r="B59" s="268" t="str">
        <f>IF(OR('Paso 5-Trat.+recicl. desechos'!B10=yes,'Paso 5-Trat.+recicl. desechos'!B10=no,'Paso 5-Trat.+recicl. desechos'!B10=que),'Paso 5-Trat.+recicl. desechos'!B10,  pres)</f>
        <v>¿Presente?</v>
      </c>
      <c r="C59" s="427">
        <f>'Nivel 1-Resumen total'!C59</f>
        <v>0</v>
      </c>
      <c r="D59" s="273" t="str">
        <f>'Paso 5-Trat.+recicl. desechos'!D10</f>
        <v>Número de vehículos reciclados/a</v>
      </c>
      <c r="E59" s="427" t="str">
        <f>'Nivel 1-Resumen total'!E59</f>
        <v>¿Presente?</v>
      </c>
    </row>
    <row r="60" spans="1:5" ht="13">
      <c r="A60" s="394" t="str">
        <f>'Range-thresholds'!A61</f>
        <v>Incineración de desechos</v>
      </c>
      <c r="B60" s="304"/>
      <c r="C60" s="304"/>
      <c r="D60" s="372"/>
      <c r="E60" s="372"/>
    </row>
    <row r="61" spans="1:5">
      <c r="A61" s="263" t="str">
        <f>'Range-thresholds'!A62</f>
        <v>Incineración de desechos municipales o generales</v>
      </c>
      <c r="B61" s="268" t="str">
        <f>IF(OR('Paso 5-Trat.+recicl. desechos'!B13=yes,'Paso 5-Trat.+recicl. desechos'!B13=no,'Paso 5-Trat.+recicl. desechos'!B13=que),'Paso 5-Trat.+recicl. desechos'!B13,  pres)</f>
        <v>¿Presente?</v>
      </c>
      <c r="C61" s="427">
        <f>'Nivel 1-Resumen total'!C61</f>
        <v>0</v>
      </c>
      <c r="D61" s="273" t="str">
        <f>'Paso 5-Trat.+recicl. desechos'!D13</f>
        <v xml:space="preserve">Incineración de desechos, t/a </v>
      </c>
      <c r="E61" s="427" t="str">
        <f>'Nivel 1-Resumen total'!E61</f>
        <v>¿Presente?</v>
      </c>
    </row>
    <row r="62" spans="1:5">
      <c r="A62" s="263" t="str">
        <f>'Range-thresholds'!A63</f>
        <v>Incineración residuos peligrosos</v>
      </c>
      <c r="B62" s="268" t="str">
        <f>IF(OR('Paso 5-Trat.+recicl. desechos'!B16=yes,'Paso 5-Trat.+recicl. desechos'!B16=no,'Paso 5-Trat.+recicl. desechos'!B16=que),'Paso 5-Trat.+recicl. desechos'!B16,  pres)</f>
        <v>¿Presente?</v>
      </c>
      <c r="C62" s="427">
        <f>'Nivel 1-Resumen total'!C62</f>
        <v>0</v>
      </c>
      <c r="D62" s="273" t="str">
        <f>'Paso 5-Trat.+recicl. desechos'!D16</f>
        <v>Incineración de desechos, t/a</v>
      </c>
      <c r="E62" s="427" t="str">
        <f>'Nivel 1-Resumen total'!E62</f>
        <v>¿Presente?</v>
      </c>
    </row>
    <row r="63" spans="1:5">
      <c r="A63" s="263" t="str">
        <f>'Range-thresholds'!A64</f>
        <v>Incineración y quema al aire libre de desechos médicos</v>
      </c>
      <c r="B63" s="268" t="str">
        <f>IF(OR('Paso 5-Trat.+recicl. desechos'!B19=yes,'Paso 5-Trat.+recicl. desechos'!B19=no,'Paso 5-Trat.+recicl. desechos'!B19=que),'Paso 5-Trat.+recicl. desechos'!B19,  pres)</f>
        <v>¿Presente?</v>
      </c>
      <c r="C63" s="427">
        <f>'Nivel 1-Resumen total'!C63</f>
        <v>0</v>
      </c>
      <c r="D63" s="273" t="str">
        <f>'Paso 5-Trat.+recicl. desechos'!D19</f>
        <v xml:space="preserve">Incineración de desechos, t/a </v>
      </c>
      <c r="E63" s="427" t="str">
        <f>'Nivel 1-Resumen total'!E63</f>
        <v>¿Presente?</v>
      </c>
    </row>
    <row r="64" spans="1:5">
      <c r="A64" s="263" t="str">
        <f>'Range-thresholds'!A65</f>
        <v>Incineración de lodos residuales</v>
      </c>
      <c r="B64" s="268" t="str">
        <f>IF(OR('Paso 5-Trat.+recicl. desechos'!B22=yes,'Paso 5-Trat.+recicl. desechos'!B22=no,'Paso 5-Trat.+recicl. desechos'!B22=que),'Paso 5-Trat.+recicl. desechos'!B22,  pres)</f>
        <v>¿Presente?</v>
      </c>
      <c r="C64" s="427">
        <f>'Nivel 1-Resumen total'!C64</f>
        <v>0</v>
      </c>
      <c r="D64" s="273" t="str">
        <f>'Paso 5-Trat.+recicl. desechos'!D22</f>
        <v xml:space="preserve">Incineración de desechos, t/a </v>
      </c>
      <c r="E64" s="427" t="str">
        <f>'Nivel 1-Resumen total'!E64</f>
        <v>¿Presente?</v>
      </c>
    </row>
    <row r="65" spans="1:5" ht="25">
      <c r="A65" s="263" t="str">
        <f>'Range-thresholds'!A66</f>
        <v>Quema al aire libre de desechos (en vertederos y de manera informal)</v>
      </c>
      <c r="B65" s="268" t="str">
        <f>IF(OR('Paso 5-Trat.+recicl. desechos'!B23=yes,'Paso 5-Trat.+recicl. desechos'!B23=no,'Paso 5-Trat.+recicl. desechos'!B23=que),'Paso 5-Trat.+recicl. desechos'!B23,  pres)</f>
        <v>¿Presente?</v>
      </c>
      <c r="C65" s="427">
        <f>'Nivel 1-Resumen total'!C65</f>
        <v>0</v>
      </c>
      <c r="D65" s="273" t="str">
        <f>'Paso 5-Trat.+recicl. desechos'!D23</f>
        <v xml:space="preserve">Desechos quemados, t/a </v>
      </c>
      <c r="E65" s="427" t="str">
        <f>'Nivel 1-Resumen total'!E65</f>
        <v>¿Presente?</v>
      </c>
    </row>
    <row r="66" spans="1:5" ht="26">
      <c r="A66" s="394" t="str">
        <f>'Range-thresholds'!A67</f>
        <v>Depósito/vertido de desechos y tratamiento de aguas residuales</v>
      </c>
      <c r="B66" s="304"/>
      <c r="C66" s="304"/>
      <c r="D66" s="372"/>
      <c r="E66" s="372"/>
    </row>
    <row r="67" spans="1:5">
      <c r="A67" s="368" t="str">
        <f>'Range-thresholds'!A68</f>
        <v>Vertederos o depósitos controlados</v>
      </c>
      <c r="B67" s="268" t="str">
        <f>IF(OR('Paso 5-Trat.+recicl. desechos'!B26=yes,'Paso 5-Trat.+recicl. desechos'!B26=no,'Paso 5-Trat.+recicl. desechos'!B26=que),'Paso 5-Trat.+recicl. desechos'!B26,  pres)</f>
        <v>¿Presente?</v>
      </c>
      <c r="C67" s="427">
        <f>'Nivel 1-Resumen total'!C67</f>
        <v>0</v>
      </c>
      <c r="D67" s="273" t="str">
        <f>'Paso 5-Trat.+recicl. desechos'!D26</f>
        <v>Desechos vertidos, t/a</v>
      </c>
      <c r="E67" s="427" t="str">
        <f>'Nivel 1-Resumen total'!E67</f>
        <v>¿Presente?</v>
      </c>
    </row>
    <row r="68" spans="1:5">
      <c r="A68" s="368" t="str">
        <f>'Range-thresholds'!A69</f>
        <v>Vertido informal de desechos generales *1</v>
      </c>
      <c r="B68" s="268" t="str">
        <f>IF(OR('Paso 5-Trat.+recicl. desechos'!B27=yes,'Paso 5-Trat.+recicl. desechos'!B27=no,'Paso 5-Trat.+recicl. desechos'!B27=que),'Paso 5-Trat.+recicl. desechos'!B27,  pres)</f>
        <v>¿Presente?</v>
      </c>
      <c r="C68" s="427">
        <f>'Nivel 1-Resumen total'!C68</f>
        <v>0</v>
      </c>
      <c r="D68" s="273" t="str">
        <f>'Paso 5-Trat.+recicl. desechos'!D27</f>
        <v>Desechos vertidos, t/a</v>
      </c>
      <c r="E68" s="427" t="str">
        <f>'Nivel 1-Resumen total'!E68</f>
        <v>¿Presente?</v>
      </c>
    </row>
    <row r="69" spans="1:5">
      <c r="A69" s="368" t="str">
        <f>'Range-thresholds'!A70</f>
        <v>Sistema/tratamiento de aguas residuales</v>
      </c>
      <c r="B69" s="268" t="str">
        <f>IF(OR('Paso 5-Trat.+recicl. desechos'!B29=yes,'Paso 5-Trat.+recicl. desechos'!B29=no,'Paso 5-Trat.+recicl. desechos'!B29=que),'Paso 5-Trat.+recicl. desechos'!B29,  pres)</f>
        <v>¿Presente?</v>
      </c>
      <c r="C69" s="427">
        <f>'Nivel 1-Resumen total'!C69</f>
        <v>0</v>
      </c>
      <c r="D69" s="273" t="str">
        <f>'Paso 5-Trat.+recicl. desechos'!D29</f>
        <v xml:space="preserve">Aguas residuales, m3/a </v>
      </c>
      <c r="E69" s="427" t="str">
        <f>'Nivel 1-Resumen total'!E69</f>
        <v>¿Presente?</v>
      </c>
    </row>
    <row r="70" spans="1:5" ht="13">
      <c r="A70" s="394" t="str">
        <f>'Range-thresholds'!A71</f>
        <v>Crematorios y cementerios</v>
      </c>
      <c r="B70" s="304"/>
      <c r="C70" s="304"/>
      <c r="D70" s="372"/>
      <c r="E70" s="372"/>
    </row>
    <row r="71" spans="1:5">
      <c r="A71" s="263" t="str">
        <f>'Range-thresholds'!A72</f>
        <v>Crematorios</v>
      </c>
      <c r="B71" s="268" t="str">
        <f>IF(OR('Paso 7-Crematorios-cementerios'!B5=yes,'Paso 7-Crematorios-cementerios'!B5=no,'Paso 7-Crematorios-cementerios'!B5=que),'Paso 7-Crematorios-cementerios'!B5,  pres)</f>
        <v>¿Presente?</v>
      </c>
      <c r="C71" s="427">
        <f>'Nivel 1-Resumen total'!C71</f>
        <v>0</v>
      </c>
      <c r="D71" s="273" t="str">
        <f>'Paso 7-Crematorios-cementerios'!D5</f>
        <v>Cadáveres cremados/a</v>
      </c>
      <c r="E71" s="427" t="str">
        <f>'Nivel 1-Resumen total'!E71</f>
        <v>¿Presente?</v>
      </c>
    </row>
    <row r="72" spans="1:5">
      <c r="A72" s="263" t="str">
        <f>'Range-thresholds'!A73</f>
        <v>Cementerios</v>
      </c>
      <c r="B72" s="268" t="str">
        <f>IF(OR('Paso 7-Crematorios-cementerios'!B6=yes,'Paso 7-Crematorios-cementerios'!B6=no,'Paso 7-Crematorios-cementerios'!B6=que),'Paso 7-Crematorios-cementerios'!B6,  pres)</f>
        <v>¿Presente?</v>
      </c>
      <c r="C72" s="427">
        <f>'Nivel 1-Resumen total'!C72</f>
        <v>0</v>
      </c>
      <c r="D72" s="273" t="str">
        <f>'Paso 7-Crematorios-cementerios'!D6</f>
        <v>Cadáveres enterrados/a</v>
      </c>
      <c r="E72" s="427" t="str">
        <f>'Nivel 1-Resumen total'!E72</f>
        <v>¿Presente?</v>
      </c>
    </row>
    <row r="73" spans="1:5" s="356" customFormat="1" ht="13">
      <c r="A73" s="265" t="s">
        <v>1148</v>
      </c>
      <c r="B73" s="429"/>
      <c r="C73" s="430"/>
      <c r="D73" s="375"/>
      <c r="E73" s="538">
        <f>'Nivel 1-Resumen total'!E73</f>
        <v>0</v>
      </c>
    </row>
    <row r="74" spans="1:5">
      <c r="A74" s="602" t="s">
        <v>853</v>
      </c>
    </row>
    <row r="75" spans="1:5">
      <c r="A75" s="602" t="s">
        <v>1149</v>
      </c>
    </row>
    <row r="76" spans="1:5">
      <c r="A76" s="339" t="s">
        <v>1150</v>
      </c>
    </row>
    <row r="77" spans="1:5">
      <c r="A77" s="339" t="s">
        <v>1151</v>
      </c>
      <c r="B77" s="339"/>
    </row>
    <row r="78" spans="1:5">
      <c r="A78" s="339" t="s">
        <v>1152</v>
      </c>
      <c r="B78" s="339"/>
    </row>
    <row r="79" spans="1:5">
      <c r="A79" s="602" t="s">
        <v>1127</v>
      </c>
      <c r="B79" s="339"/>
    </row>
    <row r="80" spans="1:5">
      <c r="A80" s="602" t="s">
        <v>1153</v>
      </c>
      <c r="B80" s="339"/>
    </row>
    <row r="81" spans="1:1">
      <c r="A81" s="602" t="s">
        <v>1129</v>
      </c>
    </row>
    <row r="82" spans="1:1">
      <c r="A82" s="602" t="s">
        <v>1232</v>
      </c>
    </row>
  </sheetData>
  <sheetProtection algorithmName="SHA-512" hashValue="hKFHZi0a2I8upV6oUZV/ciQftm2ptLAvpzzFhbENNCOGV5jyYuCIijRgybtMj2jJR6NaPpM3/Q2WGbZDYYgzrg==" saltValue="W6zBDj04Ry/VN9dFCxVtUw==" spinCount="100000" sheet="1" objects="1" scenarios="1"/>
  <pageMargins left="0.39370078740157483" right="0.39370078740157483" top="0.74803149606299213" bottom="0.74803149606299213" header="0.31496062992125984" footer="0.31496062992125984"/>
  <pageSetup paperSize="9" orientation="landscape" r:id="rId1"/>
  <headerFooter>
    <oddFooter>&amp;L&amp;A
Printed &amp;D</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pageSetUpPr fitToPage="1"/>
  </sheetPr>
  <dimension ref="A1:G94"/>
  <sheetViews>
    <sheetView workbookViewId="0">
      <selection activeCell="A18" sqref="A18"/>
    </sheetView>
  </sheetViews>
  <sheetFormatPr defaultColWidth="9.1796875" defaultRowHeight="12.5"/>
  <cols>
    <col min="1" max="1" width="46.81640625" style="339" customWidth="1"/>
    <col min="2" max="2" width="11" style="339" customWidth="1"/>
    <col min="3" max="3" width="10.81640625" style="339" customWidth="1"/>
    <col min="4" max="4" width="11.453125" style="339" customWidth="1"/>
    <col min="5" max="5" width="13.453125" style="339" customWidth="1"/>
    <col min="6" max="6" width="11.6328125" style="339" customWidth="1"/>
    <col min="7" max="7" width="16.1796875" style="339" customWidth="1"/>
    <col min="8" max="16384" width="9.1796875" style="339"/>
  </cols>
  <sheetData>
    <row r="1" spans="1:7" ht="13">
      <c r="A1" s="356" t="s">
        <v>1124</v>
      </c>
    </row>
    <row r="2" spans="1:7" s="361" customFormat="1">
      <c r="A2" s="263" t="s">
        <v>837</v>
      </c>
      <c r="B2" s="830" t="s">
        <v>845</v>
      </c>
      <c r="C2" s="831"/>
      <c r="D2" s="831"/>
      <c r="E2" s="831"/>
      <c r="F2" s="831"/>
      <c r="G2" s="832"/>
    </row>
    <row r="3" spans="1:7" ht="62.5">
      <c r="A3" s="417"/>
      <c r="B3" s="746" t="s">
        <v>847</v>
      </c>
      <c r="C3" s="746" t="s">
        <v>848</v>
      </c>
      <c r="D3" s="746" t="s">
        <v>849</v>
      </c>
      <c r="E3" s="745" t="s">
        <v>850</v>
      </c>
      <c r="F3" s="745" t="s">
        <v>851</v>
      </c>
      <c r="G3" s="745" t="s">
        <v>1125</v>
      </c>
    </row>
    <row r="4" spans="1:7" ht="13">
      <c r="A4" s="394" t="str">
        <f>'Paso 2-Energía'!A4</f>
        <v>Consumo de energía</v>
      </c>
      <c r="B4" s="761"/>
      <c r="C4" s="761"/>
      <c r="D4" s="761"/>
      <c r="E4" s="762"/>
      <c r="F4" s="762"/>
      <c r="G4" s="762"/>
    </row>
    <row r="5" spans="1:7">
      <c r="A5" s="263" t="str">
        <f>'Paso 2-Energía'!A5</f>
        <v>Combustión de carbón en centrales eléctricas</v>
      </c>
      <c r="B5" s="428" t="str">
        <f>'Nivel 1-Resumen total'!F5</f>
        <v>¿Presente?</v>
      </c>
      <c r="C5" s="428" t="str">
        <f>'Nivel 1-Resumen total'!G5</f>
        <v>¿Presente?</v>
      </c>
      <c r="D5" s="428" t="str">
        <f>'Nivel 1-Resumen total'!H5</f>
        <v>¿Presente?</v>
      </c>
      <c r="E5" s="428" t="str">
        <f>'Nivel 1-Resumen total'!I5</f>
        <v>¿Presente?</v>
      </c>
      <c r="F5" s="428" t="str">
        <f>'Nivel 1-Resumen total'!J5</f>
        <v>¿Presente?</v>
      </c>
      <c r="G5" s="428" t="str">
        <f>'Nivel 1-Resumen total'!K5</f>
        <v>¿Presente?</v>
      </c>
    </row>
    <row r="6" spans="1:7" ht="25">
      <c r="A6" s="263" t="str">
        <f>'Paso 2-Energía'!A8</f>
        <v>Combustión de carbón en calderas industriales de carbón</v>
      </c>
      <c r="B6" s="428" t="str">
        <f>'Nivel 1-Resumen total'!F6</f>
        <v>¿Presente?</v>
      </c>
      <c r="C6" s="428" t="str">
        <f>'Nivel 1-Resumen total'!G6</f>
        <v>¿Presente?</v>
      </c>
      <c r="D6" s="428" t="str">
        <f>'Nivel 1-Resumen total'!H6</f>
        <v>¿Presente?</v>
      </c>
      <c r="E6" s="428" t="str">
        <f>'Nivel 1-Resumen total'!I6</f>
        <v>¿Presente?</v>
      </c>
      <c r="F6" s="428" t="str">
        <f>'Nivel 1-Resumen total'!J6</f>
        <v>¿Presente?</v>
      </c>
      <c r="G6" s="428" t="str">
        <f>'Nivel 1-Resumen total'!K6</f>
        <v>¿Presente?</v>
      </c>
    </row>
    <row r="7" spans="1:7">
      <c r="A7" s="263" t="str">
        <f>'Paso 2-Energía'!A11</f>
        <v>Otros usos del carbón</v>
      </c>
      <c r="B7" s="428" t="str">
        <f>'Nivel 1-Resumen total'!F7</f>
        <v>¿Presente?</v>
      </c>
      <c r="C7" s="428" t="str">
        <f>'Nivel 1-Resumen total'!G7</f>
        <v>¿Presente?</v>
      </c>
      <c r="D7" s="428" t="str">
        <f>'Nivel 1-Resumen total'!H7</f>
        <v>¿Presente?</v>
      </c>
      <c r="E7" s="428" t="str">
        <f>'Nivel 1-Resumen total'!I7</f>
        <v>¿Presente?</v>
      </c>
      <c r="F7" s="428" t="str">
        <f>'Nivel 1-Resumen total'!J7</f>
        <v>¿Presente?</v>
      </c>
      <c r="G7" s="428" t="str">
        <f>'Nivel 1-Resumen total'!K7</f>
        <v>¿Presente?</v>
      </c>
    </row>
    <row r="8" spans="1:7" ht="25">
      <c r="A8" s="263" t="str">
        <f>'Paso 2-Energía'!A12</f>
        <v>Combustión/uso de coque de petróleo y petróleo pesado</v>
      </c>
      <c r="B8" s="428" t="str">
        <f>'Nivel 1-Resumen total'!F8</f>
        <v>¿Presente?</v>
      </c>
      <c r="C8" s="428" t="str">
        <f>'Nivel 1-Resumen total'!G8</f>
        <v>¿Presente?</v>
      </c>
      <c r="D8" s="428" t="str">
        <f>'Nivel 1-Resumen total'!H8</f>
        <v>¿Presente?</v>
      </c>
      <c r="E8" s="428" t="str">
        <f>'Nivel 1-Resumen total'!I8</f>
        <v>¿Presente?</v>
      </c>
      <c r="F8" s="428" t="str">
        <f>'Nivel 1-Resumen total'!J8</f>
        <v>¿Presente?</v>
      </c>
      <c r="G8" s="428" t="str">
        <f>'Nivel 1-Resumen total'!K8</f>
        <v>¿Presente?</v>
      </c>
    </row>
    <row r="9" spans="1:7" ht="25">
      <c r="A9" s="263" t="str">
        <f>'Paso 2-Energía'!A15</f>
        <v>Combustión/uso de diesel, gasoil, petróleo, querosén, GLP y otros destilados livianos a medios</v>
      </c>
      <c r="B9" s="428" t="str">
        <f>'Nivel 1-Resumen total'!F9</f>
        <v>¿Presente?</v>
      </c>
      <c r="C9" s="428" t="str">
        <f>'Nivel 1-Resumen total'!G9</f>
        <v>¿Presente?</v>
      </c>
      <c r="D9" s="428" t="str">
        <f>'Nivel 1-Resumen total'!H9</f>
        <v>¿Presente?</v>
      </c>
      <c r="E9" s="428" t="str">
        <f>'Nivel 1-Resumen total'!I9</f>
        <v>¿Presente?</v>
      </c>
      <c r="F9" s="428" t="str">
        <f>'Nivel 1-Resumen total'!J9</f>
        <v>¿Presente?</v>
      </c>
      <c r="G9" s="428" t="str">
        <f>'Nivel 1-Resumen total'!K9</f>
        <v>¿Presente?</v>
      </c>
    </row>
    <row r="10" spans="1:7">
      <c r="A10" s="263" t="str">
        <f>'Paso 2-Energía'!A18</f>
        <v>Uso de gas natural o limpio</v>
      </c>
      <c r="B10" s="428" t="str">
        <f>'Nivel 1-Resumen total'!F10</f>
        <v>¿Presente?</v>
      </c>
      <c r="C10" s="428" t="str">
        <f>'Nivel 1-Resumen total'!G10</f>
        <v>¿Presente?</v>
      </c>
      <c r="D10" s="428" t="str">
        <f>'Nivel 1-Resumen total'!H10</f>
        <v>¿Presente?</v>
      </c>
      <c r="E10" s="428" t="str">
        <f>'Nivel 1-Resumen total'!I10</f>
        <v>¿Presente?</v>
      </c>
      <c r="F10" s="428" t="str">
        <f>'Nivel 1-Resumen total'!J10</f>
        <v>¿Presente?</v>
      </c>
      <c r="G10" s="428" t="str">
        <f>'Nivel 1-Resumen total'!K10</f>
        <v>¿Presente?</v>
      </c>
    </row>
    <row r="11" spans="1:7">
      <c r="A11" s="263" t="str">
        <f>'Paso 2-Energía'!A19</f>
        <v>Uso de gas por cañería (calidad de consumo)</v>
      </c>
      <c r="B11" s="428" t="str">
        <f>'Nivel 1-Resumen total'!F11</f>
        <v>¿Presente?</v>
      </c>
      <c r="C11" s="428" t="str">
        <f>'Nivel 1-Resumen total'!G11</f>
        <v>¿Presente?</v>
      </c>
      <c r="D11" s="428" t="str">
        <f>'Nivel 1-Resumen total'!H11</f>
        <v>¿Presente?</v>
      </c>
      <c r="E11" s="428" t="str">
        <f>'Nivel 1-Resumen total'!I11</f>
        <v>¿Presente?</v>
      </c>
      <c r="F11" s="428" t="str">
        <f>'Nivel 1-Resumen total'!J11</f>
        <v>¿Presente?</v>
      </c>
      <c r="G11" s="428" t="str">
        <f>'Nivel 1-Resumen total'!K11</f>
        <v>¿Presente?</v>
      </c>
    </row>
    <row r="12" spans="1:7">
      <c r="A12" s="263" t="str">
        <f>'Paso 2-Energía'!A20</f>
        <v>Energía y producción de calor de biomasa</v>
      </c>
      <c r="B12" s="428" t="str">
        <f>'Nivel 1-Resumen total'!F12</f>
        <v>¿Presente?</v>
      </c>
      <c r="C12" s="428" t="str">
        <f>'Nivel 1-Resumen total'!G12</f>
        <v>¿Presente?</v>
      </c>
      <c r="D12" s="428" t="str">
        <f>'Nivel 1-Resumen total'!H12</f>
        <v>¿Presente?</v>
      </c>
      <c r="E12" s="428" t="str">
        <f>'Nivel 1-Resumen total'!I12</f>
        <v>¿Presente?</v>
      </c>
      <c r="F12" s="428" t="str">
        <f>'Nivel 1-Resumen total'!J12</f>
        <v>¿Presente?</v>
      </c>
      <c r="G12" s="428" t="str">
        <f>'Nivel 1-Resumen total'!K12</f>
        <v>¿Presente?</v>
      </c>
    </row>
    <row r="13" spans="1:7">
      <c r="A13" s="263" t="str">
        <f>'Paso 2-Energía'!A21</f>
        <v>Combustión de carbón vegetal</v>
      </c>
      <c r="B13" s="428" t="str">
        <f>'Nivel 1-Resumen total'!F13</f>
        <v>¿Presente?</v>
      </c>
      <c r="C13" s="428" t="str">
        <f>'Nivel 1-Resumen total'!G13</f>
        <v>¿Presente?</v>
      </c>
      <c r="D13" s="428" t="str">
        <f>'Nivel 1-Resumen total'!H13</f>
        <v>¿Presente?</v>
      </c>
      <c r="E13" s="428" t="str">
        <f>'Nivel 1-Resumen total'!I13</f>
        <v>¿Presente?</v>
      </c>
      <c r="F13" s="428" t="str">
        <f>'Nivel 1-Resumen total'!J13</f>
        <v>¿Presente?</v>
      </c>
      <c r="G13" s="428" t="str">
        <f>'Nivel 1-Resumen total'!K13</f>
        <v>¿Presente?</v>
      </c>
    </row>
    <row r="14" spans="1:7" ht="13">
      <c r="A14" s="394" t="str">
        <f>'Paso 2-Energía'!A23</f>
        <v>Producción de combustible</v>
      </c>
      <c r="B14" s="365"/>
      <c r="C14" s="365"/>
      <c r="D14" s="365"/>
      <c r="E14" s="308"/>
      <c r="F14" s="308"/>
      <c r="G14" s="308"/>
    </row>
    <row r="15" spans="1:7">
      <c r="A15" s="263" t="str">
        <f>'Paso 2-Energía'!A24</f>
        <v>Extracción de petróleo</v>
      </c>
      <c r="B15" s="428" t="str">
        <f>'Nivel 1-Resumen total'!F15</f>
        <v>¿Presente?</v>
      </c>
      <c r="C15" s="428" t="str">
        <f>'Nivel 1-Resumen total'!G15</f>
        <v>¿Presente?</v>
      </c>
      <c r="D15" s="428" t="str">
        <f>'Nivel 1-Resumen total'!H15</f>
        <v>¿Presente?</v>
      </c>
      <c r="E15" s="428" t="str">
        <f>'Nivel 1-Resumen total'!I15</f>
        <v>¿Presente?</v>
      </c>
      <c r="F15" s="428" t="str">
        <f>'Nivel 1-Resumen total'!J15</f>
        <v>¿Presente?</v>
      </c>
      <c r="G15" s="428" t="str">
        <f>'Nivel 1-Resumen total'!K15</f>
        <v>¿Presente?</v>
      </c>
    </row>
    <row r="16" spans="1:7">
      <c r="A16" s="263" t="str">
        <f>'Paso 2-Energía'!A25</f>
        <v>Refinación de petróleo</v>
      </c>
      <c r="B16" s="428" t="str">
        <f>'Nivel 1-Resumen total'!F16</f>
        <v>¿Presente?</v>
      </c>
      <c r="C16" s="428" t="str">
        <f>'Nivel 1-Resumen total'!G16</f>
        <v>¿Presente?</v>
      </c>
      <c r="D16" s="428" t="str">
        <f>'Nivel 1-Resumen total'!H16</f>
        <v>¿Presente?</v>
      </c>
      <c r="E16" s="428" t="str">
        <f>'Nivel 1-Resumen total'!I16</f>
        <v>¿Presente?</v>
      </c>
      <c r="F16" s="428" t="str">
        <f>'Nivel 1-Resumen total'!J16</f>
        <v>¿Presente?</v>
      </c>
      <c r="G16" s="428" t="str">
        <f>'Nivel 1-Resumen total'!K16</f>
        <v>¿Presente?</v>
      </c>
    </row>
    <row r="17" spans="1:7">
      <c r="A17" s="263" t="str">
        <f>'Paso 2-Energía'!A26</f>
        <v>Extracción y procesamiento de gas natural</v>
      </c>
      <c r="B17" s="428" t="str">
        <f>'Nivel 1-Resumen total'!F17</f>
        <v>¿Presente?</v>
      </c>
      <c r="C17" s="428" t="str">
        <f>'Nivel 1-Resumen total'!G17</f>
        <v>¿Presente?</v>
      </c>
      <c r="D17" s="428" t="str">
        <f>'Nivel 1-Resumen total'!H17</f>
        <v>¿Presente?</v>
      </c>
      <c r="E17" s="428" t="str">
        <f>'Nivel 1-Resumen total'!I17</f>
        <v>¿Presente?</v>
      </c>
      <c r="F17" s="428" t="str">
        <f>'Nivel 1-Resumen total'!J17</f>
        <v>¿Presente?</v>
      </c>
      <c r="G17" s="428" t="str">
        <f>'Nivel 1-Resumen total'!K17</f>
        <v>¿Presente?</v>
      </c>
    </row>
    <row r="18" spans="1:7" ht="13">
      <c r="A18" s="394" t="str">
        <f>'Paso 3-Metales-Materias primas'!A5</f>
        <v>Producción de metales primarios</v>
      </c>
      <c r="B18" s="365"/>
      <c r="C18" s="365"/>
      <c r="D18" s="365"/>
      <c r="E18" s="308"/>
      <c r="F18" s="308"/>
      <c r="G18" s="308"/>
    </row>
    <row r="19" spans="1:7">
      <c r="A19" s="263" t="str">
        <f>'Paso 3-Metales-Materias primas'!A6</f>
        <v>Extracción (primaria) de mercurio y procesamiento inicial</v>
      </c>
      <c r="B19" s="428" t="str">
        <f>'Nivel 1-Resumen total'!F19</f>
        <v>¿Presente?</v>
      </c>
      <c r="C19" s="428" t="str">
        <f>'Nivel 1-Resumen total'!G19</f>
        <v>¿Presente?</v>
      </c>
      <c r="D19" s="428" t="str">
        <f>'Nivel 1-Resumen total'!H19</f>
        <v>¿Presente?</v>
      </c>
      <c r="E19" s="428" t="str">
        <f>'Nivel 1-Resumen total'!I19</f>
        <v>¿Presente?</v>
      </c>
      <c r="F19" s="428" t="str">
        <f>'Nivel 1-Resumen total'!J19</f>
        <v>¿Presente?</v>
      </c>
      <c r="G19" s="428" t="str">
        <f>'Nivel 1-Resumen total'!K19</f>
        <v>¿Presente?</v>
      </c>
    </row>
    <row r="20" spans="1:7">
      <c r="A20" s="263" t="str">
        <f>'Paso 3-Metales-Materias primas'!A7</f>
        <v>Producción de zinc a partir de concentrados</v>
      </c>
      <c r="B20" s="428" t="str">
        <f>'Nivel 1-Resumen total'!F20</f>
        <v>¿Presente?</v>
      </c>
      <c r="C20" s="428" t="str">
        <f>'Nivel 1-Resumen total'!G20</f>
        <v>¿Presente?</v>
      </c>
      <c r="D20" s="428" t="str">
        <f>'Nivel 1-Resumen total'!H20</f>
        <v>¿Presente?</v>
      </c>
      <c r="E20" s="428" t="str">
        <f>'Nivel 1-Resumen total'!I20</f>
        <v>¿Presente?</v>
      </c>
      <c r="F20" s="428" t="str">
        <f>'Nivel 1-Resumen total'!J20</f>
        <v>¿Presente?</v>
      </c>
      <c r="G20" s="428" t="str">
        <f>'Nivel 1-Resumen total'!K20</f>
        <v>¿Presente?</v>
      </c>
    </row>
    <row r="21" spans="1:7">
      <c r="A21" s="263" t="str">
        <f>'Paso 3-Metales-Materias primas'!A10</f>
        <v>Producción de cobre a partir de concentrados</v>
      </c>
      <c r="B21" s="428" t="str">
        <f>'Nivel 1-Resumen total'!F21</f>
        <v>¿Presente?</v>
      </c>
      <c r="C21" s="428" t="str">
        <f>'Nivel 1-Resumen total'!G21</f>
        <v>¿Presente?</v>
      </c>
      <c r="D21" s="428" t="str">
        <f>'Nivel 1-Resumen total'!H21</f>
        <v>¿Presente?</v>
      </c>
      <c r="E21" s="428" t="str">
        <f>'Nivel 1-Resumen total'!I21</f>
        <v>¿Presente?</v>
      </c>
      <c r="F21" s="428" t="str">
        <f>'Nivel 1-Resumen total'!J21</f>
        <v>¿Presente?</v>
      </c>
      <c r="G21" s="428" t="str">
        <f>'Nivel 1-Resumen total'!K21</f>
        <v>¿Presente?</v>
      </c>
    </row>
    <row r="22" spans="1:7">
      <c r="A22" s="263" t="str">
        <f>'Paso 3-Metales-Materias primas'!A13</f>
        <v>Producción de plomo a partir de concentrados</v>
      </c>
      <c r="B22" s="428" t="str">
        <f>'Nivel 1-Resumen total'!F22</f>
        <v>¿Presente?</v>
      </c>
      <c r="C22" s="428" t="str">
        <f>'Nivel 1-Resumen total'!G22</f>
        <v>¿Presente?</v>
      </c>
      <c r="D22" s="428" t="str">
        <f>'Nivel 1-Resumen total'!H22</f>
        <v>¿Presente?</v>
      </c>
      <c r="E22" s="428" t="str">
        <f>'Nivel 1-Resumen total'!I22</f>
        <v>¿Presente?</v>
      </c>
      <c r="F22" s="428" t="str">
        <f>'Nivel 1-Resumen total'!J22</f>
        <v>¿Presente?</v>
      </c>
      <c r="G22" s="428" t="str">
        <f>'Nivel 1-Resumen total'!K22</f>
        <v>¿Presente?</v>
      </c>
    </row>
    <row r="23" spans="1:7" ht="25">
      <c r="A23" s="263" t="str">
        <f>'Paso 3-Metales-Materias primas'!A16</f>
        <v>Extracción de oro por métodos distintos a la amalgamación de mercurio</v>
      </c>
      <c r="B23" s="428" t="str">
        <f>'Nivel 1-Resumen total'!F23</f>
        <v>¿Presente?</v>
      </c>
      <c r="C23" s="428" t="str">
        <f>'Nivel 1-Resumen total'!G23</f>
        <v>¿Presente?</v>
      </c>
      <c r="D23" s="428" t="str">
        <f>'Nivel 1-Resumen total'!H23</f>
        <v>¿Presente?</v>
      </c>
      <c r="E23" s="428" t="str">
        <f>'Nivel 1-Resumen total'!I23</f>
        <v>¿Presente?</v>
      </c>
      <c r="F23" s="428" t="str">
        <f>'Nivel 1-Resumen total'!J23</f>
        <v>¿Presente?</v>
      </c>
      <c r="G23" s="428" t="str">
        <f>'Nivel 1-Resumen total'!K23</f>
        <v>¿Presente?</v>
      </c>
    </row>
    <row r="24" spans="1:7" ht="25">
      <c r="A24" s="263" t="str">
        <f>'Paso 3-Metales-Materias primas'!A17</f>
        <v>Producción de alúmina a partir de bauxita (producción de aluminio)</v>
      </c>
      <c r="B24" s="428" t="str">
        <f>'Nivel 1-Resumen total'!F24</f>
        <v>¿Presente?</v>
      </c>
      <c r="C24" s="428" t="str">
        <f>'Nivel 1-Resumen total'!G24</f>
        <v>¿Presente?</v>
      </c>
      <c r="D24" s="428" t="str">
        <f>'Nivel 1-Resumen total'!H24</f>
        <v>¿Presente?</v>
      </c>
      <c r="E24" s="428" t="str">
        <f>'Nivel 1-Resumen total'!I24</f>
        <v>¿Presente?</v>
      </c>
      <c r="F24" s="428" t="str">
        <f>'Nivel 1-Resumen total'!J24</f>
        <v>¿Presente?</v>
      </c>
      <c r="G24" s="428" t="str">
        <f>'Nivel 1-Resumen total'!K24</f>
        <v>¿Presente?</v>
      </c>
    </row>
    <row r="25" spans="1:7" ht="25">
      <c r="A25" s="263" t="str">
        <f>'Paso 3-Metales-Materias primas'!A18</f>
        <v>Producción primaria de metal ferroso (producción de arrabio)</v>
      </c>
      <c r="B25" s="428" t="str">
        <f>'Nivel 1-Resumen total'!F25</f>
        <v>¿Presente?</v>
      </c>
      <c r="C25" s="428" t="str">
        <f>'Nivel 1-Resumen total'!G25</f>
        <v>¿Presente?</v>
      </c>
      <c r="D25" s="428" t="str">
        <f>'Nivel 1-Resumen total'!H25</f>
        <v>¿Presente?</v>
      </c>
      <c r="E25" s="428" t="str">
        <f>'Nivel 1-Resumen total'!I25</f>
        <v>¿Presente?</v>
      </c>
      <c r="F25" s="428" t="str">
        <f>'Nivel 1-Resumen total'!J25</f>
        <v>¿Presente?</v>
      </c>
      <c r="G25" s="428" t="str">
        <f>'Nivel 1-Resumen total'!K25</f>
        <v>¿Presente?</v>
      </c>
    </row>
    <row r="26" spans="1:7" ht="25">
      <c r="A26" s="263" t="str">
        <f>'Paso 3-Metales-Materias primas'!A19</f>
        <v>Extracción de oro con amalgamación de mercurio -  a partir del mineral entero (mineral en bruto)</v>
      </c>
      <c r="B26" s="428" t="str">
        <f>'Nivel 1-Resumen total'!F26</f>
        <v>¿Presente?</v>
      </c>
      <c r="C26" s="428" t="str">
        <f>'Nivel 1-Resumen total'!G26</f>
        <v>¿Presente?</v>
      </c>
      <c r="D26" s="428" t="str">
        <f>'Nivel 1-Resumen total'!H26</f>
        <v>¿Presente?</v>
      </c>
      <c r="E26" s="428" t="str">
        <f>'Nivel 1-Resumen total'!I26</f>
        <v>¿Presente?</v>
      </c>
      <c r="F26" s="428" t="str">
        <f>'Nivel 1-Resumen total'!J26</f>
        <v>¿Presente?</v>
      </c>
      <c r="G26" s="428" t="str">
        <f>'Nivel 1-Resumen total'!K26</f>
        <v>¿Presente?</v>
      </c>
    </row>
    <row r="27" spans="1:7" ht="25">
      <c r="A27" s="263" t="str">
        <f>'Paso 3-Metales-Materias primas'!A22</f>
        <v>Extracción de oro con amalgamación de mercurio - a partir de concentrados</v>
      </c>
      <c r="B27" s="428" t="str">
        <f>'Nivel 1-Resumen total'!F27</f>
        <v>¿Presente?</v>
      </c>
      <c r="C27" s="428" t="str">
        <f>'Nivel 1-Resumen total'!G27</f>
        <v>¿Presente?</v>
      </c>
      <c r="D27" s="428" t="str">
        <f>'Nivel 1-Resumen total'!H27</f>
        <v>¿Presente?</v>
      </c>
      <c r="E27" s="428" t="str">
        <f>'Nivel 1-Resumen total'!I27</f>
        <v>¿Presente?</v>
      </c>
      <c r="F27" s="428" t="str">
        <f>'Nivel 1-Resumen total'!J27</f>
        <v>¿Presente?</v>
      </c>
      <c r="G27" s="428" t="str">
        <f>'Nivel 1-Resumen total'!K27</f>
        <v>¿Presente?</v>
      </c>
    </row>
    <row r="28" spans="1:7" ht="13">
      <c r="A28" s="394" t="str">
        <f>'Paso 3-Metales-Materias primas'!A25</f>
        <v>Producción de otros materiales</v>
      </c>
      <c r="B28" s="365"/>
      <c r="C28" s="365"/>
      <c r="D28" s="365"/>
      <c r="E28" s="308"/>
      <c r="F28" s="308"/>
      <c r="G28" s="308"/>
    </row>
    <row r="29" spans="1:7">
      <c r="A29" s="263" t="s">
        <v>791</v>
      </c>
      <c r="B29" s="428" t="str">
        <f>'Nivel 1-Resumen total'!F29</f>
        <v>¿Presente?</v>
      </c>
      <c r="C29" s="428" t="str">
        <f>'Nivel 1-Resumen total'!G29</f>
        <v>¿Presente?</v>
      </c>
      <c r="D29" s="428" t="str">
        <f>'Nivel 1-Resumen total'!H29</f>
        <v>¿Presente?</v>
      </c>
      <c r="E29" s="428" t="str">
        <f>'Nivel 1-Resumen total'!I29</f>
        <v>¿Presente?</v>
      </c>
      <c r="F29" s="428" t="str">
        <f>'Nivel 1-Resumen total'!J29</f>
        <v>¿Presente?</v>
      </c>
      <c r="G29" s="428" t="str">
        <f>'Nivel 1-Resumen total'!K29</f>
        <v>¿Presente?</v>
      </c>
    </row>
    <row r="30" spans="1:7">
      <c r="A30" s="263" t="str">
        <f>'Paso 3-Metales-Materias primas'!A31</f>
        <v>Producción de pasta y papel</v>
      </c>
      <c r="B30" s="428" t="str">
        <f>'Nivel 1-Resumen total'!F30</f>
        <v>¿Presente?</v>
      </c>
      <c r="C30" s="428" t="str">
        <f>'Nivel 1-Resumen total'!G30</f>
        <v>¿Presente?</v>
      </c>
      <c r="D30" s="428" t="str">
        <f>'Nivel 1-Resumen total'!H30</f>
        <v>¿Presente?</v>
      </c>
      <c r="E30" s="428" t="str">
        <f>'Nivel 1-Resumen total'!I30</f>
        <v>¿Presente?</v>
      </c>
      <c r="F30" s="428" t="str">
        <f>'Nivel 1-Resumen total'!J30</f>
        <v>¿Presente?</v>
      </c>
      <c r="G30" s="428" t="str">
        <f>'Nivel 1-Resumen total'!K30</f>
        <v>¿Presente?</v>
      </c>
    </row>
    <row r="31" spans="1:7" ht="13">
      <c r="A31" s="394" t="str">
        <f>'Paso 4-Uso industrial de Hg'!A4</f>
        <v>Producción de productos químicos</v>
      </c>
      <c r="B31" s="365"/>
      <c r="C31" s="365"/>
      <c r="D31" s="365"/>
      <c r="E31" s="308"/>
      <c r="F31" s="308"/>
      <c r="G31" s="308"/>
    </row>
    <row r="32" spans="1:7">
      <c r="A32" s="263" t="str">
        <f>'Paso 4-Uso industrial de Hg'!A5</f>
        <v>Producción de cloro-álcali con celdas de mercurio</v>
      </c>
      <c r="B32" s="428" t="str">
        <f>'Nivel 1-Resumen total'!F32</f>
        <v>¿Presente?</v>
      </c>
      <c r="C32" s="428" t="str">
        <f>'Nivel 1-Resumen total'!G32</f>
        <v>¿Presente?</v>
      </c>
      <c r="D32" s="428" t="str">
        <f>'Nivel 1-Resumen total'!H32</f>
        <v>¿Presente?</v>
      </c>
      <c r="E32" s="428" t="str">
        <f>'Nivel 1-Resumen total'!I32</f>
        <v>¿Presente?</v>
      </c>
      <c r="F32" s="428" t="str">
        <f>'Nivel 1-Resumen total'!J32</f>
        <v>¿Presente?</v>
      </c>
      <c r="G32" s="428" t="str">
        <f>'Nivel 1-Resumen total'!K32</f>
        <v>¿Presente?</v>
      </c>
    </row>
    <row r="33" spans="1:7">
      <c r="A33" s="263" t="str">
        <f>'Paso 4-Uso industrial de Hg'!A6</f>
        <v>Producción de CVM con catalizador de mercurio</v>
      </c>
      <c r="B33" s="428" t="str">
        <f>'Nivel 1-Resumen total'!F33</f>
        <v>¿Presente?</v>
      </c>
      <c r="C33" s="428" t="str">
        <f>'Nivel 1-Resumen total'!G33</f>
        <v>¿Presente?</v>
      </c>
      <c r="D33" s="428" t="str">
        <f>'Nivel 1-Resumen total'!H33</f>
        <v>¿Presente?</v>
      </c>
      <c r="E33" s="428" t="str">
        <f>'Nivel 1-Resumen total'!I33</f>
        <v>¿Presente?</v>
      </c>
      <c r="F33" s="428" t="str">
        <f>'Nivel 1-Resumen total'!J33</f>
        <v>¿Presente?</v>
      </c>
      <c r="G33" s="428" t="str">
        <f>'Nivel 1-Resumen total'!K33</f>
        <v>¿Presente?</v>
      </c>
    </row>
    <row r="34" spans="1:7">
      <c r="A34" s="263" t="str">
        <f>'Paso 4-Uso industrial de Hg'!A7</f>
        <v>Producción de acetaldehído con catalizador de mercurio</v>
      </c>
      <c r="B34" s="428" t="str">
        <f>'Nivel 1-Resumen total'!F34</f>
        <v>¿Presente?</v>
      </c>
      <c r="C34" s="428" t="str">
        <f>'Nivel 1-Resumen total'!G34</f>
        <v>¿Presente?</v>
      </c>
      <c r="D34" s="428" t="str">
        <f>'Nivel 1-Resumen total'!H34</f>
        <v>¿Presente?</v>
      </c>
      <c r="E34" s="428" t="str">
        <f>'Nivel 1-Resumen total'!I34</f>
        <v>¿Presente?</v>
      </c>
      <c r="F34" s="428" t="str">
        <f>'Nivel 1-Resumen total'!J34</f>
        <v>¿Presente?</v>
      </c>
      <c r="G34" s="428" t="str">
        <f>'Nivel 1-Resumen total'!K34</f>
        <v>¿Presente?</v>
      </c>
    </row>
    <row r="35" spans="1:7" ht="26">
      <c r="A35" s="394" t="str">
        <f>'Paso 4-Uso industrial de Hg'!A9</f>
        <v>Producción de productos con contenido de mercurio</v>
      </c>
      <c r="B35" s="365"/>
      <c r="C35" s="365"/>
      <c r="D35" s="365"/>
      <c r="E35" s="308"/>
      <c r="F35" s="308"/>
      <c r="G35" s="308"/>
    </row>
    <row r="36" spans="1:7" ht="25">
      <c r="A36" s="263" t="str">
        <f>'Paso 4-Uso industrial de Hg'!A10</f>
        <v xml:space="preserve">Termómetros de Hg (médicos, atmosféricos, de laboratorio, industriales, etc.) </v>
      </c>
      <c r="B36" s="428" t="str">
        <f>'Nivel 1-Resumen total'!F36</f>
        <v>¿Presente?</v>
      </c>
      <c r="C36" s="428" t="str">
        <f>'Nivel 1-Resumen total'!G36</f>
        <v>¿Presente?</v>
      </c>
      <c r="D36" s="428" t="str">
        <f>'Nivel 1-Resumen total'!H36</f>
        <v>¿Presente?</v>
      </c>
      <c r="E36" s="428" t="str">
        <f>'Nivel 1-Resumen total'!I36</f>
        <v>¿Presente?</v>
      </c>
      <c r="F36" s="428" t="str">
        <f>'Nivel 1-Resumen total'!J36</f>
        <v>¿Presente?</v>
      </c>
      <c r="G36" s="428" t="str">
        <f>'Nivel 1-Resumen total'!K36</f>
        <v>¿Presente?</v>
      </c>
    </row>
    <row r="37" spans="1:7">
      <c r="A37" s="263" t="str">
        <f>'Paso 4-Uso industrial de Hg'!A11</f>
        <v xml:space="preserve">Conmutadores eléctricos y relés con mercurio </v>
      </c>
      <c r="B37" s="428" t="str">
        <f>'Nivel 1-Resumen total'!F37</f>
        <v>¿Presente?</v>
      </c>
      <c r="C37" s="428" t="str">
        <f>'Nivel 1-Resumen total'!G37</f>
        <v>¿Presente?</v>
      </c>
      <c r="D37" s="428" t="str">
        <f>'Nivel 1-Resumen total'!H37</f>
        <v>¿Presente?</v>
      </c>
      <c r="E37" s="428" t="str">
        <f>'Nivel 1-Resumen total'!I37</f>
        <v>¿Presente?</v>
      </c>
      <c r="F37" s="428" t="str">
        <f>'Nivel 1-Resumen total'!J37</f>
        <v>¿Presente?</v>
      </c>
      <c r="G37" s="428" t="str">
        <f>'Nivel 1-Resumen total'!K37</f>
        <v>¿Presente?</v>
      </c>
    </row>
    <row r="38" spans="1:7" ht="25">
      <c r="A38" s="263" t="str">
        <f>'Paso 4-Uso industrial de Hg'!A12</f>
        <v xml:space="preserve">Fuentes lumínicas con mercurio (fluorescentes, compactas, otras: ver pauta) </v>
      </c>
      <c r="B38" s="428" t="str">
        <f>'Nivel 1-Resumen total'!F38</f>
        <v>¿Presente?</v>
      </c>
      <c r="C38" s="428" t="str">
        <f>'Nivel 1-Resumen total'!G38</f>
        <v>¿Presente?</v>
      </c>
      <c r="D38" s="428" t="str">
        <f>'Nivel 1-Resumen total'!H38</f>
        <v>¿Presente?</v>
      </c>
      <c r="E38" s="428" t="str">
        <f>'Nivel 1-Resumen total'!I38</f>
        <v>¿Presente?</v>
      </c>
      <c r="F38" s="428" t="str">
        <f>'Nivel 1-Resumen total'!J38</f>
        <v>¿Presente?</v>
      </c>
      <c r="G38" s="428" t="str">
        <f>'Nivel 1-Resumen total'!K38</f>
        <v>¿Presente?</v>
      </c>
    </row>
    <row r="39" spans="1:7">
      <c r="A39" s="263" t="str">
        <f>'Paso 4-Uso industrial de Hg'!A13</f>
        <v xml:space="preserve">Pilas con mercurio </v>
      </c>
      <c r="B39" s="428" t="str">
        <f>'Nivel 1-Resumen total'!F39</f>
        <v>¿Presente?</v>
      </c>
      <c r="C39" s="428" t="str">
        <f>'Nivel 1-Resumen total'!G39</f>
        <v>¿Presente?</v>
      </c>
      <c r="D39" s="428" t="str">
        <f>'Nivel 1-Resumen total'!H39</f>
        <v>¿Presente?</v>
      </c>
      <c r="E39" s="428" t="str">
        <f>'Nivel 1-Resumen total'!I39</f>
        <v>¿Presente?</v>
      </c>
      <c r="F39" s="428" t="str">
        <f>'Nivel 1-Resumen total'!J39</f>
        <v>¿Presente?</v>
      </c>
      <c r="G39" s="428" t="str">
        <f>'Nivel 1-Resumen total'!K39</f>
        <v>¿Presente?</v>
      </c>
    </row>
    <row r="40" spans="1:7">
      <c r="A40" s="263" t="str">
        <f>'Paso 4-Uso industrial de Hg'!A14</f>
        <v xml:space="preserve">Manómetros e indicadores con mercurio </v>
      </c>
      <c r="B40" s="428" t="str">
        <f>'Nivel 1-Resumen total'!F40</f>
        <v>¿Presente?</v>
      </c>
      <c r="C40" s="428" t="str">
        <f>'Nivel 1-Resumen total'!G40</f>
        <v>¿Presente?</v>
      </c>
      <c r="D40" s="428" t="str">
        <f>'Nivel 1-Resumen total'!H40</f>
        <v>¿Presente?</v>
      </c>
      <c r="E40" s="428" t="str">
        <f>'Nivel 1-Resumen total'!I40</f>
        <v>¿Presente?</v>
      </c>
      <c r="F40" s="428" t="str">
        <f>'Nivel 1-Resumen total'!J40</f>
        <v>¿Presente?</v>
      </c>
      <c r="G40" s="428" t="str">
        <f>'Nivel 1-Resumen total'!K40</f>
        <v>¿Presente?</v>
      </c>
    </row>
    <row r="41" spans="1:7">
      <c r="A41" s="263" t="str">
        <f>'Paso 4-Uso industrial de Hg'!A15</f>
        <v xml:space="preserve">Biocidas y pesticidas con mercurio </v>
      </c>
      <c r="B41" s="428" t="str">
        <f>'Nivel 1-Resumen total'!F41</f>
        <v>¿Presente?</v>
      </c>
      <c r="C41" s="428" t="str">
        <f>'Nivel 1-Resumen total'!G41</f>
        <v>¿Presente?</v>
      </c>
      <c r="D41" s="428" t="str">
        <f>'Nivel 1-Resumen total'!H41</f>
        <v>¿Presente?</v>
      </c>
      <c r="E41" s="428" t="str">
        <f>'Nivel 1-Resumen total'!I41</f>
        <v>¿Presente?</v>
      </c>
      <c r="F41" s="428" t="str">
        <f>'Nivel 1-Resumen total'!J41</f>
        <v>¿Presente?</v>
      </c>
      <c r="G41" s="428" t="str">
        <f>'Nivel 1-Resumen total'!K41</f>
        <v>¿Presente?</v>
      </c>
    </row>
    <row r="42" spans="1:7">
      <c r="A42" s="263" t="str">
        <f>'Paso 4-Uso industrial de Hg'!A16</f>
        <v xml:space="preserve">Pinturas con mercurio </v>
      </c>
      <c r="B42" s="428" t="str">
        <f>'Nivel 1-Resumen total'!F42</f>
        <v>¿Presente?</v>
      </c>
      <c r="C42" s="428" t="str">
        <f>'Nivel 1-Resumen total'!G42</f>
        <v>¿Presente?</v>
      </c>
      <c r="D42" s="428" t="str">
        <f>'Nivel 1-Resumen total'!H42</f>
        <v>¿Presente?</v>
      </c>
      <c r="E42" s="428" t="str">
        <f>'Nivel 1-Resumen total'!I42</f>
        <v>¿Presente?</v>
      </c>
      <c r="F42" s="428" t="str">
        <f>'Nivel 1-Resumen total'!J42</f>
        <v>¿Presente?</v>
      </c>
      <c r="G42" s="428" t="str">
        <f>'Nivel 1-Resumen total'!K42</f>
        <v>¿Presente?</v>
      </c>
    </row>
    <row r="43" spans="1:7" ht="25">
      <c r="A43" s="263" t="str">
        <f>'Paso 4-Uso industrial de Hg'!A17</f>
        <v xml:space="preserve">Cremas y jabones aclarantes de la piel con productos químicos con mercurio </v>
      </c>
      <c r="B43" s="428" t="str">
        <f>'Nivel 1-Resumen total'!F43</f>
        <v>¿Presente?</v>
      </c>
      <c r="C43" s="428" t="str">
        <f>'Nivel 1-Resumen total'!G43</f>
        <v>¿Presente?</v>
      </c>
      <c r="D43" s="428" t="str">
        <f>'Nivel 1-Resumen total'!H43</f>
        <v>¿Presente?</v>
      </c>
      <c r="E43" s="428" t="str">
        <f>'Nivel 1-Resumen total'!I43</f>
        <v>¿Presente?</v>
      </c>
      <c r="F43" s="428" t="str">
        <f>'Nivel 1-Resumen total'!J43</f>
        <v>¿Presente?</v>
      </c>
      <c r="G43" s="428" t="str">
        <f>'Nivel 1-Resumen total'!K43</f>
        <v>¿Presente?</v>
      </c>
    </row>
    <row r="44" spans="1:7" ht="26">
      <c r="A44" s="394" t="str">
        <f>'Paso 6-Prod. y sust. con Hg'!A6</f>
        <v>Uso y desecho de productos con contenido de mercurio</v>
      </c>
      <c r="B44" s="365"/>
      <c r="C44" s="365"/>
      <c r="D44" s="365"/>
      <c r="E44" s="308"/>
      <c r="F44" s="308"/>
      <c r="G44" s="308"/>
    </row>
    <row r="45" spans="1:7" ht="25">
      <c r="A45" s="263" t="str">
        <f>'Paso 6-Prod. y sust. con Hg'!A7</f>
        <v>Empastes de amalgamas dentales (empastes de "plata")</v>
      </c>
      <c r="B45" s="428" t="str">
        <f>'Nivel 1-Resumen total'!F45</f>
        <v>¿Presente?</v>
      </c>
      <c r="C45" s="428" t="str">
        <f>'Nivel 1-Resumen total'!G45</f>
        <v>¿Presente?</v>
      </c>
      <c r="D45" s="428" t="str">
        <f>'Nivel 1-Resumen total'!H45</f>
        <v>¿Presente?</v>
      </c>
      <c r="E45" s="428" t="str">
        <f>'Nivel 1-Resumen total'!I45</f>
        <v>¿Presente?</v>
      </c>
      <c r="F45" s="428" t="str">
        <f>'Nivel 1-Resumen total'!J45</f>
        <v>¿Presente?</v>
      </c>
      <c r="G45" s="428" t="str">
        <f>'Nivel 1-Resumen total'!K45</f>
        <v>¿Presente?</v>
      </c>
    </row>
    <row r="46" spans="1:7">
      <c r="A46" s="263" t="str">
        <f>'Paso 6-Prod. y sust. con Hg'!A15</f>
        <v>Termómetros</v>
      </c>
      <c r="B46" s="428" t="str">
        <f>'Nivel 1-Resumen total'!F46</f>
        <v>¿Presente?</v>
      </c>
      <c r="C46" s="428" t="str">
        <f>'Nivel 1-Resumen total'!G46</f>
        <v>¿Presente?</v>
      </c>
      <c r="D46" s="428" t="str">
        <f>'Nivel 1-Resumen total'!H46</f>
        <v>¿Presente?</v>
      </c>
      <c r="E46" s="428" t="str">
        <f>'Nivel 1-Resumen total'!I46</f>
        <v>¿Presente?</v>
      </c>
      <c r="F46" s="428" t="str">
        <f>'Nivel 1-Resumen total'!J46</f>
        <v>¿Presente?</v>
      </c>
      <c r="G46" s="428" t="str">
        <f>'Nivel 1-Resumen total'!K46</f>
        <v>¿Presente?</v>
      </c>
    </row>
    <row r="47" spans="1:7">
      <c r="A47" s="263" t="str">
        <f>'Paso 6-Prod. y sust. con Hg'!A20</f>
        <v>Conmutadores eléctricos y relés con mercurio</v>
      </c>
      <c r="B47" s="428" t="str">
        <f>'Nivel 1-Resumen total'!F47</f>
        <v>¿Presente?</v>
      </c>
      <c r="C47" s="428" t="str">
        <f>'Nivel 1-Resumen total'!G47</f>
        <v>¿Presente?</v>
      </c>
      <c r="D47" s="428" t="str">
        <f>'Nivel 1-Resumen total'!H47</f>
        <v>¿Presente?</v>
      </c>
      <c r="E47" s="428" t="str">
        <f>'Nivel 1-Resumen total'!I47</f>
        <v>¿Presente?</v>
      </c>
      <c r="F47" s="428" t="str">
        <f>'Nivel 1-Resumen total'!J47</f>
        <v>¿Presente?</v>
      </c>
      <c r="G47" s="428" t="str">
        <f>'Nivel 1-Resumen total'!K47</f>
        <v>¿Presente?</v>
      </c>
    </row>
    <row r="48" spans="1:7">
      <c r="A48" s="263" t="str">
        <f>'Paso 6-Prod. y sust. con Hg'!A23</f>
        <v>Fuentes de luz con mercurio</v>
      </c>
      <c r="B48" s="428" t="str">
        <f>'Nivel 1-Resumen total'!F48</f>
        <v>¿Presente?</v>
      </c>
      <c r="C48" s="428" t="str">
        <f>'Nivel 1-Resumen total'!G48</f>
        <v>¿Presente?</v>
      </c>
      <c r="D48" s="428" t="str">
        <f>'Nivel 1-Resumen total'!H48</f>
        <v>¿Presente?</v>
      </c>
      <c r="E48" s="428" t="str">
        <f>'Nivel 1-Resumen total'!I48</f>
        <v>¿Presente?</v>
      </c>
      <c r="F48" s="428" t="str">
        <f>'Nivel 1-Resumen total'!J48</f>
        <v>¿Presente?</v>
      </c>
      <c r="G48" s="428" t="str">
        <f>'Nivel 1-Resumen total'!K48</f>
        <v>¿Presente?</v>
      </c>
    </row>
    <row r="49" spans="1:7">
      <c r="A49" s="368" t="str">
        <f>'Paso 6-Prod. y sust. con Hg'!A28</f>
        <v>Pilas con mercurio</v>
      </c>
      <c r="B49" s="428" t="str">
        <f>'Nivel 1-Resumen total'!F49</f>
        <v>¿Presente?</v>
      </c>
      <c r="C49" s="428" t="str">
        <f>'Nivel 1-Resumen total'!G49</f>
        <v>¿Presente?</v>
      </c>
      <c r="D49" s="428" t="str">
        <f>'Nivel 1-Resumen total'!H49</f>
        <v>¿Presente?</v>
      </c>
      <c r="E49" s="428" t="str">
        <f>'Nivel 1-Resumen total'!I49</f>
        <v>¿Presente?</v>
      </c>
      <c r="F49" s="428" t="str">
        <f>'Nivel 1-Resumen total'!J49</f>
        <v>¿Presente?</v>
      </c>
      <c r="G49" s="428" t="str">
        <f>'Nivel 1-Resumen total'!K49</f>
        <v>¿Presente?</v>
      </c>
    </row>
    <row r="50" spans="1:7" ht="25">
      <c r="A50" s="263" t="str">
        <f>'Paso 6-Prod. y sust. con Hg'!A33</f>
        <v>Poliuretano (PU, PUR) producido con catalizador de mercurio</v>
      </c>
      <c r="B50" s="428" t="str">
        <f>'Nivel 1-Resumen total'!F50</f>
        <v>¿Presente?</v>
      </c>
      <c r="C50" s="428" t="str">
        <f>'Nivel 1-Resumen total'!G50</f>
        <v>¿Presente?</v>
      </c>
      <c r="D50" s="428" t="str">
        <f>'Nivel 1-Resumen total'!H50</f>
        <v>¿Presente?</v>
      </c>
      <c r="E50" s="428" t="str">
        <f>'Nivel 1-Resumen total'!I50</f>
        <v>¿Presente?</v>
      </c>
      <c r="F50" s="428" t="str">
        <f>'Nivel 1-Resumen total'!J50</f>
        <v>¿Presente?</v>
      </c>
      <c r="G50" s="428" t="str">
        <f>'Nivel 1-Resumen total'!K50</f>
        <v>¿Presente?</v>
      </c>
    </row>
    <row r="51" spans="1:7">
      <c r="A51" s="263" t="str">
        <f>'Paso 6-Prod. y sust. con Hg'!A36</f>
        <v>Pinturas con conservantes de mercurio</v>
      </c>
      <c r="B51" s="428" t="str">
        <f>'Nivel 1-Resumen total'!F51</f>
        <v>¿Presente?</v>
      </c>
      <c r="C51" s="428" t="str">
        <f>'Nivel 1-Resumen total'!G51</f>
        <v>¿Presente?</v>
      </c>
      <c r="D51" s="428" t="str">
        <f>'Nivel 1-Resumen total'!H51</f>
        <v>¿Presente?</v>
      </c>
      <c r="E51" s="428" t="str">
        <f>'Nivel 1-Resumen total'!I51</f>
        <v>¿Presente?</v>
      </c>
      <c r="F51" s="428" t="str">
        <f>'Nivel 1-Resumen total'!J51</f>
        <v>¿Presente?</v>
      </c>
      <c r="G51" s="428" t="str">
        <f>'Nivel 1-Resumen total'!K51</f>
        <v>¿Presente?</v>
      </c>
    </row>
    <row r="52" spans="1:7" ht="25">
      <c r="A52" s="263" t="str">
        <f>'Paso 6-Prod. y sust. con Hg'!A38</f>
        <v>Cremas y jabones aclarantes de la piel con productos químicos con mercurio</v>
      </c>
      <c r="B52" s="428" t="str">
        <f>'Nivel 1-Resumen total'!F52</f>
        <v>¿Presente?</v>
      </c>
      <c r="C52" s="428" t="str">
        <f>'Nivel 1-Resumen total'!G52</f>
        <v>¿Presente?</v>
      </c>
      <c r="D52" s="428" t="str">
        <f>'Nivel 1-Resumen total'!H52</f>
        <v>¿Presente?</v>
      </c>
      <c r="E52" s="428" t="str">
        <f>'Nivel 1-Resumen total'!I52</f>
        <v>¿Presente?</v>
      </c>
      <c r="F52" s="428" t="str">
        <f>'Nivel 1-Resumen total'!J52</f>
        <v>¿Presente?</v>
      </c>
      <c r="G52" s="428" t="str">
        <f>'Nivel 1-Resumen total'!K52</f>
        <v>¿Presente?</v>
      </c>
    </row>
    <row r="53" spans="1:7" ht="25">
      <c r="A53" s="263" t="str">
        <f>'Paso 6-Prod. y sust. con Hg'!A40</f>
        <v>Dispositivos médicos para tomar la presión sanguínea (esfingomanómetros de mercurio)</v>
      </c>
      <c r="B53" s="428" t="str">
        <f>'Nivel 1-Resumen total'!F53</f>
        <v>¿Presente?</v>
      </c>
      <c r="C53" s="428" t="str">
        <f>'Nivel 1-Resumen total'!G53</f>
        <v>¿Presente?</v>
      </c>
      <c r="D53" s="428" t="str">
        <f>'Nivel 1-Resumen total'!H53</f>
        <v>¿Presente?</v>
      </c>
      <c r="E53" s="428" t="str">
        <f>'Nivel 1-Resumen total'!I53</f>
        <v>¿Presente?</v>
      </c>
      <c r="F53" s="428" t="str">
        <f>'Nivel 1-Resumen total'!J53</f>
        <v>¿Presente?</v>
      </c>
      <c r="G53" s="428" t="str">
        <f>'Nivel 1-Resumen total'!K53</f>
        <v>¿Presente?</v>
      </c>
    </row>
    <row r="54" spans="1:7">
      <c r="A54" s="263" t="str">
        <f>'Paso 6-Prod. y sust. con Hg'!A42</f>
        <v>Otros manómetros e indicadores con mercurio</v>
      </c>
      <c r="B54" s="428" t="str">
        <f>'Nivel 1-Resumen total'!F54</f>
        <v>¿Presente?</v>
      </c>
      <c r="C54" s="428" t="str">
        <f>'Nivel 1-Resumen total'!G54</f>
        <v>¿Presente?</v>
      </c>
      <c r="D54" s="428" t="str">
        <f>'Nivel 1-Resumen total'!H54</f>
        <v>¿Presente?</v>
      </c>
      <c r="E54" s="428" t="str">
        <f>'Nivel 1-Resumen total'!I54</f>
        <v>¿Presente?</v>
      </c>
      <c r="F54" s="428" t="str">
        <f>'Nivel 1-Resumen total'!J54</f>
        <v>¿Presente?</v>
      </c>
      <c r="G54" s="428" t="str">
        <f>'Nivel 1-Resumen total'!K54</f>
        <v>¿Presente?</v>
      </c>
    </row>
    <row r="55" spans="1:7">
      <c r="A55" s="263" t="str">
        <f>'Paso 6-Prod. y sust. con Hg'!A45</f>
        <v>Productos químicos de laboratorio</v>
      </c>
      <c r="B55" s="428" t="str">
        <f>'Nivel 1-Resumen total'!F55</f>
        <v>¿Presente?</v>
      </c>
      <c r="C55" s="428" t="str">
        <f>'Nivel 1-Resumen total'!G55</f>
        <v>¿Presente?</v>
      </c>
      <c r="D55" s="428" t="str">
        <f>'Nivel 1-Resumen total'!H55</f>
        <v>¿Presente?</v>
      </c>
      <c r="E55" s="428" t="str">
        <f>'Nivel 1-Resumen total'!I55</f>
        <v>¿Presente?</v>
      </c>
      <c r="F55" s="428" t="str">
        <f>'Nivel 1-Resumen total'!J55</f>
        <v>¿Presente?</v>
      </c>
      <c r="G55" s="428" t="str">
        <f>'Nivel 1-Resumen total'!K55</f>
        <v>¿Presente?</v>
      </c>
    </row>
    <row r="56" spans="1:7">
      <c r="A56" s="263" t="str">
        <f>'Paso 6-Prod. y sust. con Hg'!A48</f>
        <v xml:space="preserve">Demás equipos médicos y de laboratorio con mercurio </v>
      </c>
      <c r="B56" s="428" t="str">
        <f>'Nivel 1-Resumen total'!F56</f>
        <v>¿Presente?</v>
      </c>
      <c r="C56" s="428" t="str">
        <f>'Nivel 1-Resumen total'!G56</f>
        <v>¿Presente?</v>
      </c>
      <c r="D56" s="428" t="str">
        <f>'Nivel 1-Resumen total'!H56</f>
        <v>¿Presente?</v>
      </c>
      <c r="E56" s="428" t="str">
        <f>'Nivel 1-Resumen total'!I56</f>
        <v>¿Presente?</v>
      </c>
      <c r="F56" s="428" t="str">
        <f>'Nivel 1-Resumen total'!J56</f>
        <v>¿Presente?</v>
      </c>
      <c r="G56" s="428" t="str">
        <f>'Nivel 1-Resumen total'!K56</f>
        <v>¿Presente?</v>
      </c>
    </row>
    <row r="57" spans="1:7" ht="13">
      <c r="A57" s="394" t="str">
        <f>'Paso 5-Trat.+recicl. desechos'!A8</f>
        <v>Producción de metales reciclados</v>
      </c>
      <c r="B57" s="365"/>
      <c r="C57" s="365"/>
      <c r="D57" s="365"/>
      <c r="E57" s="308"/>
      <c r="F57" s="308"/>
      <c r="G57" s="308"/>
    </row>
    <row r="58" spans="1:7" ht="25">
      <c r="A58" s="263" t="str">
        <f>'Paso 5-Trat.+recicl. desechos'!A9</f>
        <v>Producción de mercurio reciclado ("producción secundaria")</v>
      </c>
      <c r="B58" s="428" t="str">
        <f>'Nivel 1-Resumen total'!F58</f>
        <v>¿Presente?</v>
      </c>
      <c r="C58" s="428" t="str">
        <f>'Nivel 1-Resumen total'!G58</f>
        <v>¿Presente?</v>
      </c>
      <c r="D58" s="428" t="str">
        <f>'Nivel 1-Resumen total'!H58</f>
        <v>¿Presente?</v>
      </c>
      <c r="E58" s="428" t="str">
        <f>'Nivel 1-Resumen total'!I58</f>
        <v>¿Presente?</v>
      </c>
      <c r="F58" s="428" t="str">
        <f>'Nivel 1-Resumen total'!J58</f>
        <v>¿Presente?</v>
      </c>
      <c r="G58" s="428" t="str">
        <f>'Nivel 1-Resumen total'!K58</f>
        <v>¿Presente?</v>
      </c>
    </row>
    <row r="59" spans="1:7" ht="25">
      <c r="A59" s="263" t="str">
        <f>'Paso 5-Trat.+recicl. desechos'!A10</f>
        <v>Producción de metales ferrosos reciclados (hierro y acero)</v>
      </c>
      <c r="B59" s="428" t="str">
        <f>'Nivel 1-Resumen total'!F59</f>
        <v>¿Presente?</v>
      </c>
      <c r="C59" s="428" t="str">
        <f>'Nivel 1-Resumen total'!G59</f>
        <v>¿Presente?</v>
      </c>
      <c r="D59" s="428" t="str">
        <f>'Nivel 1-Resumen total'!H59</f>
        <v>¿Presente?</v>
      </c>
      <c r="E59" s="428" t="str">
        <f>'Nivel 1-Resumen total'!I59</f>
        <v>¿Presente?</v>
      </c>
      <c r="F59" s="428" t="str">
        <f>'Nivel 1-Resumen total'!J59</f>
        <v>¿Presente?</v>
      </c>
      <c r="G59" s="428" t="str">
        <f>'Nivel 1-Resumen total'!K59</f>
        <v>¿Presente?</v>
      </c>
    </row>
    <row r="60" spans="1:7" ht="13">
      <c r="A60" s="394" t="str">
        <f>'Paso 5-Trat.+recicl. desechos'!A12</f>
        <v>Incineración de desechos</v>
      </c>
      <c r="B60" s="365"/>
      <c r="C60" s="365"/>
      <c r="D60" s="365"/>
      <c r="E60" s="308"/>
      <c r="F60" s="308"/>
      <c r="G60" s="308"/>
    </row>
    <row r="61" spans="1:7">
      <c r="A61" s="263" t="str">
        <f>'Paso 5-Trat.+recicl. desechos'!A13</f>
        <v>Incineración de desechos municipales o generales</v>
      </c>
      <c r="B61" s="428" t="str">
        <f>'Nivel 1-Resumen total'!F61</f>
        <v>¿Presente?</v>
      </c>
      <c r="C61" s="428" t="str">
        <f>'Nivel 1-Resumen total'!G61</f>
        <v>¿Presente?</v>
      </c>
      <c r="D61" s="428" t="str">
        <f>'Nivel 1-Resumen total'!H61</f>
        <v>¿Presente?</v>
      </c>
      <c r="E61" s="428" t="str">
        <f>'Nivel 1-Resumen total'!I61</f>
        <v>¿Presente?</v>
      </c>
      <c r="F61" s="428" t="str">
        <f>'Nivel 1-Resumen total'!J61</f>
        <v>¿Presente?</v>
      </c>
      <c r="G61" s="428" t="str">
        <f>'Nivel 1-Resumen total'!K61</f>
        <v>¿Presente?</v>
      </c>
    </row>
    <row r="62" spans="1:7">
      <c r="A62" s="263" t="str">
        <f>'Paso 5-Trat.+recicl. desechos'!A16</f>
        <v>Incineración residuos peligrosos</v>
      </c>
      <c r="B62" s="428" t="str">
        <f>'Nivel 1-Resumen total'!F62</f>
        <v>¿Presente?</v>
      </c>
      <c r="C62" s="428" t="str">
        <f>'Nivel 1-Resumen total'!G62</f>
        <v>¿Presente?</v>
      </c>
      <c r="D62" s="428" t="str">
        <f>'Nivel 1-Resumen total'!H62</f>
        <v>¿Presente?</v>
      </c>
      <c r="E62" s="428" t="str">
        <f>'Nivel 1-Resumen total'!I62</f>
        <v>¿Presente?</v>
      </c>
      <c r="F62" s="428" t="str">
        <f>'Nivel 1-Resumen total'!J62</f>
        <v>¿Presente?</v>
      </c>
      <c r="G62" s="428" t="str">
        <f>'Nivel 1-Resumen total'!K62</f>
        <v>¿Presente?</v>
      </c>
    </row>
    <row r="63" spans="1:7">
      <c r="A63" s="263" t="str">
        <f>'Paso 5-Trat.+recicl. desechos'!A19</f>
        <v>Incineración y quema al aire libre de desechos médicos</v>
      </c>
      <c r="B63" s="428" t="str">
        <f>'Nivel 1-Resumen total'!F63</f>
        <v>¿Presente?</v>
      </c>
      <c r="C63" s="428" t="str">
        <f>'Nivel 1-Resumen total'!G63</f>
        <v>¿Presente?</v>
      </c>
      <c r="D63" s="428" t="str">
        <f>'Nivel 1-Resumen total'!H63</f>
        <v>¿Presente?</v>
      </c>
      <c r="E63" s="428" t="str">
        <f>'Nivel 1-Resumen total'!I63</f>
        <v>¿Presente?</v>
      </c>
      <c r="F63" s="428" t="str">
        <f>'Nivel 1-Resumen total'!J63</f>
        <v>¿Presente?</v>
      </c>
      <c r="G63" s="428" t="str">
        <f>'Nivel 1-Resumen total'!K63</f>
        <v>¿Presente?</v>
      </c>
    </row>
    <row r="64" spans="1:7">
      <c r="A64" s="263" t="str">
        <f>'Paso 5-Trat.+recicl. desechos'!A22</f>
        <v>Incineración de lodos residuales</v>
      </c>
      <c r="B64" s="428" t="str">
        <f>'Nivel 1-Resumen total'!F64</f>
        <v>¿Presente?</v>
      </c>
      <c r="C64" s="428" t="str">
        <f>'Nivel 1-Resumen total'!G64</f>
        <v>¿Presente?</v>
      </c>
      <c r="D64" s="428" t="str">
        <f>'Nivel 1-Resumen total'!H64</f>
        <v>¿Presente?</v>
      </c>
      <c r="E64" s="428" t="str">
        <f>'Nivel 1-Resumen total'!I64</f>
        <v>¿Presente?</v>
      </c>
      <c r="F64" s="428" t="str">
        <f>'Nivel 1-Resumen total'!J64</f>
        <v>¿Presente?</v>
      </c>
      <c r="G64" s="428" t="str">
        <f>'Nivel 1-Resumen total'!K64</f>
        <v>¿Presente?</v>
      </c>
    </row>
    <row r="65" spans="1:7" ht="25">
      <c r="A65" s="263" t="str">
        <f>'Paso 5-Trat.+recicl. desechos'!A23</f>
        <v>Quema al aire libre de desechos (en vertederos y de manera informal)</v>
      </c>
      <c r="B65" s="428" t="str">
        <f>'Nivel 1-Resumen total'!F65</f>
        <v>¿Presente?</v>
      </c>
      <c r="C65" s="428" t="str">
        <f>'Nivel 1-Resumen total'!G65</f>
        <v>¿Presente?</v>
      </c>
      <c r="D65" s="428" t="str">
        <f>'Nivel 1-Resumen total'!H65</f>
        <v>¿Presente?</v>
      </c>
      <c r="E65" s="428" t="str">
        <f>'Nivel 1-Resumen total'!I65</f>
        <v>¿Presente?</v>
      </c>
      <c r="F65" s="428" t="str">
        <f>'Nivel 1-Resumen total'!J65</f>
        <v>¿Presente?</v>
      </c>
      <c r="G65" s="428" t="str">
        <f>'Nivel 1-Resumen total'!K65</f>
        <v>¿Presente?</v>
      </c>
    </row>
    <row r="66" spans="1:7" ht="26">
      <c r="A66" s="394" t="str">
        <f>'Paso 5-Trat.+recicl. desechos'!A25</f>
        <v>Depósito/vertido de desechos y tratamiento de aguas residuales</v>
      </c>
      <c r="B66" s="365"/>
      <c r="C66" s="365"/>
      <c r="D66" s="365"/>
      <c r="E66" s="308"/>
      <c r="F66" s="308"/>
      <c r="G66" s="308"/>
    </row>
    <row r="67" spans="1:7">
      <c r="A67" s="263" t="str">
        <f>'Paso 5-Trat.+recicl. desechos'!A26</f>
        <v>Vertederos o depósitos controlados</v>
      </c>
      <c r="B67" s="428" t="str">
        <f>'Nivel 1-Resumen total'!F67</f>
        <v>¿Presente?</v>
      </c>
      <c r="C67" s="428" t="str">
        <f>'Nivel 1-Resumen total'!G67</f>
        <v>¿Presente?</v>
      </c>
      <c r="D67" s="428" t="str">
        <f>'Nivel 1-Resumen total'!H67</f>
        <v>¿Presente?</v>
      </c>
      <c r="E67" s="428" t="str">
        <f>'Nivel 1-Resumen total'!I67</f>
        <v>¿Presente?</v>
      </c>
      <c r="F67" s="428" t="str">
        <f>'Nivel 1-Resumen total'!J67</f>
        <v>¿Presente?</v>
      </c>
      <c r="G67" s="428" t="str">
        <f>'Nivel 1-Resumen total'!K67</f>
        <v>¿Presente?</v>
      </c>
    </row>
    <row r="68" spans="1:7">
      <c r="A68" s="263" t="str">
        <f>'Paso 5-Trat.+recicl. desechos'!A27</f>
        <v>Vertido informal de desechos generales *1</v>
      </c>
      <c r="B68" s="428" t="str">
        <f>'Nivel 1-Resumen total'!F68</f>
        <v>¿Presente?</v>
      </c>
      <c r="C68" s="428" t="str">
        <f>'Nivel 1-Resumen total'!G68</f>
        <v>¿Presente?</v>
      </c>
      <c r="D68" s="428" t="str">
        <f>'Nivel 1-Resumen total'!H68</f>
        <v>¿Presente?</v>
      </c>
      <c r="E68" s="428" t="str">
        <f>'Nivel 1-Resumen total'!I68</f>
        <v>¿Presente?</v>
      </c>
      <c r="F68" s="428" t="str">
        <f>'Nivel 1-Resumen total'!J68</f>
        <v>¿Presente?</v>
      </c>
      <c r="G68" s="428" t="str">
        <f>'Nivel 1-Resumen total'!K68</f>
        <v>¿Presente?</v>
      </c>
    </row>
    <row r="69" spans="1:7">
      <c r="A69" s="263" t="str">
        <f>'Paso 5-Trat.+recicl. desechos'!A29</f>
        <v>Sistema/tratamiento de aguas residuales</v>
      </c>
      <c r="B69" s="428" t="str">
        <f>'Nivel 1-Resumen total'!F69</f>
        <v>¿Presente?</v>
      </c>
      <c r="C69" s="428" t="str">
        <f>'Nivel 1-Resumen total'!G69</f>
        <v>¿Presente?</v>
      </c>
      <c r="D69" s="428" t="str">
        <f>'Nivel 1-Resumen total'!H69</f>
        <v>¿Presente?</v>
      </c>
      <c r="E69" s="428" t="str">
        <f>'Nivel 1-Resumen total'!I69</f>
        <v>¿Presente?</v>
      </c>
      <c r="F69" s="428" t="str">
        <f>'Nivel 1-Resumen total'!J69</f>
        <v>¿Presente?</v>
      </c>
      <c r="G69" s="428" t="str">
        <f>'Nivel 1-Resumen total'!K69</f>
        <v>¿Presente?</v>
      </c>
    </row>
    <row r="70" spans="1:7" ht="13">
      <c r="A70" s="394" t="str">
        <f>'Paso 7-Crematorios-cementerios'!A4</f>
        <v>Crematorios y cementerios</v>
      </c>
      <c r="B70" s="365"/>
      <c r="C70" s="365"/>
      <c r="D70" s="365"/>
      <c r="E70" s="308"/>
      <c r="F70" s="308"/>
      <c r="G70" s="308"/>
    </row>
    <row r="71" spans="1:7">
      <c r="A71" s="263" t="str">
        <f>'Paso 7-Crematorios-cementerios'!A5</f>
        <v>Crematorios</v>
      </c>
      <c r="B71" s="428" t="str">
        <f>'Nivel 1-Resumen total'!F71</f>
        <v>¿Presente?</v>
      </c>
      <c r="C71" s="428" t="str">
        <f>'Nivel 1-Resumen total'!G71</f>
        <v>¿Presente?</v>
      </c>
      <c r="D71" s="428" t="str">
        <f>'Nivel 1-Resumen total'!H71</f>
        <v>¿Presente?</v>
      </c>
      <c r="E71" s="428" t="str">
        <f>'Nivel 1-Resumen total'!I71</f>
        <v>¿Presente?</v>
      </c>
      <c r="F71" s="428" t="str">
        <f>'Nivel 1-Resumen total'!J71</f>
        <v>¿Presente?</v>
      </c>
      <c r="G71" s="428" t="str">
        <f>'Nivel 1-Resumen total'!K71</f>
        <v>¿Presente?</v>
      </c>
    </row>
    <row r="72" spans="1:7">
      <c r="A72" s="263" t="str">
        <f>'Paso 7-Crematorios-cementerios'!A6</f>
        <v>Cementerios</v>
      </c>
      <c r="B72" s="428" t="str">
        <f>'Nivel 1-Resumen total'!F72</f>
        <v>¿Presente?</v>
      </c>
      <c r="C72" s="428" t="str">
        <f>'Nivel 1-Resumen total'!G72</f>
        <v>¿Presente?</v>
      </c>
      <c r="D72" s="428" t="str">
        <f>'Nivel 1-Resumen total'!H72</f>
        <v>¿Presente?</v>
      </c>
      <c r="E72" s="428" t="str">
        <f>'Nivel 1-Resumen total'!I72</f>
        <v>¿Presente?</v>
      </c>
      <c r="F72" s="428" t="str">
        <f>'Nivel 1-Resumen total'!J72</f>
        <v>¿Presente?</v>
      </c>
      <c r="G72" s="428" t="str">
        <f>'Nivel 1-Resumen total'!K72</f>
        <v>¿Presente?</v>
      </c>
    </row>
    <row r="73" spans="1:7" s="356" customFormat="1" ht="13">
      <c r="A73" s="265" t="s">
        <v>1154</v>
      </c>
      <c r="B73" s="539">
        <f>'Nivel 1-Resumen total'!F73</f>
        <v>0</v>
      </c>
      <c r="C73" s="539" t="e">
        <f>'Nivel 1-Resumen total'!G73</f>
        <v>#VALUE!</v>
      </c>
      <c r="D73" s="539" t="e">
        <f>'Nivel 1-Resumen total'!H73</f>
        <v>#VALUE!</v>
      </c>
      <c r="E73" s="539">
        <f>'Nivel 1-Resumen total'!I73</f>
        <v>0</v>
      </c>
      <c r="F73" s="539">
        <f>'Nivel 1-Resumen total'!J73</f>
        <v>0</v>
      </c>
      <c r="G73" s="539">
        <f>'Nivel 1-Resumen total'!K73</f>
        <v>0</v>
      </c>
    </row>
    <row r="74" spans="1:7">
      <c r="A74" s="358"/>
    </row>
    <row r="75" spans="1:7">
      <c r="A75" s="602" t="s">
        <v>853</v>
      </c>
    </row>
    <row r="76" spans="1:7">
      <c r="A76" s="602" t="s">
        <v>1126</v>
      </c>
    </row>
    <row r="77" spans="1:7">
      <c r="A77" s="602" t="s">
        <v>1127</v>
      </c>
    </row>
    <row r="78" spans="1:7">
      <c r="A78" s="602" t="s">
        <v>1128</v>
      </c>
    </row>
    <row r="79" spans="1:7">
      <c r="A79" s="602" t="s">
        <v>1129</v>
      </c>
    </row>
    <row r="80" spans="1:7">
      <c r="A80" s="602" t="s">
        <v>1230</v>
      </c>
    </row>
    <row r="92" spans="1:1">
      <c r="A92" s="323"/>
    </row>
    <row r="93" spans="1:1">
      <c r="A93" s="323"/>
    </row>
    <row r="94" spans="1:1">
      <c r="A94" s="323"/>
    </row>
  </sheetData>
  <sheetProtection algorithmName="SHA-512" hashValue="f5JFQ8Fel48uOrdWBOUM2wEzHRti+QpTZTpn6wn9gQGeEIa9PSzrHUjxMZ8L71QnJn2qsHBSklmI8dEciQvdbQ==" saltValue="jl1CIQwZpDIJphtS3HWv7Q==" spinCount="100000" sheet="1" objects="1" scenarios="1"/>
  <mergeCells count="1">
    <mergeCell ref="B2:G2"/>
  </mergeCells>
  <pageMargins left="0.39370078740157483" right="0.39370078740157483" top="0.74803149606299213" bottom="0.74803149606299213" header="0.31496062992125984" footer="0.31496062992125984"/>
  <pageSetup paperSize="9" scale="65" orientation="portrait" r:id="rId1"/>
  <headerFooter>
    <oddFooter>&amp;L&amp;A
Printed &amp;D</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dimension ref="A1:A52"/>
  <sheetViews>
    <sheetView workbookViewId="0"/>
  </sheetViews>
  <sheetFormatPr defaultColWidth="9.1796875" defaultRowHeight="12.5"/>
  <cols>
    <col min="1" max="1" width="96.81640625" style="208" customWidth="1"/>
    <col min="2" max="16384" width="9.1796875" style="203"/>
  </cols>
  <sheetData>
    <row r="1" spans="1:1" ht="18">
      <c r="A1" s="210" t="s">
        <v>374</v>
      </c>
    </row>
    <row r="2" spans="1:1" ht="63">
      <c r="A2" s="204" t="s">
        <v>3</v>
      </c>
    </row>
    <row r="4" spans="1:1" ht="25.5">
      <c r="A4" s="204" t="s">
        <v>4</v>
      </c>
    </row>
    <row r="6" spans="1:1" ht="25.5">
      <c r="A6" s="204" t="s">
        <v>5</v>
      </c>
    </row>
    <row r="7" spans="1:1" ht="13">
      <c r="A7" s="204"/>
    </row>
    <row r="8" spans="1:1" ht="13">
      <c r="A8" s="213" t="s">
        <v>26</v>
      </c>
    </row>
    <row r="9" spans="1:1" ht="62.5">
      <c r="A9" s="214" t="s">
        <v>27</v>
      </c>
    </row>
    <row r="10" spans="1:1" ht="37.5">
      <c r="A10" s="214" t="s">
        <v>28</v>
      </c>
    </row>
    <row r="12" spans="1:1" ht="15.5">
      <c r="A12" s="211" t="s">
        <v>0</v>
      </c>
    </row>
    <row r="13" spans="1:1" ht="13">
      <c r="A13" s="204" t="s">
        <v>6</v>
      </c>
    </row>
    <row r="15" spans="1:1" ht="13">
      <c r="A15" s="204" t="s">
        <v>7</v>
      </c>
    </row>
    <row r="17" spans="1:1" ht="25.5">
      <c r="A17" s="205" t="s">
        <v>8</v>
      </c>
    </row>
    <row r="19" spans="1:1" ht="38">
      <c r="A19" s="205" t="s">
        <v>9</v>
      </c>
    </row>
    <row r="20" spans="1:1" ht="37.5">
      <c r="A20" s="206" t="s">
        <v>10</v>
      </c>
    </row>
    <row r="22" spans="1:1" s="207" customFormat="1" ht="25.5">
      <c r="A22" s="205" t="s">
        <v>11</v>
      </c>
    </row>
    <row r="24" spans="1:1" ht="63">
      <c r="A24" s="204" t="s">
        <v>12</v>
      </c>
    </row>
    <row r="26" spans="1:1" ht="50.5">
      <c r="A26" s="204" t="s">
        <v>13</v>
      </c>
    </row>
    <row r="28" spans="1:1" ht="100.5">
      <c r="A28" s="204" t="s">
        <v>14</v>
      </c>
    </row>
    <row r="30" spans="1:1" ht="50.5">
      <c r="A30" s="204" t="s">
        <v>15</v>
      </c>
    </row>
    <row r="32" spans="1:1" ht="50.5">
      <c r="A32" s="204" t="s">
        <v>16</v>
      </c>
    </row>
    <row r="33" spans="1:1" ht="100">
      <c r="A33" s="209" t="s">
        <v>2</v>
      </c>
    </row>
    <row r="34" spans="1:1">
      <c r="A34" s="209"/>
    </row>
    <row r="35" spans="1:1" ht="100.5">
      <c r="A35" s="204" t="s">
        <v>17</v>
      </c>
    </row>
    <row r="37" spans="1:1" ht="63">
      <c r="A37" s="204" t="s">
        <v>18</v>
      </c>
    </row>
    <row r="39" spans="1:1" ht="38">
      <c r="A39" s="204" t="s">
        <v>19</v>
      </c>
    </row>
    <row r="41" spans="1:1" ht="14">
      <c r="A41" s="212" t="s">
        <v>1</v>
      </c>
    </row>
    <row r="42" spans="1:1" ht="50.5">
      <c r="A42" s="204" t="s">
        <v>20</v>
      </c>
    </row>
    <row r="44" spans="1:1" ht="75.5">
      <c r="A44" s="204" t="s">
        <v>21</v>
      </c>
    </row>
    <row r="46" spans="1:1" ht="63">
      <c r="A46" s="204" t="s">
        <v>22</v>
      </c>
    </row>
    <row r="48" spans="1:1" ht="50.5">
      <c r="A48" s="204" t="s">
        <v>23</v>
      </c>
    </row>
    <row r="50" spans="1:1" ht="50.5">
      <c r="A50" s="204" t="s">
        <v>24</v>
      </c>
    </row>
    <row r="52" spans="1:1" ht="50.5">
      <c r="A52" s="204" t="s">
        <v>25</v>
      </c>
    </row>
  </sheetData>
  <sheetProtection password="83AF" sheet="1"/>
  <phoneticPr fontId="2" type="noConversion"/>
  <pageMargins left="0.39370078740157483" right="0.39370078740157483" top="0.74803149606299213" bottom="0.74803149606299213" header="0.31496062992125984" footer="0.31496062992125984"/>
  <pageSetup paperSize="9" orientation="landscape" r:id="rId1"/>
  <headerFooter>
    <oddFooter>&amp;L&amp;A
Printed &amp;D</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7"/>
  <dimension ref="A1:AE74"/>
  <sheetViews>
    <sheetView zoomScale="70" zoomScaleNormal="70" workbookViewId="0">
      <selection activeCell="F42" sqref="F42"/>
    </sheetView>
  </sheetViews>
  <sheetFormatPr defaultColWidth="8.81640625" defaultRowHeight="12.5"/>
  <cols>
    <col min="1" max="1" width="4.81640625" customWidth="1"/>
    <col min="2" max="2" width="7.1796875" customWidth="1"/>
    <col min="3" max="3" width="56.453125" customWidth="1"/>
    <col min="4" max="4" width="9.1796875" style="44"/>
    <col min="5" max="5" width="12.6328125" customWidth="1"/>
    <col min="8" max="8" width="11" customWidth="1"/>
    <col min="10" max="10" width="22.36328125" customWidth="1"/>
    <col min="11" max="11" width="109.36328125" style="9" customWidth="1"/>
  </cols>
  <sheetData>
    <row r="1" spans="1:31" ht="18">
      <c r="A1" s="1" t="s">
        <v>34</v>
      </c>
      <c r="L1" s="48"/>
    </row>
    <row r="2" spans="1:31" ht="18">
      <c r="A2" s="1" t="s">
        <v>29</v>
      </c>
      <c r="L2" s="48"/>
    </row>
    <row r="3" spans="1:31">
      <c r="A3" t="s">
        <v>30</v>
      </c>
    </row>
    <row r="4" spans="1:31">
      <c r="A4" s="3"/>
      <c r="B4" s="2"/>
      <c r="C4" s="2"/>
    </row>
    <row r="5" spans="1:31">
      <c r="A5" t="s">
        <v>303</v>
      </c>
    </row>
    <row r="6" spans="1:31">
      <c r="A6" s="3"/>
      <c r="B6" s="2"/>
      <c r="C6" s="2"/>
    </row>
    <row r="7" spans="1:31">
      <c r="A7" s="6" t="s">
        <v>315</v>
      </c>
    </row>
    <row r="8" spans="1:31">
      <c r="A8" s="3"/>
      <c r="B8" s="2"/>
      <c r="C8" s="2"/>
    </row>
    <row r="9" spans="1:31" ht="26">
      <c r="A9" s="56" t="s">
        <v>52</v>
      </c>
      <c r="B9" s="56" t="s">
        <v>322</v>
      </c>
      <c r="C9" s="57" t="s">
        <v>314</v>
      </c>
      <c r="D9" s="215" t="s">
        <v>153</v>
      </c>
      <c r="E9" s="82" t="s">
        <v>54</v>
      </c>
      <c r="F9" s="80"/>
      <c r="G9" s="80"/>
      <c r="H9" s="81"/>
      <c r="I9" s="81"/>
      <c r="J9" s="83"/>
      <c r="K9" s="216" t="s">
        <v>87</v>
      </c>
    </row>
    <row r="10" spans="1:31" ht="38.25" customHeight="1">
      <c r="A10" s="58"/>
      <c r="B10" s="58"/>
      <c r="C10" s="58"/>
      <c r="D10" s="77"/>
      <c r="E10" s="78" t="s">
        <v>38</v>
      </c>
      <c r="F10" s="78" t="s">
        <v>39</v>
      </c>
      <c r="G10" s="78" t="s">
        <v>40</v>
      </c>
      <c r="H10" s="79" t="s">
        <v>358</v>
      </c>
      <c r="I10" s="79" t="s">
        <v>42</v>
      </c>
      <c r="J10" s="79" t="s">
        <v>228</v>
      </c>
      <c r="K10" s="217"/>
      <c r="M10" s="48"/>
      <c r="N10" s="48"/>
      <c r="O10" s="48"/>
      <c r="P10" s="48"/>
      <c r="Q10" s="48"/>
      <c r="R10" s="48"/>
      <c r="S10" s="48"/>
      <c r="T10" s="48"/>
      <c r="U10" s="48"/>
      <c r="V10" s="48"/>
      <c r="W10" s="48"/>
      <c r="X10" s="48"/>
      <c r="Y10" s="48"/>
      <c r="Z10" s="48"/>
      <c r="AA10" s="48"/>
      <c r="AB10" s="48"/>
      <c r="AC10" s="48"/>
      <c r="AD10" s="48"/>
      <c r="AE10" s="48"/>
    </row>
    <row r="11" spans="1:31" ht="13">
      <c r="A11" s="57" t="str">
        <f>'5-1 Fuels'!A5</f>
        <v>5.1</v>
      </c>
      <c r="B11" s="57"/>
      <c r="C11" s="57" t="str">
        <f>'5-1 Fuels'!C5</f>
        <v>Source category: Extraction and use of fuels/energy sources</v>
      </c>
      <c r="D11" s="77"/>
      <c r="E11" s="77"/>
      <c r="F11" s="77"/>
      <c r="G11" s="77"/>
      <c r="H11" s="77"/>
      <c r="I11" s="77"/>
      <c r="J11" s="77"/>
      <c r="K11" s="217"/>
      <c r="M11" s="48"/>
      <c r="N11" s="48"/>
      <c r="O11" s="48"/>
      <c r="P11" s="48"/>
      <c r="Q11" s="48"/>
      <c r="R11" s="48"/>
      <c r="S11" s="48"/>
      <c r="T11" s="48"/>
      <c r="U11" s="48"/>
      <c r="V11" s="48"/>
      <c r="W11" s="48"/>
      <c r="X11" s="48"/>
      <c r="Y11" s="48"/>
      <c r="Z11" s="48"/>
      <c r="AA11" s="48"/>
      <c r="AB11" s="48"/>
      <c r="AC11" s="48"/>
      <c r="AD11" s="48"/>
      <c r="AE11" s="48"/>
    </row>
    <row r="12" spans="1:31" ht="13">
      <c r="A12" s="57"/>
      <c r="B12" s="281" t="str">
        <f>'5-1 Fuels'!B6</f>
        <v>5.1.1</v>
      </c>
      <c r="C12" s="281" t="str">
        <f>'5-1 Fuels'!C6</f>
        <v>Coal combustion in large power plants</v>
      </c>
      <c r="D12" s="77">
        <f>'5-1 Fuels'!D6</f>
        <v>0</v>
      </c>
      <c r="E12" s="87">
        <f>'5-1 Fuels'!V6</f>
        <v>0</v>
      </c>
      <c r="F12" s="85">
        <f>'5-1 Fuels'!W6</f>
        <v>0</v>
      </c>
      <c r="G12" s="85">
        <f>'5-1 Fuels'!X6</f>
        <v>0</v>
      </c>
      <c r="H12" s="85">
        <f>'5-1 Fuels'!Y6</f>
        <v>0</v>
      </c>
      <c r="I12" s="87">
        <f>'5-1 Fuels'!Z6</f>
        <v>0</v>
      </c>
      <c r="J12" s="85">
        <f>'5-1 Fuels'!AA6</f>
        <v>0</v>
      </c>
      <c r="K12" s="217"/>
      <c r="M12" s="48"/>
      <c r="N12" s="48"/>
      <c r="O12" s="48"/>
      <c r="P12" s="48"/>
      <c r="Q12" s="48"/>
      <c r="R12" s="48"/>
      <c r="S12" s="48"/>
      <c r="T12" s="48"/>
      <c r="U12" s="48"/>
      <c r="V12" s="48"/>
      <c r="W12" s="48"/>
      <c r="X12" s="48"/>
      <c r="Y12" s="48"/>
      <c r="Z12" s="48"/>
      <c r="AA12" s="48"/>
      <c r="AB12" s="48"/>
      <c r="AC12" s="48"/>
      <c r="AD12" s="48"/>
      <c r="AE12" s="48"/>
    </row>
    <row r="13" spans="1:31" ht="13">
      <c r="A13" s="57"/>
      <c r="B13" s="281" t="str">
        <f>'5-1 Fuels'!B16</f>
        <v>5.1.2.1</v>
      </c>
      <c r="C13" s="281" t="str">
        <f>'5-1 Fuels'!C16</f>
        <v>Coal combustion in coal fired industrial boilers</v>
      </c>
      <c r="D13" s="77">
        <f>'5-1 Fuels'!D16</f>
        <v>0</v>
      </c>
      <c r="E13" s="85">
        <f>'5-1 Fuels'!V16</f>
        <v>0</v>
      </c>
      <c r="F13" s="85">
        <f>'5-1 Fuels'!W16</f>
        <v>0</v>
      </c>
      <c r="G13" s="85">
        <f>'5-1 Fuels'!X16</f>
        <v>0</v>
      </c>
      <c r="H13" s="85">
        <f>'5-1 Fuels'!Y16</f>
        <v>0</v>
      </c>
      <c r="I13" s="85">
        <f>'5-1 Fuels'!Z16</f>
        <v>0</v>
      </c>
      <c r="J13" s="85">
        <f>'5-1 Fuels'!AA16</f>
        <v>0</v>
      </c>
      <c r="K13" s="217"/>
      <c r="M13" s="48"/>
      <c r="N13" s="48"/>
      <c r="O13" s="48"/>
      <c r="P13" s="48"/>
      <c r="Q13" s="48"/>
      <c r="R13" s="48"/>
      <c r="S13" s="48"/>
      <c r="T13" s="48"/>
      <c r="U13" s="48"/>
      <c r="V13" s="48"/>
      <c r="W13" s="48"/>
      <c r="X13" s="48"/>
      <c r="Y13" s="48"/>
      <c r="Z13" s="48"/>
      <c r="AA13" s="48"/>
      <c r="AB13" s="48"/>
      <c r="AC13" s="48"/>
      <c r="AD13" s="48"/>
      <c r="AE13" s="48"/>
    </row>
    <row r="14" spans="1:31" ht="13">
      <c r="A14" s="57"/>
      <c r="B14" s="281" t="str">
        <f>'5-1 Fuels'!B34</f>
        <v>5.1.3</v>
      </c>
      <c r="C14" s="281" t="str">
        <f>'5-1 Fuels'!C34</f>
        <v>Mineral oils - extraction, refining and use</v>
      </c>
      <c r="D14" s="77">
        <f>'5-1 Fuels'!D34</f>
        <v>0</v>
      </c>
      <c r="E14" s="85">
        <f>'5-1 Fuels'!V34</f>
        <v>0</v>
      </c>
      <c r="F14" s="85">
        <f>'5-1 Fuels'!W34</f>
        <v>0</v>
      </c>
      <c r="G14" s="85">
        <f>'5-1 Fuels'!X34</f>
        <v>0</v>
      </c>
      <c r="H14" s="85">
        <f>'5-1 Fuels'!Y34</f>
        <v>0</v>
      </c>
      <c r="I14" s="85">
        <f>'5-1 Fuels'!Z34</f>
        <v>0</v>
      </c>
      <c r="J14" s="85">
        <f>'5-1 Fuels'!AA34</f>
        <v>0</v>
      </c>
      <c r="K14" s="217"/>
      <c r="M14" s="48"/>
      <c r="N14" s="48"/>
      <c r="O14" s="48"/>
      <c r="P14" s="48"/>
      <c r="Q14" s="48"/>
      <c r="R14" s="48"/>
      <c r="S14" s="48"/>
      <c r="T14" s="48"/>
      <c r="U14" s="48"/>
      <c r="V14" s="48"/>
      <c r="W14" s="48"/>
      <c r="X14" s="48"/>
      <c r="Y14" s="48"/>
      <c r="Z14" s="48"/>
      <c r="AA14" s="48"/>
      <c r="AB14" s="48"/>
      <c r="AC14" s="48"/>
      <c r="AD14" s="48"/>
      <c r="AE14" s="48"/>
    </row>
    <row r="15" spans="1:31" ht="13">
      <c r="A15" s="57"/>
      <c r="B15" s="281" t="str">
        <f>'5-1 Fuels'!B49</f>
        <v>5.1.4</v>
      </c>
      <c r="C15" s="281" t="str">
        <f>'5-1 Fuels'!C49</f>
        <v>Natural gas - extraction, refining and use</v>
      </c>
      <c r="D15" s="77">
        <f>'5-1 Fuels'!D49</f>
        <v>0</v>
      </c>
      <c r="E15" s="85">
        <f>'5-1 Fuels'!V49</f>
        <v>0</v>
      </c>
      <c r="F15" s="85">
        <f>'5-1 Fuels'!W49</f>
        <v>0</v>
      </c>
      <c r="G15" s="85">
        <f>'5-1 Fuels'!X49</f>
        <v>0</v>
      </c>
      <c r="H15" s="85">
        <f>'5-1 Fuels'!Y49</f>
        <v>0</v>
      </c>
      <c r="I15" s="85">
        <f>'5-1 Fuels'!Z49</f>
        <v>0</v>
      </c>
      <c r="J15" s="85">
        <f>'5-1 Fuels'!AA49</f>
        <v>0</v>
      </c>
      <c r="K15" s="217"/>
      <c r="M15" s="48"/>
      <c r="N15" s="48"/>
      <c r="O15" s="48"/>
      <c r="P15" s="48"/>
      <c r="Q15" s="48"/>
      <c r="R15" s="48"/>
      <c r="S15" s="48"/>
      <c r="T15" s="48"/>
      <c r="U15" s="48"/>
      <c r="V15" s="48"/>
      <c r="W15" s="48"/>
      <c r="X15" s="48"/>
      <c r="Y15" s="48"/>
      <c r="Z15" s="48"/>
      <c r="AA15" s="48"/>
      <c r="AB15" s="48"/>
      <c r="AC15" s="48"/>
      <c r="AD15" s="48"/>
      <c r="AE15" s="48"/>
    </row>
    <row r="16" spans="1:31" ht="13">
      <c r="A16" s="57"/>
      <c r="B16" s="281" t="str">
        <f>'5-1 Fuels'!B56</f>
        <v>5.1.5</v>
      </c>
      <c r="C16" s="281" t="str">
        <f>'5-1 Fuels'!C56</f>
        <v>Other fossil fuels - extraction and use</v>
      </c>
      <c r="D16" s="77">
        <f>'5-1 Fuels'!D56</f>
        <v>0</v>
      </c>
      <c r="E16" s="85">
        <f>'5-1 Fuels'!V56</f>
        <v>0</v>
      </c>
      <c r="F16" s="85">
        <f>'5-1 Fuels'!W56</f>
        <v>0</v>
      </c>
      <c r="G16" s="85">
        <f>'5-1 Fuels'!X56</f>
        <v>0</v>
      </c>
      <c r="H16" s="85">
        <f>'5-1 Fuels'!Y56</f>
        <v>0</v>
      </c>
      <c r="I16" s="85">
        <f>'5-1 Fuels'!Z56</f>
        <v>0</v>
      </c>
      <c r="J16" s="85">
        <f>'5-1 Fuels'!AA56</f>
        <v>0</v>
      </c>
      <c r="K16" s="217"/>
      <c r="M16" s="48"/>
      <c r="N16" s="48"/>
      <c r="O16" s="48"/>
      <c r="P16" s="48"/>
      <c r="Q16" s="48"/>
      <c r="R16" s="48"/>
      <c r="S16" s="48"/>
      <c r="T16" s="48"/>
      <c r="U16" s="48"/>
      <c r="V16" s="48"/>
      <c r="W16" s="48"/>
      <c r="X16" s="48"/>
      <c r="Y16" s="48"/>
      <c r="Z16" s="48"/>
      <c r="AA16" s="48"/>
      <c r="AB16" s="48"/>
      <c r="AC16" s="48"/>
      <c r="AD16" s="48"/>
      <c r="AE16" s="48"/>
    </row>
    <row r="17" spans="1:31" ht="13">
      <c r="A17" s="57"/>
      <c r="B17" s="281" t="str">
        <f>'5-1 Fuels'!B62</f>
        <v>5.1.6</v>
      </c>
      <c r="C17" s="281" t="str">
        <f>'5-1 Fuels'!C62</f>
        <v>Biomass fired power and heat production</v>
      </c>
      <c r="D17" s="77">
        <f>'5-1 Fuels'!D62</f>
        <v>0</v>
      </c>
      <c r="E17" s="85">
        <f>'5-1 Fuels'!V62</f>
        <v>0</v>
      </c>
      <c r="F17" s="85">
        <f>'5-1 Fuels'!W62</f>
        <v>0</v>
      </c>
      <c r="G17" s="85">
        <f>'5-1 Fuels'!X62</f>
        <v>0</v>
      </c>
      <c r="H17" s="85">
        <f>'5-1 Fuels'!Y62</f>
        <v>0</v>
      </c>
      <c r="I17" s="85">
        <f>'5-1 Fuels'!Z62</f>
        <v>0</v>
      </c>
      <c r="J17" s="85">
        <f>'5-1 Fuels'!AA62</f>
        <v>0</v>
      </c>
      <c r="K17" s="217"/>
      <c r="M17" s="48"/>
      <c r="N17" s="48"/>
      <c r="O17" s="48"/>
      <c r="P17" s="48"/>
      <c r="Q17" s="48"/>
      <c r="R17" s="48"/>
      <c r="S17" s="48"/>
      <c r="T17" s="48"/>
      <c r="U17" s="48"/>
      <c r="V17" s="48"/>
      <c r="W17" s="48"/>
      <c r="X17" s="48"/>
      <c r="Y17" s="48"/>
      <c r="Z17" s="48"/>
      <c r="AA17" s="48"/>
      <c r="AB17" s="48"/>
      <c r="AC17" s="48"/>
      <c r="AD17" s="48"/>
      <c r="AE17" s="48"/>
    </row>
    <row r="18" spans="1:31" s="55" customFormat="1" ht="13">
      <c r="A18" s="57"/>
      <c r="B18" s="281" t="str">
        <f>'5-1 Fuels'!B65</f>
        <v>5.1.7</v>
      </c>
      <c r="C18" s="281" t="str">
        <f>'5-1 Fuels'!C65</f>
        <v>Geothermal power production</v>
      </c>
      <c r="D18" s="77">
        <f>'5-1 Fuels'!D65</f>
        <v>0</v>
      </c>
      <c r="E18" s="85">
        <f>'5-1 Fuels'!V65</f>
        <v>0</v>
      </c>
      <c r="F18" s="85">
        <f>'5-1 Fuels'!W65</f>
        <v>0</v>
      </c>
      <c r="G18" s="85">
        <f>'5-1 Fuels'!X65</f>
        <v>0</v>
      </c>
      <c r="H18" s="85">
        <f>'5-1 Fuels'!Y65</f>
        <v>0</v>
      </c>
      <c r="I18" s="85">
        <f>'5-1 Fuels'!Z65</f>
        <v>0</v>
      </c>
      <c r="J18" s="85">
        <f>'5-1 Fuels'!AA65</f>
        <v>0</v>
      </c>
      <c r="K18" s="217"/>
      <c r="L18" s="13"/>
      <c r="M18" s="48"/>
      <c r="N18" s="48"/>
      <c r="O18" s="48"/>
      <c r="P18" s="48"/>
      <c r="Q18" s="48"/>
      <c r="R18" s="48"/>
      <c r="S18" s="48"/>
      <c r="T18" s="48"/>
      <c r="U18" s="48"/>
      <c r="V18" s="48"/>
      <c r="W18" s="48"/>
      <c r="X18" s="48"/>
      <c r="Y18" s="48"/>
      <c r="Z18" s="48"/>
      <c r="AA18" s="48"/>
      <c r="AB18" s="48"/>
      <c r="AC18" s="48"/>
      <c r="AD18" s="48"/>
      <c r="AE18" s="48"/>
    </row>
    <row r="19" spans="1:31" ht="13">
      <c r="A19" s="56" t="str">
        <f>'5-2 Prim metal'!A5</f>
        <v>5.2</v>
      </c>
      <c r="B19" s="56"/>
      <c r="C19" s="57" t="str">
        <f>'5-2 Prim metal'!C5</f>
        <v>Source category: Primary (virgin) metal production</v>
      </c>
      <c r="D19" s="77"/>
      <c r="E19" s="85"/>
      <c r="F19" s="85"/>
      <c r="G19" s="85"/>
      <c r="H19" s="85"/>
      <c r="I19" s="85"/>
      <c r="J19" s="85"/>
      <c r="K19" s="218"/>
      <c r="L19" s="13"/>
      <c r="M19" s="48"/>
      <c r="N19" s="48"/>
      <c r="O19" s="48"/>
      <c r="P19" s="48"/>
      <c r="Q19" s="48"/>
      <c r="R19" s="48"/>
      <c r="S19" s="48"/>
      <c r="T19" s="48"/>
      <c r="U19" s="48"/>
      <c r="V19" s="48"/>
      <c r="W19" s="48"/>
      <c r="X19" s="48"/>
      <c r="Y19" s="48"/>
      <c r="Z19" s="48"/>
      <c r="AA19" s="48"/>
      <c r="AB19" s="48"/>
      <c r="AC19" s="48"/>
      <c r="AD19" s="48"/>
      <c r="AE19" s="48"/>
    </row>
    <row r="20" spans="1:31" ht="13">
      <c r="A20" s="56"/>
      <c r="B20" s="113" t="str">
        <f>'5-2 Prim metal'!B6</f>
        <v>5.2.1</v>
      </c>
      <c r="C20" s="281" t="str">
        <f>'5-2 Prim metal'!C6</f>
        <v>Mercury (primary) extraction and initial processing</v>
      </c>
      <c r="D20" s="77">
        <f>'5-2 Prim metal'!D6</f>
        <v>0</v>
      </c>
      <c r="E20" s="85">
        <f>'5-2 Prim metal'!V6</f>
        <v>0</v>
      </c>
      <c r="F20" s="85">
        <f>'5-2 Prim metal'!W6</f>
        <v>0</v>
      </c>
      <c r="G20" s="85">
        <f>'5-2 Prim metal'!X6</f>
        <v>0</v>
      </c>
      <c r="H20" s="85">
        <f>'5-2 Prim metal'!Y6</f>
        <v>0</v>
      </c>
      <c r="I20" s="85">
        <f>'5-2 Prim metal'!Z6</f>
        <v>0</v>
      </c>
      <c r="J20" s="85">
        <f>'5-2 Prim metal'!AA6</f>
        <v>0</v>
      </c>
      <c r="K20" s="219"/>
    </row>
    <row r="21" spans="1:31" ht="13">
      <c r="A21" s="56"/>
      <c r="B21" s="113" t="str">
        <f>'5-2 Prim metal'!B8</f>
        <v>5.2.2</v>
      </c>
      <c r="C21" s="281" t="str">
        <f>'5-2 Prim metal'!C8</f>
        <v>Gold and silver extraction with mercury amalgamation processes</v>
      </c>
      <c r="D21" s="77">
        <f>'5-2 Prim metal'!D8</f>
        <v>0</v>
      </c>
      <c r="E21" s="85">
        <f>'5-2 Prim metal'!V8</f>
        <v>0</v>
      </c>
      <c r="F21" s="85">
        <f>'5-2 Prim metal'!W8</f>
        <v>0</v>
      </c>
      <c r="G21" s="85">
        <f>'5-2 Prim metal'!X8</f>
        <v>0</v>
      </c>
      <c r="H21" s="85">
        <f>'5-2 Prim metal'!Y8</f>
        <v>0</v>
      </c>
      <c r="I21" s="85">
        <f>'5-2 Prim metal'!Z8</f>
        <v>0</v>
      </c>
      <c r="J21" s="85">
        <f>'5-2 Prim metal'!AA8</f>
        <v>0</v>
      </c>
      <c r="K21" s="219"/>
    </row>
    <row r="22" spans="1:31" ht="13">
      <c r="A22" s="56"/>
      <c r="B22" s="113" t="str">
        <f>'5-2 Prim metal'!B14</f>
        <v>5.3.3</v>
      </c>
      <c r="C22" s="281" t="str">
        <f>'5-2 Prim metal'!C14</f>
        <v>Zinc extraction and initial processing</v>
      </c>
      <c r="D22" s="77">
        <f>'5-2 Prim metal'!D14</f>
        <v>0</v>
      </c>
      <c r="E22" s="85">
        <f>'5-2 Prim metal'!V14</f>
        <v>0</v>
      </c>
      <c r="F22" s="85">
        <f>'5-2 Prim metal'!W14</f>
        <v>0</v>
      </c>
      <c r="G22" s="85">
        <f>'5-2 Prim metal'!X14</f>
        <v>0</v>
      </c>
      <c r="H22" s="85">
        <f>'5-2 Prim metal'!Y14</f>
        <v>0</v>
      </c>
      <c r="I22" s="85">
        <f>'5-2 Prim metal'!Z14</f>
        <v>0</v>
      </c>
      <c r="J22" s="85">
        <f>'5-2 Prim metal'!AA14</f>
        <v>0</v>
      </c>
      <c r="K22" s="219"/>
    </row>
    <row r="23" spans="1:31" ht="13">
      <c r="A23" s="56"/>
      <c r="B23" s="113" t="str">
        <f>'5-2 Prim metal'!B21</f>
        <v>5.3.4</v>
      </c>
      <c r="C23" s="281" t="str">
        <f>'5-2 Prim metal'!C21</f>
        <v>Copper extraction and initial processing</v>
      </c>
      <c r="D23" s="77">
        <f>'5-2 Prim metal'!D21</f>
        <v>0</v>
      </c>
      <c r="E23" s="85">
        <f>'5-2 Prim metal'!V21</f>
        <v>0</v>
      </c>
      <c r="F23" s="85">
        <f>'5-2 Prim metal'!W21</f>
        <v>0</v>
      </c>
      <c r="G23" s="85">
        <f>'5-2 Prim metal'!X21</f>
        <v>0</v>
      </c>
      <c r="H23" s="85">
        <f>'5-2 Prim metal'!Y21</f>
        <v>0</v>
      </c>
      <c r="I23" s="85">
        <f>'5-2 Prim metal'!Z21</f>
        <v>0</v>
      </c>
      <c r="J23" s="85">
        <f>'5-2 Prim metal'!AA21</f>
        <v>0</v>
      </c>
      <c r="K23" s="219"/>
    </row>
    <row r="24" spans="1:31" ht="13">
      <c r="A24" s="56"/>
      <c r="B24" s="113" t="str">
        <f>'5-2 Prim metal'!B28</f>
        <v>5.3.5</v>
      </c>
      <c r="C24" s="281" t="str">
        <f>'5-2 Prim metal'!C28</f>
        <v>Lead extraction and initial processing</v>
      </c>
      <c r="D24" s="77">
        <f>'5-2 Prim metal'!D28</f>
        <v>0</v>
      </c>
      <c r="E24" s="85">
        <f>'5-2 Prim metal'!V28</f>
        <v>0</v>
      </c>
      <c r="F24" s="85">
        <f>'5-2 Prim metal'!W28</f>
        <v>0</v>
      </c>
      <c r="G24" s="85">
        <f>'5-2 Prim metal'!X28</f>
        <v>0</v>
      </c>
      <c r="H24" s="85">
        <f>'5-2 Prim metal'!Y28</f>
        <v>0</v>
      </c>
      <c r="I24" s="85">
        <f>'5-2 Prim metal'!Z28</f>
        <v>0</v>
      </c>
      <c r="J24" s="85">
        <f>'5-2 Prim metal'!AA28</f>
        <v>0</v>
      </c>
      <c r="K24" s="219"/>
    </row>
    <row r="25" spans="1:31" ht="25.5">
      <c r="A25" s="56"/>
      <c r="B25" s="113" t="str">
        <f>'5-2 Prim metal'!B35</f>
        <v>5.3.6</v>
      </c>
      <c r="C25" s="281" t="str">
        <f>'5-2 Prim metal'!C35</f>
        <v>Gold extraction and initial processing by methods other than mercury amalgamation (a</v>
      </c>
      <c r="D25" s="77">
        <f>'5-2 Prim metal'!D35</f>
        <v>0</v>
      </c>
      <c r="E25" s="85">
        <f>'5-2 Prim metal'!V35</f>
        <v>0</v>
      </c>
      <c r="F25" s="85">
        <f>'5-2 Prim metal'!W35</f>
        <v>0</v>
      </c>
      <c r="G25" s="85">
        <f>'5-2 Prim metal'!X35</f>
        <v>0</v>
      </c>
      <c r="H25" s="85">
        <f>'5-2 Prim metal'!Y35</f>
        <v>0</v>
      </c>
      <c r="I25" s="85">
        <f>'5-2 Prim metal'!Z35</f>
        <v>0</v>
      </c>
      <c r="J25" s="85">
        <f>'5-2 Prim metal'!AA35</f>
        <v>0</v>
      </c>
      <c r="K25" s="219"/>
    </row>
    <row r="26" spans="1:31" ht="13">
      <c r="A26" s="56"/>
      <c r="B26" s="113" t="str">
        <f>'5-2 Prim metal'!B37</f>
        <v>5.3.7</v>
      </c>
      <c r="C26" s="281" t="str">
        <f>'5-2 Prim metal'!C37</f>
        <v>Aliminium extraction and initial processing</v>
      </c>
      <c r="D26" s="77">
        <f>'5-2 Prim metal'!D37</f>
        <v>0</v>
      </c>
      <c r="E26" s="85">
        <f>'5-2 Prim metal'!V37</f>
        <v>0</v>
      </c>
      <c r="F26" s="85">
        <f>'5-2 Prim metal'!W37</f>
        <v>0</v>
      </c>
      <c r="G26" s="85">
        <f>'5-2 Prim metal'!X37</f>
        <v>0</v>
      </c>
      <c r="H26" s="85">
        <f>'5-2 Prim metal'!Y37</f>
        <v>0</v>
      </c>
      <c r="I26" s="85">
        <f>'5-2 Prim metal'!Z37</f>
        <v>0</v>
      </c>
      <c r="J26" s="85">
        <f>'5-2 Prim metal'!AA37</f>
        <v>0</v>
      </c>
      <c r="K26" s="219"/>
    </row>
    <row r="27" spans="1:31" ht="13">
      <c r="A27" s="56"/>
      <c r="B27" s="113" t="str">
        <f>'5-2 Prim metal'!B41</f>
        <v>5.3.8</v>
      </c>
      <c r="C27" s="281" t="str">
        <f>'5-2 Prim metal'!C41</f>
        <v>Other non-ferrous metals - extraction and processing</v>
      </c>
      <c r="D27" s="77">
        <f>'5-2 Prim metal'!D41</f>
        <v>0</v>
      </c>
      <c r="E27" s="85">
        <f>'5-2 Prim metal'!V41</f>
        <v>0</v>
      </c>
      <c r="F27" s="85">
        <f>'5-2 Prim metal'!W41</f>
        <v>0</v>
      </c>
      <c r="G27" s="85">
        <f>'5-2 Prim metal'!X41</f>
        <v>0</v>
      </c>
      <c r="H27" s="85">
        <f>'5-2 Prim metal'!Y41</f>
        <v>0</v>
      </c>
      <c r="I27" s="85">
        <f>'5-2 Prim metal'!Z41</f>
        <v>0</v>
      </c>
      <c r="J27" s="85">
        <f>'5-2 Prim metal'!AA41</f>
        <v>0</v>
      </c>
      <c r="K27" s="219"/>
    </row>
    <row r="28" spans="1:31" ht="13">
      <c r="A28" s="56"/>
      <c r="B28" s="113" t="str">
        <f>'5-2 Prim metal'!B43</f>
        <v>5.3.9</v>
      </c>
      <c r="C28" s="281" t="str">
        <f>'5-2 Prim metal'!C43</f>
        <v>Primary ferrous metal production</v>
      </c>
      <c r="D28" s="77">
        <f>'5-2 Prim metal'!D43</f>
        <v>0</v>
      </c>
      <c r="E28" s="85">
        <f>'5-2 Prim metal'!V43</f>
        <v>0</v>
      </c>
      <c r="F28" s="85">
        <f>'5-2 Prim metal'!W43</f>
        <v>0</v>
      </c>
      <c r="G28" s="85">
        <f>'5-2 Prim metal'!X43</f>
        <v>0</v>
      </c>
      <c r="H28" s="85">
        <f>'5-2 Prim metal'!Y43</f>
        <v>0</v>
      </c>
      <c r="I28" s="85">
        <f>'5-2 Prim metal'!Z43</f>
        <v>0</v>
      </c>
      <c r="J28" s="85">
        <f>'5-2 Prim metal'!AA43</f>
        <v>0</v>
      </c>
      <c r="K28" s="219"/>
    </row>
    <row r="29" spans="1:31" ht="26">
      <c r="A29" s="56" t="str">
        <f>'5-3 Other min + mat'!A5</f>
        <v>5.3</v>
      </c>
      <c r="B29" s="56"/>
      <c r="C29" s="57" t="str">
        <f>'5-3 Other min + mat'!C5</f>
        <v>Source category: Production of other minerals and materials with mercury impurities</v>
      </c>
      <c r="D29" s="77"/>
      <c r="E29" s="85"/>
      <c r="F29" s="85"/>
      <c r="G29" s="85"/>
      <c r="H29" s="85"/>
      <c r="I29" s="85"/>
      <c r="J29" s="85"/>
      <c r="K29" s="218"/>
    </row>
    <row r="30" spans="1:31" ht="13">
      <c r="A30" s="56"/>
      <c r="B30" s="113" t="str">
        <f>'5-3 Other min + mat'!B6</f>
        <v>5.3.1</v>
      </c>
      <c r="C30" s="281" t="str">
        <f>'5-3 Other min + mat'!C6</f>
        <v>Cement production</v>
      </c>
      <c r="D30" s="77">
        <f>'5-3 Other min + mat'!D6</f>
        <v>0</v>
      </c>
      <c r="E30" s="85">
        <f>'5-3 Other min + mat'!V6</f>
        <v>0</v>
      </c>
      <c r="F30" s="85">
        <f>'5-3 Other min + mat'!W6</f>
        <v>0</v>
      </c>
      <c r="G30" s="85">
        <f>'5-3 Other min + mat'!X6</f>
        <v>0</v>
      </c>
      <c r="H30" s="85">
        <f>'5-3 Other min + mat'!Y6</f>
        <v>0</v>
      </c>
      <c r="I30" s="85">
        <f>'5-3 Other min + mat'!Z6</f>
        <v>0</v>
      </c>
      <c r="J30" s="85">
        <f>'5-3 Other min + mat'!AA6</f>
        <v>0</v>
      </c>
      <c r="K30" s="218"/>
    </row>
    <row r="31" spans="1:31" ht="13">
      <c r="A31" s="56"/>
      <c r="B31" s="113" t="str">
        <f>'5-3 Other min + mat'!B31</f>
        <v>5.3.2</v>
      </c>
      <c r="C31" s="281" t="str">
        <f>'5-3 Other min + mat'!C31</f>
        <v>Pulp and paper production</v>
      </c>
      <c r="D31" s="77">
        <f>'5-3 Other min + mat'!D31</f>
        <v>0</v>
      </c>
      <c r="E31" s="85">
        <f>'5-3 Other min + mat'!V31</f>
        <v>0</v>
      </c>
      <c r="F31" s="85">
        <f>'5-3 Other min + mat'!W31</f>
        <v>0</v>
      </c>
      <c r="G31" s="85">
        <f>'5-3 Other min + mat'!X31</f>
        <v>0</v>
      </c>
      <c r="H31" s="85">
        <f>'5-3 Other min + mat'!Y31</f>
        <v>0</v>
      </c>
      <c r="I31" s="85">
        <f>'5-3 Other min + mat'!Z31</f>
        <v>0</v>
      </c>
      <c r="J31" s="85">
        <f>'5-3 Other min + mat'!AA31</f>
        <v>0</v>
      </c>
      <c r="K31" s="218"/>
    </row>
    <row r="32" spans="1:31" ht="13">
      <c r="A32" s="56"/>
      <c r="B32" s="113" t="str">
        <f>'5-3 Other min + mat'!B34</f>
        <v>5.3.3</v>
      </c>
      <c r="C32" s="281" t="str">
        <f>'5-3 Other min + mat'!C34</f>
        <v>Production of lime and light weight aggregates</v>
      </c>
      <c r="D32" s="77">
        <f>'5-3 Other min + mat'!D34</f>
        <v>0</v>
      </c>
      <c r="E32" s="85">
        <f>'5-3 Other min + mat'!V34</f>
        <v>0</v>
      </c>
      <c r="F32" s="85">
        <f>'5-3 Other min + mat'!W34</f>
        <v>0</v>
      </c>
      <c r="G32" s="85">
        <f>'5-3 Other min + mat'!X34</f>
        <v>0</v>
      </c>
      <c r="H32" s="85">
        <f>'5-3 Other min + mat'!Y34</f>
        <v>0</v>
      </c>
      <c r="I32" s="85">
        <f>'5-3 Other min + mat'!Z34</f>
        <v>0</v>
      </c>
      <c r="J32" s="85">
        <f>'5-3 Other min + mat'!AA34</f>
        <v>0</v>
      </c>
      <c r="K32" s="218"/>
    </row>
    <row r="33" spans="1:11" ht="26">
      <c r="A33" s="56" t="str">
        <f>'5-4 Int Hg in Industry'!A5</f>
        <v>5.4</v>
      </c>
      <c r="B33" s="56"/>
      <c r="C33" s="57" t="str">
        <f>'5-4 Int Hg in Industry'!C5</f>
        <v>Source category: Intentional use of mercury in industrial processes</v>
      </c>
      <c r="D33" s="77"/>
      <c r="E33" s="85"/>
      <c r="F33" s="85"/>
      <c r="G33" s="85"/>
      <c r="H33" s="85"/>
      <c r="I33" s="85"/>
      <c r="J33" s="85"/>
      <c r="K33" s="218"/>
    </row>
    <row r="34" spans="1:11" ht="13">
      <c r="A34" s="56"/>
      <c r="B34" s="113" t="str">
        <f>'5-4 Int Hg in Industry'!B6</f>
        <v>5.4.1</v>
      </c>
      <c r="C34" s="281" t="str">
        <f>'5-4 Int Hg in Industry'!C6</f>
        <v>Chlor-alkali production with mercury-technology</v>
      </c>
      <c r="D34" s="77">
        <f>'5-4 Int Hg in Industry'!D6</f>
        <v>0</v>
      </c>
      <c r="E34" s="85">
        <f>'5-4 Int Hg in Industry'!V6</f>
        <v>0</v>
      </c>
      <c r="F34" s="85">
        <f>'5-4 Int Hg in Industry'!W6</f>
        <v>0</v>
      </c>
      <c r="G34" s="85">
        <f>'5-4 Int Hg in Industry'!X6</f>
        <v>0</v>
      </c>
      <c r="H34" s="85">
        <f>'5-4 Int Hg in Industry'!Y6</f>
        <v>0</v>
      </c>
      <c r="I34" s="85">
        <f>'5-4 Int Hg in Industry'!Z6</f>
        <v>0</v>
      </c>
      <c r="J34" s="85">
        <f>'5-4 Int Hg in Industry'!AA6</f>
        <v>0</v>
      </c>
      <c r="K34" s="218"/>
    </row>
    <row r="35" spans="1:11" ht="13">
      <c r="A35" s="56"/>
      <c r="B35" s="113" t="str">
        <f>'5-4 Int Hg in Industry'!B10</f>
        <v>5.4.2</v>
      </c>
      <c r="C35" s="281" t="str">
        <f>'5-4 Int Hg in Industry'!C10</f>
        <v>VCM production with mercury catalyst</v>
      </c>
      <c r="D35" s="77">
        <f>'5-4 Int Hg in Industry'!D10</f>
        <v>0</v>
      </c>
      <c r="E35" s="85">
        <f>'5-4 Int Hg in Industry'!V10</f>
        <v>0</v>
      </c>
      <c r="F35" s="85">
        <f>'5-4 Int Hg in Industry'!W10</f>
        <v>0</v>
      </c>
      <c r="G35" s="85">
        <f>'5-4 Int Hg in Industry'!X10</f>
        <v>0</v>
      </c>
      <c r="H35" s="85">
        <f>'5-4 Int Hg in Industry'!Y10</f>
        <v>0</v>
      </c>
      <c r="I35" s="85">
        <f>'5-4 Int Hg in Industry'!Z10</f>
        <v>0</v>
      </c>
      <c r="J35" s="85">
        <f>'5-4 Int Hg in Industry'!AA10</f>
        <v>0</v>
      </c>
      <c r="K35" s="218"/>
    </row>
    <row r="36" spans="1:11" ht="13">
      <c r="A36" s="56"/>
      <c r="B36" s="113" t="str">
        <f>'5-4 Int Hg in Industry'!B12</f>
        <v>5.4.3</v>
      </c>
      <c r="C36" s="281" t="str">
        <f>'5-4 Int Hg in Industry'!C12</f>
        <v>Acetaldehyde production with mercury catalyst</v>
      </c>
      <c r="D36" s="77">
        <f>'5-4 Int Hg in Industry'!D12</f>
        <v>0</v>
      </c>
      <c r="E36" s="85">
        <f>'5-4 Int Hg in Industry'!V12</f>
        <v>0</v>
      </c>
      <c r="F36" s="85">
        <f>'5-4 Int Hg in Industry'!W12</f>
        <v>0</v>
      </c>
      <c r="G36" s="85">
        <f>'5-4 Int Hg in Industry'!X12</f>
        <v>0</v>
      </c>
      <c r="H36" s="85">
        <f>'5-4 Int Hg in Industry'!Y12</f>
        <v>0</v>
      </c>
      <c r="I36" s="85">
        <f>'5-4 Int Hg in Industry'!Z12</f>
        <v>0</v>
      </c>
      <c r="J36" s="85">
        <f>'5-4 Int Hg in Industry'!AA12</f>
        <v>0</v>
      </c>
      <c r="K36" s="218"/>
    </row>
    <row r="37" spans="1:11" ht="13">
      <c r="A37" s="56"/>
      <c r="B37" s="113" t="str">
        <f>'5-4 Int Hg in Industry'!B14</f>
        <v>5.4.4</v>
      </c>
      <c r="C37" s="281" t="str">
        <f>'5-4 Int Hg in Industry'!C14</f>
        <v>Other production of chemicals and polymers with mercury</v>
      </c>
      <c r="D37" s="77">
        <f>'5-4 Int Hg in Industry'!D14</f>
        <v>0</v>
      </c>
      <c r="E37" s="85" t="e">
        <f>'5-4 Int Hg in Industry'!V14</f>
        <v>#VALUE!</v>
      </c>
      <c r="F37" s="85" t="e">
        <f>'5-4 Int Hg in Industry'!W14</f>
        <v>#VALUE!</v>
      </c>
      <c r="G37" s="85" t="e">
        <f>'5-4 Int Hg in Industry'!X14</f>
        <v>#VALUE!</v>
      </c>
      <c r="H37" s="85" t="e">
        <f>'5-4 Int Hg in Industry'!Y14</f>
        <v>#VALUE!</v>
      </c>
      <c r="I37" s="85" t="e">
        <f>'5-4 Int Hg in Industry'!Z14</f>
        <v>#VALUE!</v>
      </c>
      <c r="J37" s="85" t="e">
        <f>'5-4 Int Hg in Industry'!AA14</f>
        <v>#VALUE!</v>
      </c>
      <c r="K37" s="218"/>
    </row>
    <row r="38" spans="1:11" ht="26">
      <c r="A38" s="57" t="str">
        <f>'5-5 Cons prod'!A5</f>
        <v>5.5</v>
      </c>
      <c r="B38" s="57"/>
      <c r="C38" s="57" t="str">
        <f>'5-5 Cons prod'!C5</f>
        <v>Source category: Consumer products with intentional use of mercury</v>
      </c>
      <c r="D38" s="77"/>
      <c r="E38" s="85"/>
      <c r="F38" s="85"/>
      <c r="G38" s="85"/>
      <c r="H38" s="86"/>
      <c r="I38" s="85"/>
      <c r="J38" s="85"/>
      <c r="K38" s="218"/>
    </row>
    <row r="39" spans="1:11" ht="13">
      <c r="A39" s="57"/>
      <c r="B39" s="281" t="str">
        <f>'5-5 Cons prod'!B6</f>
        <v>5.5.1</v>
      </c>
      <c r="C39" s="281" t="str">
        <f>'5-5 Cons prod'!C6</f>
        <v>Thermometers with mercury</v>
      </c>
      <c r="D39" s="77">
        <f>'5-5 Cons prod'!D6</f>
        <v>0</v>
      </c>
      <c r="E39" s="85">
        <f>'5-5 Cons prod'!V6</f>
        <v>0</v>
      </c>
      <c r="F39" s="85">
        <f>'5-5 Cons prod'!W6</f>
        <v>0</v>
      </c>
      <c r="G39" s="85">
        <f>'5-5 Cons prod'!X6</f>
        <v>0</v>
      </c>
      <c r="H39" s="86" t="s">
        <v>273</v>
      </c>
      <c r="I39" s="85">
        <f>'5-5 Cons prod'!Z6</f>
        <v>0</v>
      </c>
      <c r="J39" s="85">
        <f>'5-5 Cons prod'!AA6</f>
        <v>0</v>
      </c>
      <c r="K39" s="218"/>
    </row>
    <row r="40" spans="1:11" ht="13">
      <c r="A40" s="57"/>
      <c r="B40" s="281" t="str">
        <f>'5-5 Cons prod'!B18</f>
        <v>5.5.2</v>
      </c>
      <c r="C40" s="281" t="str">
        <f>'5-5 Cons prod'!C18</f>
        <v>Electrical switches and relays with mercury</v>
      </c>
      <c r="D40" s="77">
        <f>'5-5 Cons prod'!D18</f>
        <v>0</v>
      </c>
      <c r="E40" s="85">
        <f>'5-5 Cons prod'!V18</f>
        <v>0</v>
      </c>
      <c r="F40" s="85">
        <f>'5-5 Cons prod'!W18</f>
        <v>0</v>
      </c>
      <c r="G40" s="85">
        <f>'5-5 Cons prod'!X18</f>
        <v>0</v>
      </c>
      <c r="H40" s="86" t="s">
        <v>273</v>
      </c>
      <c r="I40" s="85">
        <f>'5-5 Cons prod'!Z18</f>
        <v>0</v>
      </c>
      <c r="J40" s="85">
        <f>'5-5 Cons prod'!AA18</f>
        <v>0</v>
      </c>
      <c r="K40" s="218"/>
    </row>
    <row r="41" spans="1:11" ht="13">
      <c r="A41" s="57"/>
      <c r="B41" s="281" t="str">
        <f>'5-5 Cons prod'!B25</f>
        <v>5.5.3</v>
      </c>
      <c r="C41" s="281" t="str">
        <f>'5-5 Cons prod'!C25</f>
        <v>Light sources with mercury</v>
      </c>
      <c r="D41" s="77">
        <f>'5-5 Cons prod'!D25</f>
        <v>0</v>
      </c>
      <c r="E41" s="85">
        <f>'5-5 Cons prod'!V25</f>
        <v>0</v>
      </c>
      <c r="F41" s="85">
        <f>'5-5 Cons prod'!W25</f>
        <v>0</v>
      </c>
      <c r="G41" s="85">
        <f>'5-5 Cons prod'!X25</f>
        <v>0</v>
      </c>
      <c r="H41" s="86" t="s">
        <v>273</v>
      </c>
      <c r="I41" s="85">
        <f>'5-5 Cons prod'!Z25</f>
        <v>0</v>
      </c>
      <c r="J41" s="85">
        <f>'5-5 Cons prod'!AA25</f>
        <v>0</v>
      </c>
      <c r="K41" s="218"/>
    </row>
    <row r="42" spans="1:11" ht="13">
      <c r="A42" s="57"/>
      <c r="B42" s="281" t="str">
        <f>'5-5 Cons prod'!B35</f>
        <v>5.5.4</v>
      </c>
      <c r="C42" s="281" t="str">
        <f>'5-5 Cons prod'!C35</f>
        <v>Batteries with mercury</v>
      </c>
      <c r="D42" s="77">
        <f>'5-5 Cons prod'!D35</f>
        <v>0</v>
      </c>
      <c r="E42" s="85">
        <f>'5-5 Cons prod'!V35</f>
        <v>0</v>
      </c>
      <c r="F42" s="85">
        <f>'5-5 Cons prod'!W35</f>
        <v>0</v>
      </c>
      <c r="G42" s="85">
        <f>'5-5 Cons prod'!X35</f>
        <v>0</v>
      </c>
      <c r="H42" s="86" t="s">
        <v>273</v>
      </c>
      <c r="I42" s="85">
        <f>'5-5 Cons prod'!Z35</f>
        <v>0</v>
      </c>
      <c r="J42" s="85">
        <f>'5-5 Cons prod'!AA35</f>
        <v>0</v>
      </c>
      <c r="K42" s="218"/>
    </row>
    <row r="43" spans="1:11" ht="13">
      <c r="A43" s="57"/>
      <c r="B43" s="281" t="str">
        <f>'5-5 Cons prod'!B55</f>
        <v>5.5.6</v>
      </c>
      <c r="C43" s="281" t="str">
        <f>'5-5 Cons prod'!C55</f>
        <v>Biocides and pesticides with mercury</v>
      </c>
      <c r="D43" s="77">
        <f>'5-5 Cons prod'!D55</f>
        <v>0</v>
      </c>
      <c r="E43" s="85">
        <f>'5-5 Cons prod'!V55</f>
        <v>0</v>
      </c>
      <c r="F43" s="85">
        <f>'5-5 Cons prod'!W55</f>
        <v>0</v>
      </c>
      <c r="G43" s="85">
        <f>'5-5 Cons prod'!X55</f>
        <v>0</v>
      </c>
      <c r="H43" s="86" t="s">
        <v>273</v>
      </c>
      <c r="I43" s="85">
        <f>'5-5 Cons prod'!Z55</f>
        <v>0</v>
      </c>
      <c r="J43" s="85">
        <f>'5-5 Cons prod'!AA55</f>
        <v>0</v>
      </c>
      <c r="K43" s="218"/>
    </row>
    <row r="44" spans="1:11" ht="13">
      <c r="A44" s="57"/>
      <c r="B44" s="281" t="str">
        <f>'5-5 Cons prod'!B59</f>
        <v>5.5.7</v>
      </c>
      <c r="C44" s="281" t="str">
        <f>'5-5 Cons prod'!C59</f>
        <v>Paints with mercury</v>
      </c>
      <c r="D44" s="77">
        <f>'5-5 Cons prod'!D59</f>
        <v>0</v>
      </c>
      <c r="E44" s="85">
        <f>'5-5 Cons prod'!V59</f>
        <v>0</v>
      </c>
      <c r="F44" s="85">
        <f>'5-5 Cons prod'!W59</f>
        <v>0</v>
      </c>
      <c r="G44" s="85">
        <f>'5-5 Cons prod'!X59</f>
        <v>0</v>
      </c>
      <c r="H44" s="86" t="s">
        <v>273</v>
      </c>
      <c r="I44" s="85">
        <f>'5-5 Cons prod'!Z59</f>
        <v>0</v>
      </c>
      <c r="J44" s="85">
        <f>'5-5 Cons prod'!AA59</f>
        <v>0</v>
      </c>
      <c r="K44" s="218"/>
    </row>
    <row r="45" spans="1:11" ht="13">
      <c r="A45" s="57"/>
      <c r="B45" s="281" t="str">
        <f>'5-5 Cons prod'!B63</f>
        <v>5.5.8</v>
      </c>
      <c r="C45" s="281" t="str">
        <f>'5-5 Cons prod'!C63</f>
        <v>Cosmetics and related products with mercury</v>
      </c>
      <c r="D45" s="77">
        <f>'5-5 Cons prod'!D63</f>
        <v>0</v>
      </c>
      <c r="E45" s="85">
        <f>'5-5 Cons prod'!V63</f>
        <v>0</v>
      </c>
      <c r="F45" s="85">
        <f>'5-5 Cons prod'!W63</f>
        <v>0</v>
      </c>
      <c r="G45" s="85">
        <f>'5-5 Cons prod'!X63</f>
        <v>0</v>
      </c>
      <c r="H45" s="86" t="s">
        <v>273</v>
      </c>
      <c r="I45" s="85">
        <f>'5-5 Cons prod'!Z63</f>
        <v>0</v>
      </c>
      <c r="J45" s="85">
        <f>'5-5 Cons prod'!AA63</f>
        <v>0</v>
      </c>
      <c r="K45" s="218"/>
    </row>
    <row r="46" spans="1:11" ht="13">
      <c r="A46" s="57" t="str">
        <f>'5-6 Other int use'!A5</f>
        <v>5.6</v>
      </c>
      <c r="B46" s="57"/>
      <c r="C46" s="57" t="str">
        <f>'5-6 Other int use'!C5</f>
        <v>Source category: Other intentional product/process use</v>
      </c>
      <c r="D46" s="77"/>
      <c r="E46" s="85"/>
      <c r="F46" s="85"/>
      <c r="G46" s="85"/>
      <c r="H46" s="85"/>
      <c r="I46" s="85"/>
      <c r="J46" s="85"/>
      <c r="K46" s="218"/>
    </row>
    <row r="47" spans="1:11" ht="13">
      <c r="A47" s="57"/>
      <c r="B47" s="281" t="str">
        <f>'5-6 Other int use'!B6</f>
        <v>5.6.1</v>
      </c>
      <c r="C47" s="281" t="str">
        <f>'5-6 Other int use'!C6</f>
        <v>Dental mercury-amalgam fillings (b</v>
      </c>
      <c r="D47" s="77">
        <f>'5-6 Other int use'!D6</f>
        <v>0</v>
      </c>
      <c r="E47" s="85">
        <f>'5-6 Other int use'!V6</f>
        <v>0</v>
      </c>
      <c r="F47" s="85">
        <f>'5-6 Other int use'!W6</f>
        <v>0</v>
      </c>
      <c r="G47" s="85">
        <f>'5-6 Other int use'!X6</f>
        <v>0</v>
      </c>
      <c r="H47" s="85">
        <f>'5-6 Other int use'!Y6</f>
        <v>0</v>
      </c>
      <c r="I47" s="85">
        <f>'5-6 Other int use'!Z6</f>
        <v>0</v>
      </c>
      <c r="J47" s="85">
        <f>'5-6 Other int use'!AA6</f>
        <v>0</v>
      </c>
      <c r="K47" s="218"/>
    </row>
    <row r="48" spans="1:11" ht="13">
      <c r="A48" s="57"/>
      <c r="B48" s="281" t="str">
        <f>'5-6 Other int use'!B13</f>
        <v>5.6.2</v>
      </c>
      <c r="C48" s="281" t="str">
        <f>'5-6 Other int use'!C13</f>
        <v>Manometers and gauges with mercury</v>
      </c>
      <c r="D48" s="77">
        <f>'5-6 Other int use'!D13</f>
        <v>0</v>
      </c>
      <c r="E48" s="85">
        <f>'5-6 Other int use'!V13</f>
        <v>0</v>
      </c>
      <c r="F48" s="85">
        <f>'5-6 Other int use'!W13</f>
        <v>0</v>
      </c>
      <c r="G48" s="85">
        <f>'5-6 Other int use'!X13</f>
        <v>0</v>
      </c>
      <c r="H48" s="85">
        <f>'5-6 Other int use'!Y13</f>
        <v>0</v>
      </c>
      <c r="I48" s="85">
        <f>'5-6 Other int use'!Z13</f>
        <v>0</v>
      </c>
      <c r="J48" s="85">
        <f>'5-6 Other int use'!AA13</f>
        <v>0</v>
      </c>
      <c r="K48" s="218"/>
    </row>
    <row r="49" spans="1:11" ht="13">
      <c r="A49" s="57"/>
      <c r="B49" s="281" t="str">
        <f>'5-6 Other int use'!B35</f>
        <v>5.6.3</v>
      </c>
      <c r="C49" s="281" t="str">
        <f>'5-6 Other int use'!C35</f>
        <v>Laboratory chemicals and equipment with mercury</v>
      </c>
      <c r="D49" s="77">
        <f>'5-6 Other int use'!D35</f>
        <v>0</v>
      </c>
      <c r="E49" s="85">
        <f>'5-6 Other int use'!V35</f>
        <v>0</v>
      </c>
      <c r="F49" s="85">
        <f>'5-6 Other int use'!W35</f>
        <v>0</v>
      </c>
      <c r="G49" s="85">
        <f>'5-6 Other int use'!X35</f>
        <v>0</v>
      </c>
      <c r="H49" s="85">
        <f>'5-6 Other int use'!Y35</f>
        <v>0</v>
      </c>
      <c r="I49" s="85">
        <f>'5-6 Other int use'!Z35</f>
        <v>0</v>
      </c>
      <c r="J49" s="85">
        <f>'5-6 Other int use'!AA35</f>
        <v>0</v>
      </c>
      <c r="K49" s="218"/>
    </row>
    <row r="50" spans="1:11" ht="13">
      <c r="A50" s="57"/>
      <c r="B50" s="281" t="str">
        <f>'5-6 Other int use'!B51</f>
        <v>5.6.4</v>
      </c>
      <c r="C50" s="281" t="str">
        <f>'5-6 Other int use'!C51</f>
        <v>Mercury metal use in religious rituals and folklore medicine</v>
      </c>
      <c r="D50" s="77">
        <f>'5-6 Other int use'!D51</f>
        <v>0</v>
      </c>
      <c r="E50" s="85">
        <f>'5-6 Other int use'!V51</f>
        <v>0</v>
      </c>
      <c r="F50" s="85">
        <f>'5-6 Other int use'!W51</f>
        <v>0</v>
      </c>
      <c r="G50" s="85">
        <f>'5-6 Other int use'!X51</f>
        <v>0</v>
      </c>
      <c r="H50" s="85">
        <f>'5-6 Other int use'!Y51</f>
        <v>0</v>
      </c>
      <c r="I50" s="85">
        <f>'5-6 Other int use'!Z51</f>
        <v>0</v>
      </c>
      <c r="J50" s="85">
        <f>'5-6 Other int use'!AA51</f>
        <v>0</v>
      </c>
      <c r="K50" s="218"/>
    </row>
    <row r="51" spans="1:11" ht="13">
      <c r="A51" s="57"/>
      <c r="B51" s="281" t="str">
        <f>'5-6 Other int use'!B53</f>
        <v>5.6.5</v>
      </c>
      <c r="C51" s="281" t="str">
        <f>'5-6 Other int use'!C53</f>
        <v>Miscellaneous product uses, mercury metal uses, and other sources</v>
      </c>
      <c r="D51" s="77">
        <f>'5-6 Other int use'!D53</f>
        <v>0</v>
      </c>
      <c r="E51" s="85">
        <f>'5-6 Other int use'!V53</f>
        <v>0</v>
      </c>
      <c r="F51" s="85">
        <f>'5-6 Other int use'!W53</f>
        <v>0</v>
      </c>
      <c r="G51" s="85">
        <f>'5-6 Other int use'!X53</f>
        <v>0</v>
      </c>
      <c r="H51" s="85">
        <f>'5-6 Other int use'!Y53</f>
        <v>0</v>
      </c>
      <c r="I51" s="85">
        <f>'5-6 Other int use'!Z53</f>
        <v>0</v>
      </c>
      <c r="J51" s="85">
        <f>'5-6 Other int use'!AA53</f>
        <v>0</v>
      </c>
      <c r="K51" s="218"/>
    </row>
    <row r="52" spans="1:11" ht="26">
      <c r="A52" s="56" t="str">
        <f>'5-7 Recycl metals'!A5</f>
        <v>5.7</v>
      </c>
      <c r="B52" s="56"/>
      <c r="C52" s="57" t="str">
        <f>'5-7 Recycl metals'!C5</f>
        <v>Source category: Production of recycled metals ("secondary" metal production)</v>
      </c>
      <c r="D52" s="77"/>
      <c r="E52" s="85"/>
      <c r="F52" s="85"/>
      <c r="G52" s="85"/>
      <c r="H52" s="85"/>
      <c r="I52" s="85"/>
      <c r="J52" s="85"/>
      <c r="K52" s="218"/>
    </row>
    <row r="53" spans="1:11" ht="13">
      <c r="A53" s="56"/>
      <c r="B53" s="113" t="str">
        <f>'5-7 Recycl metals'!B6</f>
        <v>5.7.1</v>
      </c>
      <c r="C53" s="281" t="str">
        <f>'5-7 Recycl metals'!C6</f>
        <v>Production of recycled mercury ("secondary production”)</v>
      </c>
      <c r="D53" s="77">
        <f>'5-7 Recycl metals'!D6</f>
        <v>0</v>
      </c>
      <c r="E53" s="85">
        <f>'5-7 Recycl metals'!V6</f>
        <v>0</v>
      </c>
      <c r="F53" s="85">
        <f>'5-7 Recycl metals'!W6</f>
        <v>0</v>
      </c>
      <c r="G53" s="85">
        <f>'5-7 Recycl metals'!X6</f>
        <v>0</v>
      </c>
      <c r="H53" s="85" t="str">
        <f>'5-7 Recycl metals'!Y6</f>
        <v>-</v>
      </c>
      <c r="I53" s="85">
        <f>'5-7 Recycl metals'!Z6</f>
        <v>0</v>
      </c>
      <c r="J53" s="85">
        <f>'5-7 Recycl metals'!AA6</f>
        <v>0</v>
      </c>
      <c r="K53" s="218"/>
    </row>
    <row r="54" spans="1:11" ht="13">
      <c r="A54" s="56"/>
      <c r="B54" s="113" t="str">
        <f>'5-7 Recycl metals'!B8</f>
        <v>5.4.2</v>
      </c>
      <c r="C54" s="281" t="str">
        <f>'5-7 Recycl metals'!C8</f>
        <v>Production of recycled ferrous metals (iron and steel)</v>
      </c>
      <c r="D54" s="77">
        <f>'5-7 Recycl metals'!D8</f>
        <v>0</v>
      </c>
      <c r="E54" s="85">
        <f>'5-7 Recycl metals'!V8</f>
        <v>0</v>
      </c>
      <c r="F54" s="85">
        <f>'5-7 Recycl metals'!W8</f>
        <v>0</v>
      </c>
      <c r="G54" s="85">
        <f>'5-7 Recycl metals'!X8</f>
        <v>0</v>
      </c>
      <c r="H54" s="85">
        <f>'5-7 Recycl metals'!Y8</f>
        <v>0</v>
      </c>
      <c r="I54" s="85">
        <f>'5-7 Recycl metals'!Z8</f>
        <v>0</v>
      </c>
      <c r="J54" s="85">
        <f>'5-7 Recycl metals'!AA8</f>
        <v>0</v>
      </c>
      <c r="K54" s="218"/>
    </row>
    <row r="55" spans="1:11" ht="13">
      <c r="A55" s="56"/>
      <c r="B55" s="113" t="str">
        <f>'5-7 Recycl metals'!B10</f>
        <v>5.4.2</v>
      </c>
      <c r="C55" s="281" t="str">
        <f>'5-7 Recycl metals'!C10</f>
        <v>Production of other recycled metals</v>
      </c>
      <c r="D55" s="77">
        <f>'5-7 Recycl metals'!D10</f>
        <v>0</v>
      </c>
      <c r="E55" s="85">
        <f>'5-7 Recycl metals'!V10</f>
        <v>0</v>
      </c>
      <c r="F55" s="85">
        <f>'5-7 Recycl metals'!W10</f>
        <v>0</v>
      </c>
      <c r="G55" s="85">
        <f>'5-7 Recycl metals'!X10</f>
        <v>0</v>
      </c>
      <c r="H55" s="85">
        <f>'5-7 Recycl metals'!Y10</f>
        <v>0</v>
      </c>
      <c r="I55" s="85">
        <f>'5-7 Recycl metals'!Z10</f>
        <v>0</v>
      </c>
      <c r="J55" s="85">
        <f>'5-7 Recycl metals'!AA10</f>
        <v>0</v>
      </c>
      <c r="K55" s="218"/>
    </row>
    <row r="56" spans="1:11" ht="13">
      <c r="A56" s="56" t="str">
        <f>'5-8 Waste incin'!A5</f>
        <v>5.8</v>
      </c>
      <c r="B56" s="56"/>
      <c r="C56" s="56" t="str">
        <f>'5-8 Waste incin'!C5</f>
        <v>Source category: Waste incineration</v>
      </c>
      <c r="D56" s="77"/>
      <c r="E56" s="85"/>
      <c r="F56" s="85"/>
      <c r="G56" s="85"/>
      <c r="H56" s="85"/>
      <c r="I56" s="85"/>
      <c r="J56" s="85"/>
      <c r="K56" s="218"/>
    </row>
    <row r="57" spans="1:11" ht="13">
      <c r="A57" s="56"/>
      <c r="B57" s="113" t="str">
        <f>'5-8 Waste incin'!B6</f>
        <v>5.8.1</v>
      </c>
      <c r="C57" s="113" t="str">
        <f>'5-8 Waste incin'!C6</f>
        <v>Incineration of municipal/general waste</v>
      </c>
      <c r="D57" s="77">
        <f>'5-8 Waste incin'!D6</f>
        <v>0</v>
      </c>
      <c r="E57" s="85">
        <f>'5-8 Waste incin'!V6</f>
        <v>0</v>
      </c>
      <c r="F57" s="85">
        <f>'5-8 Waste incin'!W6</f>
        <v>0</v>
      </c>
      <c r="G57" s="85">
        <f>'5-8 Waste incin'!X6</f>
        <v>0</v>
      </c>
      <c r="H57" s="85">
        <f>'5-8 Waste incin'!Y6</f>
        <v>0</v>
      </c>
      <c r="I57" s="85">
        <f>'5-8 Waste incin'!Z6</f>
        <v>0</v>
      </c>
      <c r="J57" s="85">
        <f>'5-8 Waste incin'!AA6</f>
        <v>0</v>
      </c>
      <c r="K57" s="218"/>
    </row>
    <row r="58" spans="1:11" ht="13">
      <c r="A58" s="56"/>
      <c r="B58" s="113" t="str">
        <f>'5-8 Waste incin'!B12</f>
        <v>5.8.2</v>
      </c>
      <c r="C58" s="113" t="str">
        <f>'5-8 Waste incin'!C12</f>
        <v>Incineration of hazardous waste</v>
      </c>
      <c r="D58" s="77">
        <f>'5-8 Waste incin'!D12</f>
        <v>0</v>
      </c>
      <c r="E58" s="85">
        <f>'5-8 Waste incin'!V12</f>
        <v>0</v>
      </c>
      <c r="F58" s="85">
        <f>'5-8 Waste incin'!W12</f>
        <v>0</v>
      </c>
      <c r="G58" s="85">
        <f>'5-8 Waste incin'!X12</f>
        <v>0</v>
      </c>
      <c r="H58" s="85">
        <f>'5-8 Waste incin'!Y12</f>
        <v>0</v>
      </c>
      <c r="I58" s="85">
        <f>'5-8 Waste incin'!Z12</f>
        <v>0</v>
      </c>
      <c r="J58" s="85">
        <f>'5-8 Waste incin'!AA12</f>
        <v>0</v>
      </c>
      <c r="K58" s="218"/>
    </row>
    <row r="59" spans="1:11" ht="13">
      <c r="A59" s="56"/>
      <c r="B59" s="113" t="str">
        <f>'5-8 Waste incin'!B18</f>
        <v>5.8.3</v>
      </c>
      <c r="C59" s="113" t="str">
        <f>'5-8 Waste incin'!C18</f>
        <v>Incineration of medical waste</v>
      </c>
      <c r="D59" s="77">
        <f>'5-8 Waste incin'!D18</f>
        <v>0</v>
      </c>
      <c r="E59" s="85">
        <f>'5-8 Waste incin'!V18</f>
        <v>0</v>
      </c>
      <c r="F59" s="85">
        <f>'5-8 Waste incin'!W18</f>
        <v>0</v>
      </c>
      <c r="G59" s="85">
        <f>'5-8 Waste incin'!X18</f>
        <v>0</v>
      </c>
      <c r="H59" s="85">
        <f>'5-8 Waste incin'!Y18</f>
        <v>0</v>
      </c>
      <c r="I59" s="85">
        <f>'5-8 Waste incin'!Z18</f>
        <v>0</v>
      </c>
      <c r="J59" s="85">
        <f>'5-8 Waste incin'!AA18</f>
        <v>0</v>
      </c>
      <c r="K59" s="218"/>
    </row>
    <row r="60" spans="1:11" ht="13">
      <c r="A60" s="56"/>
      <c r="B60" s="113" t="str">
        <f>'5-8 Waste incin'!B24</f>
        <v>5.8.4</v>
      </c>
      <c r="C60" s="113" t="str">
        <f>'5-8 Waste incin'!C24</f>
        <v>Sewage sludge incineration</v>
      </c>
      <c r="D60" s="77">
        <f>'5-8 Waste incin'!D24</f>
        <v>0</v>
      </c>
      <c r="E60" s="85">
        <f>'5-8 Waste incin'!V24</f>
        <v>0</v>
      </c>
      <c r="F60" s="85">
        <f>'5-8 Waste incin'!W24</f>
        <v>0</v>
      </c>
      <c r="G60" s="85">
        <f>'5-8 Waste incin'!X24</f>
        <v>0</v>
      </c>
      <c r="H60" s="85">
        <f>'5-8 Waste incin'!Y24</f>
        <v>0</v>
      </c>
      <c r="I60" s="85">
        <f>'5-8 Waste incin'!Z24</f>
        <v>0</v>
      </c>
      <c r="J60" s="85">
        <f>'5-8 Waste incin'!AA24</f>
        <v>0</v>
      </c>
      <c r="K60" s="218"/>
    </row>
    <row r="61" spans="1:11" ht="13">
      <c r="A61" s="56"/>
      <c r="B61" s="113" t="str">
        <f>'5-8 Waste incin'!B26</f>
        <v>5.8.5</v>
      </c>
      <c r="C61" s="113" t="str">
        <f>'5-8 Waste incin'!C26</f>
        <v>Informal waste burning (open fire waste burning on landfills and informally)</v>
      </c>
      <c r="D61" s="77">
        <f>'5-8 Waste incin'!D26</f>
        <v>0</v>
      </c>
      <c r="E61" s="85">
        <f>'5-8 Waste incin'!V26</f>
        <v>0</v>
      </c>
      <c r="F61" s="85">
        <f>'5-8 Waste incin'!W26</f>
        <v>0</v>
      </c>
      <c r="G61" s="85">
        <f>'5-8 Waste incin'!X26</f>
        <v>0</v>
      </c>
      <c r="H61" s="85">
        <f>'5-8 Waste incin'!Y26</f>
        <v>0</v>
      </c>
      <c r="I61" s="85">
        <f>'5-8 Waste incin'!Z26</f>
        <v>0</v>
      </c>
      <c r="J61" s="85">
        <f>'5-8 Waste incin'!AA26</f>
        <v>0</v>
      </c>
      <c r="K61" s="218"/>
    </row>
    <row r="62" spans="1:11" ht="26">
      <c r="A62" s="57" t="str">
        <f>'5-9 Waste depo and water treatm'!A5</f>
        <v>5.9</v>
      </c>
      <c r="B62" s="57"/>
      <c r="C62" s="57" t="str">
        <f>'5-9 Waste depo and water treatm'!C5</f>
        <v>Source category: Waste deposition/landfilling and waste water treatment</v>
      </c>
      <c r="D62" s="77"/>
      <c r="E62" s="85"/>
      <c r="F62" s="85"/>
      <c r="G62" s="85"/>
      <c r="H62" s="85"/>
      <c r="I62" s="85"/>
      <c r="J62" s="85"/>
      <c r="K62" s="218"/>
    </row>
    <row r="63" spans="1:11" ht="13">
      <c r="A63" s="57"/>
      <c r="B63" s="281" t="str">
        <f>'5-9 Waste depo and water treatm'!B6</f>
        <v>5.9.1</v>
      </c>
      <c r="C63" s="281" t="str">
        <f>'5-9 Waste depo and water treatm'!C6</f>
        <v>Controlled landfills/deposits (a</v>
      </c>
      <c r="D63" s="77">
        <f>'5-9 Waste depo and water treatm'!D6</f>
        <v>0</v>
      </c>
      <c r="E63" s="85">
        <f>'5-9 Waste depo and water treatm'!V6</f>
        <v>0</v>
      </c>
      <c r="F63" s="85">
        <f>'5-9 Waste depo and water treatm'!W6</f>
        <v>0</v>
      </c>
      <c r="G63" s="85">
        <f>'5-9 Waste depo and water treatm'!X6</f>
        <v>0</v>
      </c>
      <c r="H63" s="85" t="str">
        <f>'5-9 Waste depo and water treatm'!Y6</f>
        <v>-</v>
      </c>
      <c r="I63" s="85" t="str">
        <f>'5-9 Waste depo and water treatm'!Z6</f>
        <v>-</v>
      </c>
      <c r="J63" s="85" t="str">
        <f>'5-9 Waste depo and water treatm'!AA6</f>
        <v>-</v>
      </c>
      <c r="K63" s="218"/>
    </row>
    <row r="64" spans="1:11" ht="25.5">
      <c r="A64" s="57"/>
      <c r="B64" s="281" t="str">
        <f>'5-9 Waste depo and water treatm'!B8</f>
        <v>5.9.2</v>
      </c>
      <c r="C64" s="281" t="str">
        <f>'5-9 Waste depo and water treatm'!C8</f>
        <v>Diffuse disposal under some control</v>
      </c>
      <c r="D64" s="77" t="str">
        <f>'5-9 Waste depo and water treatm'!D8</f>
        <v>-</v>
      </c>
      <c r="E64" s="85" t="str">
        <f>'5-9 Waste depo and water treatm'!V8</f>
        <v>-</v>
      </c>
      <c r="F64" s="85" t="str">
        <f>'5-9 Waste depo and water treatm'!W8</f>
        <v>-</v>
      </c>
      <c r="G64" s="85" t="str">
        <f>'5-9 Waste depo and water treatm'!X8</f>
        <v>-</v>
      </c>
      <c r="H64" s="85" t="str">
        <f>'5-9 Waste depo and water treatm'!Y8</f>
        <v>-</v>
      </c>
      <c r="I64" s="85" t="str">
        <f>'5-9 Waste depo and water treatm'!Z8</f>
        <v>-</v>
      </c>
      <c r="J64" s="85" t="str">
        <f>'5-9 Waste depo and water treatm'!AA8</f>
        <v>-</v>
      </c>
      <c r="K64" s="218" t="str">
        <f>'5-9 Waste depo and water treatm'!C9</f>
        <v>This source category is expected covered under the original sources of the mercury containing material, under det output path "sector specific treatment/disposal accompanied by a descriptive note; e.g. solid residues from waste incineration or metal extraction.</v>
      </c>
    </row>
    <row r="65" spans="1:11" ht="13">
      <c r="A65" s="57"/>
      <c r="B65" s="281" t="str">
        <f>'5-9 Waste depo and water treatm'!B11</f>
        <v>5.9.3</v>
      </c>
      <c r="C65" s="281" t="str">
        <f>'5-9 Waste depo and water treatm'!C11</f>
        <v>Informal local disposal of industrial production waste</v>
      </c>
      <c r="D65" s="77">
        <f>'5-9 Waste depo and water treatm'!D11</f>
        <v>0</v>
      </c>
      <c r="E65" s="85" t="e">
        <f>'5-9 Waste depo and water treatm'!V11</f>
        <v>#VALUE!</v>
      </c>
      <c r="F65" s="85" t="e">
        <f>'5-9 Waste depo and water treatm'!W11</f>
        <v>#VALUE!</v>
      </c>
      <c r="G65" s="85" t="e">
        <f>'5-9 Waste depo and water treatm'!X11</f>
        <v>#VALUE!</v>
      </c>
      <c r="H65" s="85" t="str">
        <f>'5-9 Waste depo and water treatm'!Y11</f>
        <v>-</v>
      </c>
      <c r="I65" s="85" t="str">
        <f>'5-9 Waste depo and water treatm'!Z11</f>
        <v>-</v>
      </c>
      <c r="J65" s="85" t="str">
        <f>'5-9 Waste depo and water treatm'!AA11</f>
        <v>-</v>
      </c>
      <c r="K65" s="218"/>
    </row>
    <row r="66" spans="1:11" ht="13">
      <c r="A66" s="57"/>
      <c r="B66" s="281" t="str">
        <f>'5-9 Waste depo and water treatm'!B13</f>
        <v>5.9.4</v>
      </c>
      <c r="C66" s="281" t="str">
        <f>'5-9 Waste depo and water treatm'!C13</f>
        <v>Informal dumping of general waste (b</v>
      </c>
      <c r="D66" s="77">
        <f>'5-9 Waste depo and water treatm'!D13</f>
        <v>0</v>
      </c>
      <c r="E66" s="85">
        <f>'5-9 Waste depo and water treatm'!V13</f>
        <v>0</v>
      </c>
      <c r="F66" s="85">
        <f>'5-9 Waste depo and water treatm'!W13</f>
        <v>0</v>
      </c>
      <c r="G66" s="85">
        <f>'5-9 Waste depo and water treatm'!X13</f>
        <v>0</v>
      </c>
      <c r="H66" s="85" t="str">
        <f>'5-9 Waste depo and water treatm'!Y13</f>
        <v>-</v>
      </c>
      <c r="I66" s="85" t="str">
        <f>'5-9 Waste depo and water treatm'!Z13</f>
        <v>-</v>
      </c>
      <c r="J66" s="85" t="str">
        <f>'5-9 Waste depo and water treatm'!AA13</f>
        <v>-</v>
      </c>
      <c r="K66" s="218"/>
    </row>
    <row r="67" spans="1:11" ht="13">
      <c r="A67" s="57"/>
      <c r="B67" s="281" t="str">
        <f>'5-9 Waste depo and water treatm'!B15</f>
        <v>5.9.5</v>
      </c>
      <c r="C67" s="281" t="str">
        <f>'5-9 Waste depo and water treatm'!C15</f>
        <v>Waste water system/treatment</v>
      </c>
      <c r="D67" s="77">
        <f>'5-9 Waste depo and water treatm'!D15</f>
        <v>0</v>
      </c>
      <c r="E67" s="85">
        <f>'5-9 Waste depo and water treatm'!V15</f>
        <v>0</v>
      </c>
      <c r="F67" s="85">
        <f>'5-9 Waste depo and water treatm'!W15</f>
        <v>0</v>
      </c>
      <c r="G67" s="85">
        <f>'5-9 Waste depo and water treatm'!X15</f>
        <v>0</v>
      </c>
      <c r="H67" s="85">
        <f>'5-9 Waste depo and water treatm'!Y15</f>
        <v>0</v>
      </c>
      <c r="I67" s="85">
        <f>'5-9 Waste depo and water treatm'!Z15</f>
        <v>0</v>
      </c>
      <c r="J67" s="85">
        <f>'5-9 Waste depo and water treatm'!AA15</f>
        <v>0</v>
      </c>
      <c r="K67" s="218"/>
    </row>
    <row r="68" spans="1:11" ht="13">
      <c r="A68" s="56" t="str">
        <f>'5-10 Cremat and cem'!A5</f>
        <v>5.10</v>
      </c>
      <c r="B68" s="56"/>
      <c r="C68" s="56" t="str">
        <f>'5-10 Cremat and cem'!C5</f>
        <v>Source category: Crematoria and cemetaries</v>
      </c>
      <c r="D68" s="77"/>
      <c r="E68" s="85"/>
      <c r="F68" s="85"/>
      <c r="G68" s="85"/>
      <c r="H68" s="85"/>
      <c r="I68" s="85"/>
      <c r="J68" s="85"/>
      <c r="K68" s="218"/>
    </row>
    <row r="69" spans="1:11" ht="13">
      <c r="A69" s="56"/>
      <c r="B69" s="113" t="str">
        <f>'5-10 Cremat and cem'!B6</f>
        <v>5.10.1</v>
      </c>
      <c r="C69" s="113" t="str">
        <f>'5-10 Cremat and cem'!C6</f>
        <v>Crematoria</v>
      </c>
      <c r="D69" s="77">
        <f>'5-10 Cremat and cem'!D6</f>
        <v>0</v>
      </c>
      <c r="E69" s="85">
        <f>'5-10 Cremat and cem'!V6</f>
        <v>0</v>
      </c>
      <c r="F69" s="85">
        <f>'5-10 Cremat and cem'!W6</f>
        <v>0</v>
      </c>
      <c r="G69" s="85">
        <f>'5-10 Cremat and cem'!X6</f>
        <v>0</v>
      </c>
      <c r="H69" s="85" t="str">
        <f>'5-10 Cremat and cem'!Y6</f>
        <v>-</v>
      </c>
      <c r="I69" s="85">
        <f>'5-10 Cremat and cem'!Z6</f>
        <v>0</v>
      </c>
      <c r="J69" s="85">
        <f>'5-10 Cremat and cem'!AA6</f>
        <v>0</v>
      </c>
      <c r="K69" s="218"/>
    </row>
    <row r="70" spans="1:11" s="228" customFormat="1" ht="13.5" thickBot="1">
      <c r="A70" s="220"/>
      <c r="B70" s="282" t="str">
        <f>'5-10 Cremat and cem'!B8</f>
        <v>5.10.2</v>
      </c>
      <c r="C70" s="282" t="str">
        <f>'5-10 Cremat and cem'!C8</f>
        <v>Cemeteries</v>
      </c>
      <c r="D70" s="226">
        <f>'5-10 Cremat and cem'!D8</f>
        <v>0</v>
      </c>
      <c r="E70" s="226">
        <f>'5-10 Cremat and cem'!V8</f>
        <v>0</v>
      </c>
      <c r="F70" s="226">
        <f>'5-10 Cremat and cem'!W8</f>
        <v>0</v>
      </c>
      <c r="G70" s="226">
        <f>'5-10 Cremat and cem'!X8</f>
        <v>0</v>
      </c>
      <c r="H70" s="226" t="str">
        <f>'5-10 Cremat and cem'!Y8</f>
        <v>-</v>
      </c>
      <c r="I70" s="226">
        <f>'5-10 Cremat and cem'!Z8</f>
        <v>0</v>
      </c>
      <c r="J70" s="226">
        <f>'5-10 Cremat and cem'!AA8</f>
        <v>0</v>
      </c>
      <c r="K70" s="227"/>
    </row>
    <row r="71" spans="1:11" s="221" customFormat="1" ht="13.5" thickBot="1">
      <c r="A71" s="222" t="s">
        <v>31</v>
      </c>
      <c r="B71" s="223"/>
      <c r="C71" s="223"/>
      <c r="D71" s="229" t="s">
        <v>33</v>
      </c>
      <c r="E71" s="224" t="e">
        <f t="shared" ref="E71:J71" si="0">SUM(E11:E70)</f>
        <v>#VALUE!</v>
      </c>
      <c r="F71" s="224" t="e">
        <f t="shared" si="0"/>
        <v>#VALUE!</v>
      </c>
      <c r="G71" s="224" t="e">
        <f t="shared" si="0"/>
        <v>#VALUE!</v>
      </c>
      <c r="H71" s="224" t="e">
        <f t="shared" si="0"/>
        <v>#VALUE!</v>
      </c>
      <c r="I71" s="224" t="e">
        <f t="shared" si="0"/>
        <v>#VALUE!</v>
      </c>
      <c r="J71" s="224" t="e">
        <f t="shared" si="0"/>
        <v>#VALUE!</v>
      </c>
      <c r="K71" s="225"/>
    </row>
    <row r="73" spans="1:11">
      <c r="B73" t="s">
        <v>56</v>
      </c>
      <c r="C73" t="s">
        <v>32</v>
      </c>
    </row>
    <row r="74" spans="1:11">
      <c r="C74" s="230"/>
    </row>
  </sheetData>
  <sheetProtection password="83AF" sheet="1"/>
  <phoneticPr fontId="2" type="noConversion"/>
  <pageMargins left="0.39370078740157483" right="0.39370078740157483" top="0.74803149606299213" bottom="0.74803149606299213" header="0.31496062992125984" footer="0.31496062992125984"/>
  <pageSetup paperSize="9" orientation="landscape" r:id="rId1"/>
  <headerFooter>
    <oddFooter>&amp;L&amp;A
Printed &amp;D</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0">
    <pageSetUpPr fitToPage="1"/>
  </sheetPr>
  <dimension ref="A1:M86"/>
  <sheetViews>
    <sheetView topLeftCell="A27" zoomScaleNormal="100" workbookViewId="0">
      <selection activeCell="K74" sqref="K74"/>
    </sheetView>
  </sheetViews>
  <sheetFormatPr defaultColWidth="9.1796875" defaultRowHeight="12.5"/>
  <cols>
    <col min="1" max="1" width="46.81640625" style="339" customWidth="1"/>
    <col min="2" max="2" width="14.453125" style="360" customWidth="1"/>
    <col min="3" max="3" width="17.36328125" style="339" customWidth="1"/>
    <col min="4" max="4" width="33.453125" style="339" customWidth="1"/>
    <col min="5" max="5" width="12.453125" style="339" customWidth="1"/>
    <col min="6" max="6" width="12.81640625" style="339" customWidth="1"/>
    <col min="7" max="7" width="11.6328125" style="339" customWidth="1"/>
    <col min="8" max="10" width="12.453125" style="339" customWidth="1"/>
    <col min="11" max="11" width="16.1796875" style="339" customWidth="1"/>
    <col min="12" max="12" width="10.81640625" style="339" customWidth="1"/>
    <col min="13" max="16384" width="9.1796875" style="339"/>
  </cols>
  <sheetData>
    <row r="1" spans="1:12" ht="13">
      <c r="A1" s="356" t="s">
        <v>1155</v>
      </c>
      <c r="B1" s="357"/>
    </row>
    <row r="2" spans="1:12" s="361" customFormat="1" ht="37.5">
      <c r="A2" s="263" t="s">
        <v>837</v>
      </c>
      <c r="B2" s="712" t="s">
        <v>840</v>
      </c>
      <c r="C2" s="263"/>
      <c r="D2" s="263"/>
      <c r="E2" s="739" t="s">
        <v>854</v>
      </c>
      <c r="F2" s="833" t="s">
        <v>855</v>
      </c>
      <c r="G2" s="834"/>
      <c r="H2" s="834"/>
      <c r="I2" s="834"/>
      <c r="J2" s="834"/>
      <c r="K2" s="835"/>
      <c r="L2" s="263"/>
    </row>
    <row r="3" spans="1:12" ht="50.5">
      <c r="A3" s="417"/>
      <c r="B3" s="344" t="str">
        <f>quest</f>
        <v>S/N/?</v>
      </c>
      <c r="C3" s="741" t="s">
        <v>1147</v>
      </c>
      <c r="D3" s="741" t="s">
        <v>843</v>
      </c>
      <c r="E3" s="712" t="s">
        <v>856</v>
      </c>
      <c r="F3" s="269" t="s">
        <v>857</v>
      </c>
      <c r="G3" s="269" t="s">
        <v>858</v>
      </c>
      <c r="H3" s="269" t="s">
        <v>859</v>
      </c>
      <c r="I3" s="712" t="s">
        <v>860</v>
      </c>
      <c r="J3" s="712" t="s">
        <v>861</v>
      </c>
      <c r="K3" s="712" t="s">
        <v>862</v>
      </c>
      <c r="L3" s="263" t="s">
        <v>863</v>
      </c>
    </row>
    <row r="4" spans="1:12" ht="13">
      <c r="A4" s="394" t="str">
        <f>'Paso 2-Energía'!A4</f>
        <v>Consumo de energía</v>
      </c>
      <c r="B4" s="373"/>
      <c r="C4" s="424"/>
      <c r="D4" s="304"/>
      <c r="E4" s="424"/>
      <c r="F4" s="365"/>
      <c r="G4" s="365"/>
      <c r="H4" s="365"/>
      <c r="I4" s="308"/>
      <c r="J4" s="308"/>
      <c r="K4" s="308"/>
      <c r="L4" s="372"/>
    </row>
    <row r="5" spans="1:12">
      <c r="A5" s="263" t="str">
        <f>'Paso 2-Energía'!A5</f>
        <v>Combustión de carbón en centrales eléctricas</v>
      </c>
      <c r="B5" s="268" t="str">
        <f>IF(OR('Paso 2-Energía'!B5=yes,'Paso 2-Energía'!B5=no,'Paso 2-Energía'!B5=que),'Paso 2-Energía'!B5,  pres)</f>
        <v>¿Presente?</v>
      </c>
      <c r="C5" s="427">
        <f>'Paso 2-Energía'!C5</f>
        <v>0</v>
      </c>
      <c r="D5" s="263" t="str">
        <f>'Paso 2-Energía'!D5</f>
        <v xml:space="preserve">Carbón quemado, t/a </v>
      </c>
      <c r="E5" s="439" t="str">
        <f>IF('Inserte resultados de NI2'!C12="",'Paso 2-Energía'!F5,'Inserte resultados de NI2'!C12)</f>
        <v>¿Presente?</v>
      </c>
      <c r="F5" s="428" t="str">
        <f>IF('Inserte resultados de NI2'!D12="",'Paso 2-Energía'!G5,'Inserte resultados de NI2'!D12)</f>
        <v>¿Presente?</v>
      </c>
      <c r="G5" s="428" t="str">
        <f>IF('Inserte resultados de NI2'!E12="",'Paso 2-Energía'!H5,'Inserte resultados de NI2'!E12)</f>
        <v>¿Presente?</v>
      </c>
      <c r="H5" s="428" t="str">
        <f>IF('Inserte resultados de NI2'!F12="",'Paso 2-Energía'!I5,'Inserte resultados de NI2'!F12)</f>
        <v>¿Presente?</v>
      </c>
      <c r="I5" s="428" t="str">
        <f>IF('Inserte resultados de NI2'!G12="",'Paso 2-Energía'!J5,'Inserte resultados de NI2'!G12)</f>
        <v>¿Presente?</v>
      </c>
      <c r="J5" s="428" t="str">
        <f>IF('Inserte resultados de NI2'!H12="",'Paso 2-Energía'!K5,'Inserte resultados de NI2'!H12)</f>
        <v>¿Presente?</v>
      </c>
      <c r="K5" s="428" t="str">
        <f>IF('Inserte resultados de NI2'!I12="",'Paso 2-Energía'!L5,'Inserte resultados de NI2'!I12)</f>
        <v>¿Presente?</v>
      </c>
      <c r="L5" s="263" t="str">
        <f>'Paso 2-Energía'!M5</f>
        <v>5.1.1</v>
      </c>
    </row>
    <row r="6" spans="1:12" ht="25">
      <c r="A6" s="263" t="str">
        <f>'Paso 2-Energía'!A8</f>
        <v>Combustión de carbón en calderas industriales de carbón</v>
      </c>
      <c r="B6" s="268" t="str">
        <f>IF(OR('Paso 2-Energía'!B8=yes,'Paso 2-Energía'!B8=no,'Paso 2-Energía'!B8=que),'Paso 2-Energía'!B8,  pres)</f>
        <v>¿Presente?</v>
      </c>
      <c r="C6" s="427">
        <f>'Paso 2-Energía'!C8</f>
        <v>0</v>
      </c>
      <c r="D6" s="263" t="str">
        <f>'Paso 2-Energía'!D8</f>
        <v xml:space="preserve">Carbón quemado, t/a </v>
      </c>
      <c r="E6" s="439" t="str">
        <f>IF('Inserte resultados de NI2'!C13="",'Paso 2-Energía'!F8,'Inserte resultados de NI2'!C13)</f>
        <v>¿Presente?</v>
      </c>
      <c r="F6" s="428" t="str">
        <f>IF('Inserte resultados de NI2'!D13="",'Paso 2-Energía'!G8,'Inserte resultados de NI2'!D13)</f>
        <v>¿Presente?</v>
      </c>
      <c r="G6" s="428" t="str">
        <f>IF('Inserte resultados de NI2'!E13="",'Paso 2-Energía'!H8,'Inserte resultados de NI2'!E13)</f>
        <v>¿Presente?</v>
      </c>
      <c r="H6" s="428" t="str">
        <f>IF('Inserte resultados de NI2'!F13="",'Paso 2-Energía'!I8,'Inserte resultados de NI2'!F13)</f>
        <v>¿Presente?</v>
      </c>
      <c r="I6" s="428" t="str">
        <f>IF('Inserte resultados de NI2'!G13="",'Paso 2-Energía'!J8,'Inserte resultados de NI2'!G13)</f>
        <v>¿Presente?</v>
      </c>
      <c r="J6" s="428" t="str">
        <f>IF('Inserte resultados de NI2'!H13="",'Paso 2-Energía'!K8,'Inserte resultados de NI2'!H13)</f>
        <v>¿Presente?</v>
      </c>
      <c r="K6" s="428" t="str">
        <f>IF('Inserte resultados de NI2'!I13="",'Paso 2-Energía'!L8,'Inserte resultados de NI2'!I13)</f>
        <v>¿Presente?</v>
      </c>
      <c r="L6" s="263" t="str">
        <f>'Paso 2-Energía'!M8</f>
        <v>5.1.2.1</v>
      </c>
    </row>
    <row r="7" spans="1:12">
      <c r="A7" s="263" t="str">
        <f>'Paso 2-Energía'!A11</f>
        <v>Otros usos del carbón</v>
      </c>
      <c r="B7" s="268" t="str">
        <f>IF(OR('Paso 2-Energía'!B11=yes,'Paso 2-Energía'!B11=no,'Paso 2-Energía'!B11=que),'Paso 2-Energía'!B11,  pres)</f>
        <v>¿Presente?</v>
      </c>
      <c r="C7" s="427">
        <f>'Paso 2-Energía'!C11</f>
        <v>0</v>
      </c>
      <c r="D7" s="263" t="str">
        <f>'Paso 2-Energía'!D11</f>
        <v>Carbón utilizado, t/a</v>
      </c>
      <c r="E7" s="439" t="str">
        <f>IF('Inserte resultados de NI2'!C14="",'Paso 2-Energía'!F11,'Inserte resultados de NI2'!C14)</f>
        <v>¿Presente?</v>
      </c>
      <c r="F7" s="428" t="str">
        <f>IF('Inserte resultados de NI2'!D14="",'Paso 2-Energía'!G11,'Inserte resultados de NI2'!D14)</f>
        <v>¿Presente?</v>
      </c>
      <c r="G7" s="428" t="str">
        <f>IF('Inserte resultados de NI2'!E14="",'Paso 2-Energía'!H11,'Inserte resultados de NI2'!E14)</f>
        <v>¿Presente?</v>
      </c>
      <c r="H7" s="428" t="str">
        <f>IF('Inserte resultados de NI2'!F14="",'Paso 2-Energía'!I11,'Inserte resultados de NI2'!F14)</f>
        <v>¿Presente?</v>
      </c>
      <c r="I7" s="428" t="str">
        <f>IF('Inserte resultados de NI2'!G14="",'Paso 2-Energía'!J11,'Inserte resultados de NI2'!G14)</f>
        <v>¿Presente?</v>
      </c>
      <c r="J7" s="428" t="str">
        <f>IF('Inserte resultados de NI2'!H14="",'Paso 2-Energía'!K11,'Inserte resultados de NI2'!H14)</f>
        <v>¿Presente?</v>
      </c>
      <c r="K7" s="428" t="str">
        <f>IF('Inserte resultados de NI2'!I14="",'Paso 2-Energía'!L11,'Inserte resultados de NI2'!I14)</f>
        <v>¿Presente?</v>
      </c>
      <c r="L7" s="263" t="str">
        <f>'Paso 2-Energía'!M11</f>
        <v>5.1.2.2</v>
      </c>
    </row>
    <row r="8" spans="1:12" ht="25">
      <c r="A8" s="263" t="str">
        <f>'Paso 2-Energía'!A12</f>
        <v>Combustión/uso de coque de petróleo y petróleo pesado</v>
      </c>
      <c r="B8" s="268" t="str">
        <f>IF(OR('Paso 2-Energía'!B12=yes,'Paso 2-Energía'!B12=no,'Paso 2-Energía'!B12=que),'Paso 2-Energía'!B12,  pres)</f>
        <v>¿Presente?</v>
      </c>
      <c r="C8" s="427">
        <f>'Paso 2-Energía'!C12</f>
        <v>0</v>
      </c>
      <c r="D8" s="263" t="str">
        <f>'Paso 2-Energía'!D12</f>
        <v>Producto de petróleo quemado, t/a</v>
      </c>
      <c r="E8" s="439" t="str">
        <f>IF('Inserte resultados de NI2'!C15="",'Paso 2-Energía'!F12,'Inserte resultados de NI2'!C15)</f>
        <v>¿Presente?</v>
      </c>
      <c r="F8" s="428" t="str">
        <f>IF('Inserte resultados de NI2'!D15="",'Paso 2-Energía'!G12,'Inserte resultados de NI2'!D15)</f>
        <v>¿Presente?</v>
      </c>
      <c r="G8" s="428" t="str">
        <f>IF('Inserte resultados de NI2'!E15="",'Paso 2-Energía'!H12,'Inserte resultados de NI2'!E15)</f>
        <v>¿Presente?</v>
      </c>
      <c r="H8" s="428" t="str">
        <f>IF('Inserte resultados de NI2'!F15="",'Paso 2-Energía'!I12,'Inserte resultados de NI2'!F15)</f>
        <v>¿Presente?</v>
      </c>
      <c r="I8" s="428" t="str">
        <f>IF('Inserte resultados de NI2'!G15="",'Paso 2-Energía'!J12,'Inserte resultados de NI2'!G15)</f>
        <v>¿Presente?</v>
      </c>
      <c r="J8" s="428" t="str">
        <f>IF('Inserte resultados de NI2'!H15="",'Paso 2-Energía'!K12,'Inserte resultados de NI2'!H15)</f>
        <v>¿Presente?</v>
      </c>
      <c r="K8" s="428" t="str">
        <f>IF('Inserte resultados de NI2'!I15="",'Paso 2-Energía'!L12,'Inserte resultados de NI2'!I15)</f>
        <v>¿Presente?</v>
      </c>
      <c r="L8" s="263" t="str">
        <f>'Paso 2-Energía'!M12</f>
        <v>5.1.3</v>
      </c>
    </row>
    <row r="9" spans="1:12" ht="25">
      <c r="A9" s="263" t="str">
        <f>'Paso 2-Energía'!A15</f>
        <v>Combustión/uso de diesel, gasoil, petróleo, querosén, GLP y otros destilados livianos a medios</v>
      </c>
      <c r="B9" s="268" t="str">
        <f>IF(OR('Paso 2-Energía'!B15=yes,'Paso 2-Energía'!B15=no,'Paso 2-Energía'!B15=que),'Paso 2-Energía'!B15,  pres)</f>
        <v>¿Presente?</v>
      </c>
      <c r="C9" s="427">
        <f>'Paso 2-Energía'!C15</f>
        <v>0</v>
      </c>
      <c r="D9" s="263" t="str">
        <f>'Paso 2-Energía'!D15</f>
        <v>Producto de petróleo quemado, t/a</v>
      </c>
      <c r="E9" s="439" t="str">
        <f>IF('Inserte resultados de NI2'!C16="",'Paso 2-Energía'!F15,'Inserte resultados de NI2'!C16)</f>
        <v>¿Presente?</v>
      </c>
      <c r="F9" s="428" t="str">
        <f>IF('Inserte resultados de NI2'!D16="",'Paso 2-Energía'!G15,'Inserte resultados de NI2'!D16)</f>
        <v>¿Presente?</v>
      </c>
      <c r="G9" s="428" t="str">
        <f>IF('Inserte resultados de NI2'!E16="",'Paso 2-Energía'!H15,'Inserte resultados de NI2'!E16)</f>
        <v>¿Presente?</v>
      </c>
      <c r="H9" s="428" t="str">
        <f>IF('Inserte resultados de NI2'!F16="",'Paso 2-Energía'!I15,'Inserte resultados de NI2'!F16)</f>
        <v>¿Presente?</v>
      </c>
      <c r="I9" s="428" t="str">
        <f>IF('Inserte resultados de NI2'!G16="",'Paso 2-Energía'!J15,'Inserte resultados de NI2'!G16)</f>
        <v>¿Presente?</v>
      </c>
      <c r="J9" s="428" t="str">
        <f>IF('Inserte resultados de NI2'!H16="",'Paso 2-Energía'!K15,'Inserte resultados de NI2'!H16)</f>
        <v>¿Presente?</v>
      </c>
      <c r="K9" s="428" t="str">
        <f>IF('Inserte resultados de NI2'!I16="",'Paso 2-Energía'!L15,'Inserte resultados de NI2'!I16)</f>
        <v>¿Presente?</v>
      </c>
      <c r="L9" s="263" t="str">
        <f>'Paso 2-Energía'!M15</f>
        <v>5.1.3</v>
      </c>
    </row>
    <row r="10" spans="1:12">
      <c r="A10" s="263" t="str">
        <f>'Paso 2-Energía'!A18</f>
        <v>Uso de gas natural o limpio</v>
      </c>
      <c r="B10" s="268" t="str">
        <f>IF(OR('Paso 2-Energía'!B18=yes,'Paso 2-Energía'!B18=no,'Paso 2-Energía'!B18=que),'Paso 2-Energía'!B18,  pres)</f>
        <v>¿Presente?</v>
      </c>
      <c r="C10" s="427">
        <f>'Paso 2-Energía'!C18</f>
        <v>0</v>
      </c>
      <c r="D10" s="263" t="str">
        <f>'Paso 2-Energía'!D18</f>
        <v>Gas usado, Nm³/a</v>
      </c>
      <c r="E10" s="439" t="str">
        <f>IF('Inserte resultados de NI2'!C17="",'Paso 2-Energía'!F18,'Inserte resultados de NI2'!C17)</f>
        <v>¿Presente?</v>
      </c>
      <c r="F10" s="428" t="str">
        <f>IF('Inserte resultados de NI2'!D17="",'Paso 2-Energía'!G18,'Inserte resultados de NI2'!D17)</f>
        <v>¿Presente?</v>
      </c>
      <c r="G10" s="428" t="str">
        <f>IF('Inserte resultados de NI2'!E17="",'Paso 2-Energía'!H18,'Inserte resultados de NI2'!E17)</f>
        <v>¿Presente?</v>
      </c>
      <c r="H10" s="428" t="str">
        <f>IF('Inserte resultados de NI2'!F17="",'Paso 2-Energía'!I18,'Inserte resultados de NI2'!F17)</f>
        <v>¿Presente?</v>
      </c>
      <c r="I10" s="428" t="str">
        <f>IF('Inserte resultados de NI2'!G17="",'Paso 2-Energía'!J18,'Inserte resultados de NI2'!G17)</f>
        <v>¿Presente?</v>
      </c>
      <c r="J10" s="428" t="str">
        <f>IF('Inserte resultados de NI2'!H17="",'Paso 2-Energía'!K18,'Inserte resultados de NI2'!H17)</f>
        <v>¿Presente?</v>
      </c>
      <c r="K10" s="428" t="str">
        <f>IF('Inserte resultados de NI2'!I17="",'Paso 2-Energía'!L18,'Inserte resultados de NI2'!I17)</f>
        <v>¿Presente?</v>
      </c>
      <c r="L10" s="263" t="str">
        <f>'Paso 2-Energía'!M18</f>
        <v>5.1.4</v>
      </c>
    </row>
    <row r="11" spans="1:12">
      <c r="A11" s="263" t="str">
        <f>'Paso 2-Energía'!A19</f>
        <v>Uso de gas por cañería (calidad de consumo)</v>
      </c>
      <c r="B11" s="268" t="str">
        <f>IF(OR('Paso 2-Energía'!B19=yes,'Paso 2-Energía'!B19=no,'Paso 2-Energía'!B19=que),'Paso 2-Energía'!B19,  pres)</f>
        <v>¿Presente?</v>
      </c>
      <c r="C11" s="427">
        <f>'Paso 2-Energía'!C19</f>
        <v>0</v>
      </c>
      <c r="D11" s="263" t="str">
        <f>'Paso 2-Energía'!D19</f>
        <v>Gas usado, Nm³/a</v>
      </c>
      <c r="E11" s="439" t="str">
        <f>IF('Inserte resultados de NI2'!C18="",'Paso 2-Energía'!F19,'Inserte resultados de NI2'!C18)</f>
        <v>¿Presente?</v>
      </c>
      <c r="F11" s="428" t="str">
        <f>IF('Inserte resultados de NI2'!D18="",'Paso 2-Energía'!G19,'Inserte resultados de NI2'!D18)</f>
        <v>¿Presente?</v>
      </c>
      <c r="G11" s="428" t="str">
        <f>IF('Inserte resultados de NI2'!E18="",'Paso 2-Energía'!H19,'Inserte resultados de NI2'!E18)</f>
        <v>¿Presente?</v>
      </c>
      <c r="H11" s="428" t="str">
        <f>IF('Inserte resultados de NI2'!F18="",'Paso 2-Energía'!I19,'Inserte resultados de NI2'!F18)</f>
        <v>¿Presente?</v>
      </c>
      <c r="I11" s="428" t="str">
        <f>IF('Inserte resultados de NI2'!G18="",'Paso 2-Energía'!J19,'Inserte resultados de NI2'!G18)</f>
        <v>¿Presente?</v>
      </c>
      <c r="J11" s="428" t="str">
        <f>IF('Inserte resultados de NI2'!H18="",'Paso 2-Energía'!K19,'Inserte resultados de NI2'!H18)</f>
        <v>¿Presente?</v>
      </c>
      <c r="K11" s="428" t="str">
        <f>IF('Inserte resultados de NI2'!I18="",'Paso 2-Energía'!L19,'Inserte resultados de NI2'!I18)</f>
        <v>¿Presente?</v>
      </c>
      <c r="L11" s="263" t="str">
        <f>'Paso 2-Energía'!M19</f>
        <v>5.1.4</v>
      </c>
    </row>
    <row r="12" spans="1:12">
      <c r="A12" s="263" t="str">
        <f>'Paso 2-Energía'!A20</f>
        <v>Energía y producción de calor de biomasa</v>
      </c>
      <c r="B12" s="268" t="str">
        <f>IF(OR('Paso 2-Energía'!B20=yes,'Paso 2-Energía'!B20=no,'Paso 2-Energía'!B20=que),'Paso 2-Energía'!B20,  pres)</f>
        <v>¿Presente?</v>
      </c>
      <c r="C12" s="427">
        <f>'Paso 2-Energía'!C20</f>
        <v>0</v>
      </c>
      <c r="D12" s="263" t="str">
        <f>'Paso 2-Energía'!D20</f>
        <v>Biomasa quemada, t/a</v>
      </c>
      <c r="E12" s="439" t="str">
        <f>IF('Inserte resultados de NI2'!C19="",'Paso 2-Energía'!F20,'Inserte resultados de NI2'!C19)</f>
        <v>¿Presente?</v>
      </c>
      <c r="F12" s="428" t="str">
        <f>IF('Inserte resultados de NI2'!D19="",'Paso 2-Energía'!G20,'Inserte resultados de NI2'!D19)</f>
        <v>¿Presente?</v>
      </c>
      <c r="G12" s="428" t="str">
        <f>IF('Inserte resultados de NI2'!E19="",'Paso 2-Energía'!H20,'Inserte resultados de NI2'!E19)</f>
        <v>¿Presente?</v>
      </c>
      <c r="H12" s="428" t="str">
        <f>IF('Inserte resultados de NI2'!F19="",'Paso 2-Energía'!I20,'Inserte resultados de NI2'!F19)</f>
        <v>¿Presente?</v>
      </c>
      <c r="I12" s="428" t="str">
        <f>IF('Inserte resultados de NI2'!G19="",'Paso 2-Energía'!J20,'Inserte resultados de NI2'!G19)</f>
        <v>¿Presente?</v>
      </c>
      <c r="J12" s="428" t="str">
        <f>IF('Inserte resultados de NI2'!H19="",'Paso 2-Energía'!K20,'Inserte resultados de NI2'!H19)</f>
        <v>¿Presente?</v>
      </c>
      <c r="K12" s="428" t="str">
        <f>IF('Inserte resultados de NI2'!I19="",'Paso 2-Energía'!L20,'Inserte resultados de NI2'!I19)</f>
        <v>¿Presente?</v>
      </c>
      <c r="L12" s="263" t="str">
        <f>'Paso 2-Energía'!M20</f>
        <v>5.1.6</v>
      </c>
    </row>
    <row r="13" spans="1:12">
      <c r="A13" s="263" t="str">
        <f>'Paso 2-Energía'!A21</f>
        <v>Combustión de carbón vegetal</v>
      </c>
      <c r="B13" s="268" t="str">
        <f>IF(OR('Paso 2-Energía'!B21=yes,'Paso 2-Energía'!B21=no,'Paso 2-Energía'!B21=que),'Paso 2-Energía'!B21,  pres)</f>
        <v>¿Presente?</v>
      </c>
      <c r="C13" s="427">
        <f>'Paso 2-Energía'!C21</f>
        <v>0</v>
      </c>
      <c r="D13" s="263" t="str">
        <f>'Paso 2-Energía'!D21</f>
        <v>Carbón vegetal quemado, t/a</v>
      </c>
      <c r="E13" s="439" t="str">
        <f>IF('Inserte resultados de NI2'!C20="",'Paso 2-Energía'!F21,'Inserte resultados de NI2'!C20)</f>
        <v>¿Presente?</v>
      </c>
      <c r="F13" s="428" t="str">
        <f>IF('Inserte resultados de NI2'!D20="",'Paso 2-Energía'!G21,'Inserte resultados de NI2'!D20)</f>
        <v>¿Presente?</v>
      </c>
      <c r="G13" s="428" t="str">
        <f>IF('Inserte resultados de NI2'!E20="",'Paso 2-Energía'!H21,'Inserte resultados de NI2'!E20)</f>
        <v>¿Presente?</v>
      </c>
      <c r="H13" s="428" t="str">
        <f>IF('Inserte resultados de NI2'!F20="",'Paso 2-Energía'!I21,'Inserte resultados de NI2'!F20)</f>
        <v>¿Presente?</v>
      </c>
      <c r="I13" s="428" t="str">
        <f>IF('Inserte resultados de NI2'!G20="",'Paso 2-Energía'!J21,'Inserte resultados de NI2'!G20)</f>
        <v>¿Presente?</v>
      </c>
      <c r="J13" s="428" t="str">
        <f>IF('Inserte resultados de NI2'!H20="",'Paso 2-Energía'!K21,'Inserte resultados de NI2'!H20)</f>
        <v>¿Presente?</v>
      </c>
      <c r="K13" s="428" t="str">
        <f>IF('Inserte resultados de NI2'!I20="",'Paso 2-Energía'!L21,'Inserte resultados de NI2'!I20)</f>
        <v>¿Presente?</v>
      </c>
      <c r="L13" s="263" t="str">
        <f>'Paso 2-Energía'!M21</f>
        <v>5.1.6</v>
      </c>
    </row>
    <row r="14" spans="1:12" ht="13">
      <c r="A14" s="394" t="str">
        <f>'Paso 2-Energía'!A23</f>
        <v>Producción de combustible</v>
      </c>
      <c r="B14" s="304"/>
      <c r="C14" s="425"/>
      <c r="D14" s="372"/>
      <c r="E14" s="372"/>
      <c r="F14" s="372"/>
      <c r="G14" s="426"/>
      <c r="H14" s="426"/>
      <c r="I14" s="426"/>
      <c r="J14" s="426"/>
      <c r="K14" s="426"/>
      <c r="L14" s="372"/>
    </row>
    <row r="15" spans="1:12">
      <c r="A15" s="263" t="str">
        <f>'Paso 2-Energía'!A24</f>
        <v>Extracción de petróleo</v>
      </c>
      <c r="B15" s="268" t="str">
        <f>IF(OR('Paso 2-Energía'!B24=yes,'Paso 2-Energía'!B24=no,'Paso 2-Energía'!B24=que),'Paso 2-Energía'!B24,  pres)</f>
        <v>¿Presente?</v>
      </c>
      <c r="C15" s="427">
        <f>'Paso 2-Energía'!C24</f>
        <v>0</v>
      </c>
      <c r="D15" s="263" t="str">
        <f>'Paso 2-Energía'!D24</f>
        <v>Petróleo crudo producido, t/a</v>
      </c>
      <c r="E15" s="439" t="str">
        <f>IF('Inserte resultados de NI2'!C22="",'Paso 2-Energía'!F24,'Inserte resultados de NI2'!C22)</f>
        <v>¿Presente?</v>
      </c>
      <c r="F15" s="428" t="str">
        <f>IF('Inserte resultados de NI2'!D22="",'Paso 2-Energía'!G24,'Inserte resultados de NI2'!D22)</f>
        <v>¿Presente?</v>
      </c>
      <c r="G15" s="428" t="str">
        <f>IF('Inserte resultados de NI2'!E22="",'Paso 2-Energía'!H24,'Inserte resultados de NI2'!E22)</f>
        <v>¿Presente?</v>
      </c>
      <c r="H15" s="428" t="str">
        <f>IF('Inserte resultados de NI2'!F22="",'Paso 2-Energía'!I24,'Inserte resultados de NI2'!F22)</f>
        <v>¿Presente?</v>
      </c>
      <c r="I15" s="428" t="str">
        <f>IF('Inserte resultados de NI2'!G22="",'Paso 2-Energía'!J24,'Inserte resultados de NI2'!G22)</f>
        <v>¿Presente?</v>
      </c>
      <c r="J15" s="428" t="str">
        <f>IF('Inserte resultados de NI2'!H22="",'Paso 2-Energía'!K24,'Inserte resultados de NI2'!H22)</f>
        <v>¿Presente?</v>
      </c>
      <c r="K15" s="428" t="str">
        <f>IF('Inserte resultados de NI2'!I22="",'Paso 2-Energía'!L24,'Inserte resultados de NI2'!I22)</f>
        <v>¿Presente?</v>
      </c>
      <c r="L15" s="263" t="str">
        <f>'Paso 2-Energía'!M24</f>
        <v>5.1.3</v>
      </c>
    </row>
    <row r="16" spans="1:12">
      <c r="A16" s="263" t="str">
        <f>'Paso 2-Energía'!A25</f>
        <v>Refinación de petróleo</v>
      </c>
      <c r="B16" s="268" t="str">
        <f>IF(OR('Paso 2-Energía'!B25=yes,'Paso 2-Energía'!B25=no,'Paso 2-Energía'!B25=que),'Paso 2-Energía'!B25,  pres)</f>
        <v>¿Presente?</v>
      </c>
      <c r="C16" s="427">
        <f>'Paso 2-Energía'!C25</f>
        <v>0</v>
      </c>
      <c r="D16" s="263" t="str">
        <f>'Paso 2-Energía'!D25</f>
        <v>Petróleo crudo refinado, t/a</v>
      </c>
      <c r="E16" s="439" t="str">
        <f>IF('Inserte resultados de NI2'!C23="",'Paso 2-Energía'!F25,'Inserte resultados de NI2'!C23)</f>
        <v>¿Presente?</v>
      </c>
      <c r="F16" s="428" t="str">
        <f>IF('Inserte resultados de NI2'!D23="",'Paso 2-Energía'!G25,'Inserte resultados de NI2'!D23)</f>
        <v>¿Presente?</v>
      </c>
      <c r="G16" s="428" t="str">
        <f>IF('Inserte resultados de NI2'!E23="",'Paso 2-Energía'!H25,'Inserte resultados de NI2'!E23)</f>
        <v>¿Presente?</v>
      </c>
      <c r="H16" s="428" t="str">
        <f>IF('Inserte resultados de NI2'!F23="",'Paso 2-Energía'!I25,'Inserte resultados de NI2'!F23)</f>
        <v>¿Presente?</v>
      </c>
      <c r="I16" s="428" t="str">
        <f>IF('Inserte resultados de NI2'!G23="",'Paso 2-Energía'!J25,'Inserte resultados de NI2'!G23)</f>
        <v>¿Presente?</v>
      </c>
      <c r="J16" s="428" t="str">
        <f>IF('Inserte resultados de NI2'!H23="",'Paso 2-Energía'!K25,'Inserte resultados de NI2'!H23)</f>
        <v>¿Presente?</v>
      </c>
      <c r="K16" s="428" t="str">
        <f>IF('Inserte resultados de NI2'!I23="",'Paso 2-Energía'!L25,'Inserte resultados de NI2'!I23)</f>
        <v>¿Presente?</v>
      </c>
      <c r="L16" s="263" t="str">
        <f>'Paso 2-Energía'!M25</f>
        <v>5.1.3</v>
      </c>
    </row>
    <row r="17" spans="1:12">
      <c r="A17" s="263" t="str">
        <f>'Paso 2-Energía'!A26</f>
        <v>Extracción y procesamiento de gas natural</v>
      </c>
      <c r="B17" s="268" t="str">
        <f>IF(OR('Paso 2-Energía'!B26=yes,'Paso 2-Energía'!B26=no,'Paso 2-Energía'!B26=que),'Paso 2-Energía'!B26,  pres)</f>
        <v>¿Presente?</v>
      </c>
      <c r="C17" s="427">
        <f>'Paso 2-Energía'!C26</f>
        <v>0</v>
      </c>
      <c r="D17" s="263" t="str">
        <f>'Paso 2-Energía'!D26</f>
        <v>Gas producido, Nm³/a</v>
      </c>
      <c r="E17" s="439" t="str">
        <f>IF('Inserte resultados de NI2'!C24="",'Paso 2-Energía'!F26,'Inserte resultados de NI2'!C24)</f>
        <v>¿Presente?</v>
      </c>
      <c r="F17" s="428" t="str">
        <f>IF('Inserte resultados de NI2'!D24="",'Paso 2-Energía'!G26,'Inserte resultados de NI2'!D24)</f>
        <v>¿Presente?</v>
      </c>
      <c r="G17" s="428" t="str">
        <f>IF('Inserte resultados de NI2'!E24="",'Paso 2-Energía'!H26,'Inserte resultados de NI2'!E24)</f>
        <v>¿Presente?</v>
      </c>
      <c r="H17" s="428" t="str">
        <f>IF('Inserte resultados de NI2'!F24="",'Paso 2-Energía'!I26,'Inserte resultados de NI2'!F24)</f>
        <v>¿Presente?</v>
      </c>
      <c r="I17" s="428" t="str">
        <f>IF('Inserte resultados de NI2'!G24="",'Paso 2-Energía'!J26,'Inserte resultados de NI2'!G24)</f>
        <v>¿Presente?</v>
      </c>
      <c r="J17" s="428" t="str">
        <f>IF('Inserte resultados de NI2'!H24="",'Paso 2-Energía'!K26,'Inserte resultados de NI2'!H24)</f>
        <v>¿Presente?</v>
      </c>
      <c r="K17" s="428" t="str">
        <f>IF('Inserte resultados de NI2'!I24="",'Paso 2-Energía'!L26,'Inserte resultados de NI2'!I24)</f>
        <v>¿Presente?</v>
      </c>
      <c r="L17" s="263" t="str">
        <f>'Paso 2-Energía'!M26</f>
        <v>5.1.4</v>
      </c>
    </row>
    <row r="18" spans="1:12" ht="13">
      <c r="A18" s="394" t="str">
        <f>'Paso 3-Metales-Materias primas'!A5</f>
        <v>Producción de metales primarios</v>
      </c>
      <c r="B18" s="304"/>
      <c r="C18" s="425"/>
      <c r="D18" s="372"/>
      <c r="E18" s="372"/>
      <c r="F18" s="426"/>
      <c r="G18" s="426"/>
      <c r="H18" s="426"/>
      <c r="I18" s="426"/>
      <c r="J18" s="426"/>
      <c r="K18" s="426"/>
      <c r="L18" s="372"/>
    </row>
    <row r="19" spans="1:12">
      <c r="A19" s="263" t="str">
        <f>'Paso 3-Metales-Materias primas'!A6</f>
        <v>Extracción (primaria) de mercurio y procesamiento inicial</v>
      </c>
      <c r="B19" s="268" t="str">
        <f>IF(OR('Paso 3-Metales-Materias primas'!B6=yes,'Paso 3-Metales-Materias primas'!B6=no,'Paso 3-Metales-Materias primas'!B6=que),'Paso 3-Metales-Materias primas'!B6,  pres)</f>
        <v>¿Presente?</v>
      </c>
      <c r="C19" s="427">
        <f>'Paso 3-Metales-Materias primas'!C6</f>
        <v>0</v>
      </c>
      <c r="D19" s="263" t="str">
        <f>'Paso 3-Metales-Materias primas'!D6</f>
        <v>Mercurio producido, t/a</v>
      </c>
      <c r="E19" s="439" t="str">
        <f>IF('Inserte resultados de NI2'!C26="",'Paso 3-Metales-Materias primas'!F6,'Inserte resultados de NI2'!C26)</f>
        <v>¿Presente?</v>
      </c>
      <c r="F19" s="428" t="str">
        <f>IF('Inserte resultados de NI2'!D26="",'Paso 3-Metales-Materias primas'!G6,'Inserte resultados de NI2'!D26)</f>
        <v>¿Presente?</v>
      </c>
      <c r="G19" s="428" t="str">
        <f>IF('Inserte resultados de NI2'!E26="",'Paso 3-Metales-Materias primas'!H6,'Inserte resultados de NI2'!E26)</f>
        <v>¿Presente?</v>
      </c>
      <c r="H19" s="428" t="str">
        <f>IF('Inserte resultados de NI2'!F26="",'Paso 3-Metales-Materias primas'!I6,'Inserte resultados de NI2'!F26)</f>
        <v>¿Presente?</v>
      </c>
      <c r="I19" s="428" t="str">
        <f>IF('Inserte resultados de NI2'!G26="",'Paso 3-Metales-Materias primas'!J6,'Inserte resultados de NI2'!G26)</f>
        <v>¿Presente?</v>
      </c>
      <c r="J19" s="428" t="str">
        <f>IF('Inserte resultados de NI2'!H26="",'Paso 3-Metales-Materias primas'!K6,'Inserte resultados de NI2'!H26)</f>
        <v>¿Presente?</v>
      </c>
      <c r="K19" s="428" t="str">
        <f>IF('Inserte resultados de NI2'!I26="",'Paso 3-Metales-Materias primas'!L6,'Inserte resultados de NI2'!I26)</f>
        <v>¿Presente?</v>
      </c>
      <c r="L19" s="263" t="str">
        <f>'Paso 3-Metales-Materias primas'!M6</f>
        <v>5.2.1</v>
      </c>
    </row>
    <row r="20" spans="1:12">
      <c r="A20" s="263" t="str">
        <f>'Paso 3-Metales-Materias primas'!A7</f>
        <v>Producción de zinc a partir de concentrados</v>
      </c>
      <c r="B20" s="268" t="str">
        <f>IF(OR('Paso 3-Metales-Materias primas'!B7=yes,'Paso 3-Metales-Materias primas'!B7=no,'Paso 3-Metales-Materias primas'!B7=que),'Paso 3-Metales-Materias primas'!B7,  pres)</f>
        <v>¿Presente?</v>
      </c>
      <c r="C20" s="427">
        <f>'Paso 3-Metales-Materias primas'!C7</f>
        <v>0</v>
      </c>
      <c r="D20" s="263" t="str">
        <f>'Paso 3-Metales-Materias primas'!D7</f>
        <v>Concentrado usado, t/a</v>
      </c>
      <c r="E20" s="439" t="str">
        <f>IF('Inserte resultados de NI2'!C27="",'Paso 3-Metales-Materias primas'!F7,'Inserte resultados de NI2'!C27)</f>
        <v>¿Presente?</v>
      </c>
      <c r="F20" s="428" t="str">
        <f>IF('Inserte resultados de NI2'!D27="",'Paso 3-Metales-Materias primas'!G7,'Inserte resultados de NI2'!D27)</f>
        <v>¿Presente?</v>
      </c>
      <c r="G20" s="428" t="str">
        <f>IF('Inserte resultados de NI2'!E27="",'Paso 3-Metales-Materias primas'!H7,'Inserte resultados de NI2'!E27)</f>
        <v>¿Presente?</v>
      </c>
      <c r="H20" s="428" t="str">
        <f>IF('Inserte resultados de NI2'!F27="",'Paso 3-Metales-Materias primas'!I7,'Inserte resultados de NI2'!F27)</f>
        <v>¿Presente?</v>
      </c>
      <c r="I20" s="428" t="str">
        <f>IF('Inserte resultados de NI2'!G27="",'Paso 3-Metales-Materias primas'!J7,'Inserte resultados de NI2'!G27)</f>
        <v>¿Presente?</v>
      </c>
      <c r="J20" s="428" t="str">
        <f>IF('Inserte resultados de NI2'!H27="",'Paso 3-Metales-Materias primas'!K7,'Inserte resultados de NI2'!H27)</f>
        <v>¿Presente?</v>
      </c>
      <c r="K20" s="428" t="str">
        <f>IF('Inserte resultados de NI2'!I27="",'Paso 3-Metales-Materias primas'!L7,'Inserte resultados de NI2'!I27)</f>
        <v>¿Presente?</v>
      </c>
      <c r="L20" s="263" t="str">
        <f>'Paso 3-Metales-Materias primas'!M7</f>
        <v>5.2.3</v>
      </c>
    </row>
    <row r="21" spans="1:12">
      <c r="A21" s="263" t="str">
        <f>'Paso 3-Metales-Materias primas'!A10</f>
        <v>Producción de cobre a partir de concentrados</v>
      </c>
      <c r="B21" s="268" t="str">
        <f>IF(OR('Paso 3-Metales-Materias primas'!B10=yes,'Paso 3-Metales-Materias primas'!B10=no,'Paso 3-Metales-Materias primas'!B10=que),'Paso 3-Metales-Materias primas'!B10,  pres)</f>
        <v>¿Presente?</v>
      </c>
      <c r="C21" s="427">
        <f>'Paso 3-Metales-Materias primas'!C10</f>
        <v>0</v>
      </c>
      <c r="D21" s="263" t="str">
        <f>'Paso 3-Metales-Materias primas'!D10</f>
        <v>Concentrado usado, t/a</v>
      </c>
      <c r="E21" s="439" t="str">
        <f>IF('Inserte resultados de NI2'!C28="",'Paso 3-Metales-Materias primas'!F10,'Inserte resultados de NI2'!C28)</f>
        <v>¿Presente?</v>
      </c>
      <c r="F21" s="428" t="str">
        <f>IF('Inserte resultados de NI2'!D28="",'Paso 3-Metales-Materias primas'!G10,'Inserte resultados de NI2'!D28)</f>
        <v>¿Presente?</v>
      </c>
      <c r="G21" s="428" t="str">
        <f>IF('Inserte resultados de NI2'!E28="",'Paso 3-Metales-Materias primas'!H10,'Inserte resultados de NI2'!E28)</f>
        <v>¿Presente?</v>
      </c>
      <c r="H21" s="428" t="str">
        <f>IF('Inserte resultados de NI2'!F28="",'Paso 3-Metales-Materias primas'!I10,'Inserte resultados de NI2'!F28)</f>
        <v>¿Presente?</v>
      </c>
      <c r="I21" s="428" t="str">
        <f>IF('Inserte resultados de NI2'!G28="",'Paso 3-Metales-Materias primas'!J10,'Inserte resultados de NI2'!G28)</f>
        <v>¿Presente?</v>
      </c>
      <c r="J21" s="428" t="str">
        <f>IF('Inserte resultados de NI2'!H28="",'Paso 3-Metales-Materias primas'!K10,'Inserte resultados de NI2'!H28)</f>
        <v>¿Presente?</v>
      </c>
      <c r="K21" s="428" t="str">
        <f>IF('Inserte resultados de NI2'!I28="",'Paso 3-Metales-Materias primas'!L10,'Inserte resultados de NI2'!I28)</f>
        <v>¿Presente?</v>
      </c>
      <c r="L21" s="263" t="str">
        <f>'Paso 3-Metales-Materias primas'!M10</f>
        <v>5.2.4</v>
      </c>
    </row>
    <row r="22" spans="1:12">
      <c r="A22" s="263" t="str">
        <f>'Paso 3-Metales-Materias primas'!A13</f>
        <v>Producción de plomo a partir de concentrados</v>
      </c>
      <c r="B22" s="268" t="str">
        <f>IF(OR('Paso 3-Metales-Materias primas'!B13=yes,'Paso 3-Metales-Materias primas'!B13=no,'Paso 3-Metales-Materias primas'!B13=que),'Paso 3-Metales-Materias primas'!B13,  pres)</f>
        <v>¿Presente?</v>
      </c>
      <c r="C22" s="427">
        <f>'Paso 3-Metales-Materias primas'!C13</f>
        <v>0</v>
      </c>
      <c r="D22" s="263" t="str">
        <f>'Paso 3-Metales-Materias primas'!D13</f>
        <v>Concentrado usado, t/a</v>
      </c>
      <c r="E22" s="439" t="str">
        <f>IF('Inserte resultados de NI2'!C29="",'Paso 3-Metales-Materias primas'!F13,'Inserte resultados de NI2'!C29)</f>
        <v>¿Presente?</v>
      </c>
      <c r="F22" s="428" t="str">
        <f>IF('Inserte resultados de NI2'!D29="",'Paso 3-Metales-Materias primas'!G13,'Inserte resultados de NI2'!D29)</f>
        <v>¿Presente?</v>
      </c>
      <c r="G22" s="428" t="str">
        <f>IF('Inserte resultados de NI2'!E29="",'Paso 3-Metales-Materias primas'!H13,'Inserte resultados de NI2'!E29)</f>
        <v>¿Presente?</v>
      </c>
      <c r="H22" s="428" t="str">
        <f>IF('Inserte resultados de NI2'!F29="",'Paso 3-Metales-Materias primas'!I13,'Inserte resultados de NI2'!F29)</f>
        <v>¿Presente?</v>
      </c>
      <c r="I22" s="428" t="str">
        <f>IF('Inserte resultados de NI2'!G29="",'Paso 3-Metales-Materias primas'!J13,'Inserte resultados de NI2'!G29)</f>
        <v>¿Presente?</v>
      </c>
      <c r="J22" s="428" t="str">
        <f>IF('Inserte resultados de NI2'!H29="",'Paso 3-Metales-Materias primas'!K13,'Inserte resultados de NI2'!H29)</f>
        <v>¿Presente?</v>
      </c>
      <c r="K22" s="428" t="str">
        <f>IF('Inserte resultados de NI2'!I29="",'Paso 3-Metales-Materias primas'!L13,'Inserte resultados de NI2'!I29)</f>
        <v>¿Presente?</v>
      </c>
      <c r="L22" s="263" t="str">
        <f>'Paso 3-Metales-Materias primas'!M13</f>
        <v>5.2.5</v>
      </c>
    </row>
    <row r="23" spans="1:12" ht="25">
      <c r="A23" s="263" t="str">
        <f>'Paso 3-Metales-Materias primas'!A16</f>
        <v>Extracción de oro por métodos distintos a la amalgamación de mercurio</v>
      </c>
      <c r="B23" s="268" t="str">
        <f>IF(OR('Paso 3-Metales-Materias primas'!B16=yes,'Paso 3-Metales-Materias primas'!B16=no,'Paso 3-Metales-Materias primas'!B16=que),'Paso 3-Metales-Materias primas'!B16,  pres)</f>
        <v>¿Presente?</v>
      </c>
      <c r="C23" s="427">
        <f>'Paso 3-Metales-Materias primas'!C16</f>
        <v>0</v>
      </c>
      <c r="D23" s="263" t="str">
        <f>'Paso 3-Metales-Materias primas'!D16</f>
        <v>Mineral de oro usado, t/a</v>
      </c>
      <c r="E23" s="439" t="str">
        <f>IF('Inserte resultados de NI2'!C30="",'Paso 3-Metales-Materias primas'!F16,'Inserte resultados de NI2'!C30)</f>
        <v>¿Presente?</v>
      </c>
      <c r="F23" s="428" t="str">
        <f>IF('Inserte resultados de NI2'!D30="",'Paso 3-Metales-Materias primas'!G16,'Inserte resultados de NI2'!D30)</f>
        <v>¿Presente?</v>
      </c>
      <c r="G23" s="428" t="str">
        <f>IF('Inserte resultados de NI2'!E30="",'Paso 3-Metales-Materias primas'!H16,'Inserte resultados de NI2'!E30)</f>
        <v>¿Presente?</v>
      </c>
      <c r="H23" s="428" t="str">
        <f>IF('Inserte resultados de NI2'!F30="",'Paso 3-Metales-Materias primas'!I16,'Inserte resultados de NI2'!F30)</f>
        <v>¿Presente?</v>
      </c>
      <c r="I23" s="428" t="str">
        <f>IF('Inserte resultados de NI2'!G30="",'Paso 3-Metales-Materias primas'!J16,'Inserte resultados de NI2'!G30)</f>
        <v>¿Presente?</v>
      </c>
      <c r="J23" s="428" t="str">
        <f>IF('Inserte resultados de NI2'!H30="",'Paso 3-Metales-Materias primas'!K16,'Inserte resultados de NI2'!H30)</f>
        <v>¿Presente?</v>
      </c>
      <c r="K23" s="428" t="str">
        <f>IF('Inserte resultados de NI2'!I30="",'Paso 3-Metales-Materias primas'!L16,'Inserte resultados de NI2'!I30)</f>
        <v>¿Presente?</v>
      </c>
      <c r="L23" s="263" t="str">
        <f>'Paso 3-Metales-Materias primas'!M16</f>
        <v>5.2.6</v>
      </c>
    </row>
    <row r="24" spans="1:12" ht="25">
      <c r="A24" s="263" t="str">
        <f>'Paso 3-Metales-Materias primas'!A17</f>
        <v>Producción de alúmina a partir de bauxita (producción de aluminio)</v>
      </c>
      <c r="B24" s="268" t="str">
        <f>IF(OR('Paso 3-Metales-Materias primas'!B17=yes,'Paso 3-Metales-Materias primas'!B17=no,'Paso 3-Metales-Materias primas'!B17=que),'Paso 3-Metales-Materias primas'!B17,  pres)</f>
        <v>¿Presente?</v>
      </c>
      <c r="C24" s="427">
        <f>'Paso 3-Metales-Materias primas'!C17</f>
        <v>0</v>
      </c>
      <c r="D24" s="263" t="str">
        <f>'Paso 3-Metales-Materias primas'!D17</f>
        <v>Bauxita procesada, t/a</v>
      </c>
      <c r="E24" s="439" t="str">
        <f>IF('Inserte resultados de NI2'!C31="",'Paso 3-Metales-Materias primas'!F17,'Inserte resultados de NI2'!C31)</f>
        <v>¿Presente?</v>
      </c>
      <c r="F24" s="428" t="str">
        <f>IF('Inserte resultados de NI2'!D31="",'Paso 3-Metales-Materias primas'!G17,'Inserte resultados de NI2'!D31)</f>
        <v>¿Presente?</v>
      </c>
      <c r="G24" s="428" t="str">
        <f>IF('Inserte resultados de NI2'!E31="",'Paso 3-Metales-Materias primas'!H17,'Inserte resultados de NI2'!E31)</f>
        <v>¿Presente?</v>
      </c>
      <c r="H24" s="428" t="str">
        <f>IF('Inserte resultados de NI2'!F31="",'Paso 3-Metales-Materias primas'!I17,'Inserte resultados de NI2'!F31)</f>
        <v>¿Presente?</v>
      </c>
      <c r="I24" s="428" t="str">
        <f>IF('Inserte resultados de NI2'!G31="",'Paso 3-Metales-Materias primas'!J17,'Inserte resultados de NI2'!G31)</f>
        <v>¿Presente?</v>
      </c>
      <c r="J24" s="428" t="str">
        <f>IF('Inserte resultados de NI2'!H31="",'Paso 3-Metales-Materias primas'!K17,'Inserte resultados de NI2'!H31)</f>
        <v>¿Presente?</v>
      </c>
      <c r="K24" s="428" t="str">
        <f>IF('Inserte resultados de NI2'!I31="",'Paso 3-Metales-Materias primas'!L17,'Inserte resultados de NI2'!I31)</f>
        <v>¿Presente?</v>
      </c>
      <c r="L24" s="263" t="str">
        <f>'Paso 3-Metales-Materias primas'!M17</f>
        <v>5.2.7</v>
      </c>
    </row>
    <row r="25" spans="1:12" ht="25">
      <c r="A25" s="263" t="str">
        <f>'Paso 3-Metales-Materias primas'!A18</f>
        <v>Producción primaria de metal ferroso (producción de arrabio)</v>
      </c>
      <c r="B25" s="268" t="str">
        <f>IF(OR('Paso 3-Metales-Materias primas'!B18=yes,'Paso 3-Metales-Materias primas'!B18=no,'Paso 3-Metales-Materias primas'!B18=que),'Paso 3-Metales-Materias primas'!B18,  pres)</f>
        <v>¿Presente?</v>
      </c>
      <c r="C25" s="427">
        <f>'Paso 3-Metales-Materias primas'!C18</f>
        <v>0</v>
      </c>
      <c r="D25" s="263" t="str">
        <f>'Paso 3-Metales-Materias primas'!D18</f>
        <v>Arrabio producido, t/a</v>
      </c>
      <c r="E25" s="439" t="str">
        <f>IF('Inserte resultados de NI2'!C32="",'Paso 3-Metales-Materias primas'!F18,'Inserte resultados de NI2'!C32)</f>
        <v>¿Presente?</v>
      </c>
      <c r="F25" s="428" t="str">
        <f>IF('Inserte resultados de NI2'!D32="",'Paso 3-Metales-Materias primas'!G18,'Inserte resultados de NI2'!D32)</f>
        <v>¿Presente?</v>
      </c>
      <c r="G25" s="428" t="str">
        <f>IF('Inserte resultados de NI2'!E32="",'Paso 3-Metales-Materias primas'!H18,'Inserte resultados de NI2'!E32)</f>
        <v>¿Presente?</v>
      </c>
      <c r="H25" s="428" t="str">
        <f>IF('Inserte resultados de NI2'!F32="",'Paso 3-Metales-Materias primas'!I18,'Inserte resultados de NI2'!F32)</f>
        <v>¿Presente?</v>
      </c>
      <c r="I25" s="428" t="str">
        <f>IF('Inserte resultados de NI2'!G32="",'Paso 3-Metales-Materias primas'!J18,'Inserte resultados de NI2'!G32)</f>
        <v>¿Presente?</v>
      </c>
      <c r="J25" s="428" t="str">
        <f>IF('Inserte resultados de NI2'!H32="",'Paso 3-Metales-Materias primas'!K18,'Inserte resultados de NI2'!H32)</f>
        <v>¿Presente?</v>
      </c>
      <c r="K25" s="428" t="str">
        <f>IF('Inserte resultados de NI2'!I32="",'Paso 3-Metales-Materias primas'!L18,'Inserte resultados de NI2'!I32)</f>
        <v>¿Presente?</v>
      </c>
      <c r="L25" s="263" t="str">
        <f>'Paso 3-Metales-Materias primas'!M18</f>
        <v>5.2.9</v>
      </c>
    </row>
    <row r="26" spans="1:12" ht="25">
      <c r="A26" s="263" t="str">
        <f>'Paso 3-Metales-Materias primas'!A19</f>
        <v>Extracción de oro con amalgamación de mercurio -  a partir del mineral entero (mineral en bruto)</v>
      </c>
      <c r="B26" s="268" t="str">
        <f>IF(OR('Paso 3-Metales-Materias primas'!B19=yes,'Paso 3-Metales-Materias primas'!B19=no,'Paso 3-Metales-Materias primas'!B19=que),'Paso 3-Metales-Materias primas'!B19,  pres)</f>
        <v>¿Presente?</v>
      </c>
      <c r="C26" s="427">
        <f>'Paso 3-Metales-Materias primas'!C19</f>
        <v>0</v>
      </c>
      <c r="D26" s="263" t="str">
        <f>'Paso 3-Metales-Materias primas'!D19</f>
        <v>Gold produced, kg/a</v>
      </c>
      <c r="E26" s="439" t="str">
        <f>IF('Inserte resultados de NI2'!C33="",'Paso 3-Metales-Materias primas'!F19,'Inserte resultados de NI2'!C33)</f>
        <v>¿Presente?</v>
      </c>
      <c r="F26" s="428" t="str">
        <f>IF('Inserte resultados de NI2'!D33="",'Paso 3-Metales-Materias primas'!G19,'Inserte resultados de NI2'!D33)</f>
        <v>¿Presente?</v>
      </c>
      <c r="G26" s="428" t="str">
        <f>IF('Inserte resultados de NI2'!E33="",'Paso 3-Metales-Materias primas'!H19,'Inserte resultados de NI2'!E33)</f>
        <v>¿Presente?</v>
      </c>
      <c r="H26" s="428" t="str">
        <f>IF('Inserte resultados de NI2'!F33="",'Paso 3-Metales-Materias primas'!I19,'Inserte resultados de NI2'!F33)</f>
        <v>¿Presente?</v>
      </c>
      <c r="I26" s="428" t="str">
        <f>IF('Inserte resultados de NI2'!G33="",'Paso 3-Metales-Materias primas'!J19,'Inserte resultados de NI2'!G33)</f>
        <v>¿Presente?</v>
      </c>
      <c r="J26" s="428" t="str">
        <f>IF('Inserte resultados de NI2'!H33="",'Paso 3-Metales-Materias primas'!K19,'Inserte resultados de NI2'!H33)</f>
        <v>¿Presente?</v>
      </c>
      <c r="K26" s="428" t="str">
        <f>IF('Inserte resultados de NI2'!I33="",'Paso 3-Metales-Materias primas'!L19,'Inserte resultados de NI2'!I33)</f>
        <v>¿Presente?</v>
      </c>
      <c r="L26" s="263" t="str">
        <f>'Paso 3-Metales-Materias primas'!M19</f>
        <v>5.2.2</v>
      </c>
    </row>
    <row r="27" spans="1:12" ht="25">
      <c r="A27" s="263" t="str">
        <f>'Paso 3-Metales-Materias primas'!A22</f>
        <v>Extracción de oro con amalgamación de mercurio - a partir de concentrados</v>
      </c>
      <c r="B27" s="268" t="str">
        <f>IF(OR('Paso 3-Metales-Materias primas'!B22=yes,'Paso 3-Metales-Materias primas'!B22=no,'Paso 3-Metales-Materias primas'!B22=que),'Paso 3-Metales-Materias primas'!B22,  pres)</f>
        <v>¿Presente?</v>
      </c>
      <c r="C27" s="427">
        <f>'Paso 3-Metales-Materias primas'!C22</f>
        <v>0</v>
      </c>
      <c r="D27" s="263" t="str">
        <f>'Paso 3-Metales-Materias primas'!D22</f>
        <v>Gold produced, kg/a</v>
      </c>
      <c r="E27" s="439" t="str">
        <f>IF('Inserte resultados de NI2'!C34="",'Paso 3-Metales-Materias primas'!F22,'Inserte resultados de NI2'!C34)</f>
        <v>¿Presente?</v>
      </c>
      <c r="F27" s="428" t="str">
        <f>IF('Inserte resultados de NI2'!D34="",'Paso 3-Metales-Materias primas'!G22,'Inserte resultados de NI2'!D34)</f>
        <v>¿Presente?</v>
      </c>
      <c r="G27" s="428" t="str">
        <f>IF('Inserte resultados de NI2'!E34="",'Paso 3-Metales-Materias primas'!H22,'Inserte resultados de NI2'!E34)</f>
        <v>¿Presente?</v>
      </c>
      <c r="H27" s="428" t="str">
        <f>IF('Inserte resultados de NI2'!F34="",'Paso 3-Metales-Materias primas'!I22,'Inserte resultados de NI2'!F34)</f>
        <v>¿Presente?</v>
      </c>
      <c r="I27" s="428" t="str">
        <f>IF('Inserte resultados de NI2'!G34="",'Paso 3-Metales-Materias primas'!J22,'Inserte resultados de NI2'!G34)</f>
        <v>¿Presente?</v>
      </c>
      <c r="J27" s="428" t="str">
        <f>IF('Inserte resultados de NI2'!H34="",'Paso 3-Metales-Materias primas'!K22,'Inserte resultados de NI2'!H34)</f>
        <v>¿Presente?</v>
      </c>
      <c r="K27" s="428" t="str">
        <f>IF('Inserte resultados de NI2'!I34="",'Paso 3-Metales-Materias primas'!L22,'Inserte resultados de NI2'!I34)</f>
        <v>¿Presente?</v>
      </c>
      <c r="L27" s="263" t="str">
        <f>'Paso 3-Metales-Materias primas'!M22</f>
        <v>5.2.2</v>
      </c>
    </row>
    <row r="28" spans="1:12" ht="13">
      <c r="A28" s="394" t="str">
        <f>'Paso 3-Metales-Materias primas'!A25</f>
        <v>Producción de otros materiales</v>
      </c>
      <c r="B28" s="304"/>
      <c r="C28" s="425"/>
      <c r="D28" s="372"/>
      <c r="E28" s="372"/>
      <c r="F28" s="372"/>
      <c r="G28" s="372"/>
      <c r="H28" s="372"/>
      <c r="I28" s="372"/>
      <c r="J28" s="372"/>
      <c r="K28" s="372"/>
      <c r="L28" s="372"/>
    </row>
    <row r="29" spans="1:12">
      <c r="A29" s="263" t="s">
        <v>790</v>
      </c>
      <c r="B29" s="268" t="str">
        <f>IF(OR('Paso 3-Metales-Materias primas'!B26=yes,'Paso 3-Metales-Materias primas'!B26=no,'Paso 3-Metales-Materias primas'!B26=que),'Paso 3-Metales-Materias primas'!B26,  pres)</f>
        <v>¿Presente?</v>
      </c>
      <c r="C29" s="427">
        <f>'Paso 3-Metales-Materias primas'!C26</f>
        <v>0</v>
      </c>
      <c r="D29" s="263" t="str">
        <f>'Paso 3-Metales-Materias primas'!D26</f>
        <v>Cemento producido, t/a</v>
      </c>
      <c r="E29" s="439" t="str">
        <f>IF('Inserte resultados de NI2'!C36="",'Paso 3-Metales-Materias primas'!F26,'Inserte resultados de NI2'!C36)</f>
        <v>¿Presente?</v>
      </c>
      <c r="F29" s="428" t="str">
        <f>IF('Inserte resultados de NI2'!D36="",'Paso 3-Metales-Materias primas'!G26,'Inserte resultados de NI2'!D36)</f>
        <v>¿Presente?</v>
      </c>
      <c r="G29" s="428" t="str">
        <f>IF('Inserte resultados de NI2'!E36="",'Paso 3-Metales-Materias primas'!H26,'Inserte resultados de NI2'!E36)</f>
        <v>¿Presente?</v>
      </c>
      <c r="H29" s="428" t="str">
        <f>IF('Inserte resultados de NI2'!F36="",'Paso 3-Metales-Materias primas'!I26,'Inserte resultados de NI2'!F36)</f>
        <v>¿Presente?</v>
      </c>
      <c r="I29" s="428" t="str">
        <f>IF('Inserte resultados de NI2'!G36="",'Paso 3-Metales-Materias primas'!J26,'Inserte resultados de NI2'!G36)</f>
        <v>¿Presente?</v>
      </c>
      <c r="J29" s="428" t="str">
        <f>IF('Inserte resultados de NI2'!H36="",'Paso 3-Metales-Materias primas'!K26,'Inserte resultados de NI2'!H36)</f>
        <v>¿Presente?</v>
      </c>
      <c r="K29" s="428" t="str">
        <f>IF('Inserte resultados de NI2'!I36="",'Paso 3-Metales-Materias primas'!L26,'Inserte resultados de NI2'!I36)</f>
        <v>¿Presente?</v>
      </c>
      <c r="L29" s="263" t="str">
        <f>'Paso 3-Metales-Materias primas'!M26</f>
        <v>5.3.1</v>
      </c>
    </row>
    <row r="30" spans="1:12">
      <c r="A30" s="263" t="str">
        <f>'Paso 3-Metales-Materias primas'!A31</f>
        <v>Producción de pasta y papel</v>
      </c>
      <c r="B30" s="268" t="str">
        <f>IF(OR('Paso 3-Metales-Materias primas'!B31=yes,'Paso 3-Metales-Materias primas'!B31=no,'Paso 3-Metales-Materias primas'!B31=que),'Paso 3-Metales-Materias primas'!B31,  pres)</f>
        <v>¿Presente?</v>
      </c>
      <c r="C30" s="427">
        <f>'Paso 3-Metales-Materias primas'!C31</f>
        <v>0</v>
      </c>
      <c r="D30" s="263" t="str">
        <f>'Paso 3-Metales-Materias primas'!D31</f>
        <v>Biomasa usada para la producción, t/a</v>
      </c>
      <c r="E30" s="439" t="str">
        <f>IF('Inserte resultados de NI2'!C37="",'Paso 3-Metales-Materias primas'!F31,'Inserte resultados de NI2'!C37)</f>
        <v>¿Presente?</v>
      </c>
      <c r="F30" s="428" t="str">
        <f>IF('Inserte resultados de NI2'!D37="",'Paso 3-Metales-Materias primas'!G31,'Inserte resultados de NI2'!D37)</f>
        <v>¿Presente?</v>
      </c>
      <c r="G30" s="428" t="str">
        <f>IF('Inserte resultados de NI2'!E37="",'Paso 3-Metales-Materias primas'!H31,'Inserte resultados de NI2'!E37)</f>
        <v>¿Presente?</v>
      </c>
      <c r="H30" s="428" t="str">
        <f>IF('Inserte resultados de NI2'!F37="",'Paso 3-Metales-Materias primas'!I31,'Inserte resultados de NI2'!F37)</f>
        <v>¿Presente?</v>
      </c>
      <c r="I30" s="428" t="str">
        <f>IF('Inserte resultados de NI2'!G37="",'Paso 3-Metales-Materias primas'!J31,'Inserte resultados de NI2'!G37)</f>
        <v>¿Presente?</v>
      </c>
      <c r="J30" s="428" t="str">
        <f>IF('Inserte resultados de NI2'!H37="",'Paso 3-Metales-Materias primas'!K31,'Inserte resultados de NI2'!H37)</f>
        <v>¿Presente?</v>
      </c>
      <c r="K30" s="428" t="str">
        <f>IF('Inserte resultados de NI2'!I37="",'Paso 3-Metales-Materias primas'!L31,'Inserte resultados de NI2'!I37)</f>
        <v>¿Presente?</v>
      </c>
      <c r="L30" s="263" t="str">
        <f>'Paso 3-Metales-Materias primas'!M31</f>
        <v>5.3.2</v>
      </c>
    </row>
    <row r="31" spans="1:12" ht="13">
      <c r="A31" s="394" t="str">
        <f>'Paso 4-Uso industrial de Hg'!A4</f>
        <v>Producción de productos químicos</v>
      </c>
      <c r="B31" s="304"/>
      <c r="C31" s="276"/>
      <c r="D31" s="305"/>
      <c r="E31" s="305"/>
      <c r="F31" s="437"/>
      <c r="G31" s="437"/>
      <c r="H31" s="437"/>
      <c r="I31" s="437"/>
      <c r="J31" s="437"/>
      <c r="K31" s="437"/>
      <c r="L31" s="306"/>
    </row>
    <row r="32" spans="1:12">
      <c r="A32" s="263" t="str">
        <f>'Paso 4-Uso industrial de Hg'!A5</f>
        <v>Producción de cloro-álcali con celdas de mercurio</v>
      </c>
      <c r="B32" s="268" t="str">
        <f>IF(OR('Paso 4-Uso industrial de Hg'!B5=yes,'Paso 4-Uso industrial de Hg'!B5=no,'Paso 4-Uso industrial de Hg'!B5=que),'Paso 4-Uso industrial de Hg'!B5,  pres)</f>
        <v>¿Presente?</v>
      </c>
      <c r="C32" s="376">
        <f>'Paso 4-Uso industrial de Hg'!C5</f>
        <v>0</v>
      </c>
      <c r="D32" s="273" t="str">
        <f>'Paso 4-Uso industrial de Hg'!D5</f>
        <v xml:space="preserve">Cl2 producido, t/a </v>
      </c>
      <c r="E32" s="439" t="str">
        <f>IF('Inserte resultados de NI2'!C39="",'Paso 4-Uso industrial de Hg'!E5,'Inserte resultados de NI2'!C39)</f>
        <v>¿Presente?</v>
      </c>
      <c r="F32" s="428" t="str">
        <f>IF('Inserte resultados de NI2'!D39="",'Paso 4-Uso industrial de Hg'!F5,'Inserte resultados de NI2'!D39)</f>
        <v>¿Presente?</v>
      </c>
      <c r="G32" s="428" t="str">
        <f>IF('Inserte resultados de NI2'!E39="",'Paso 4-Uso industrial de Hg'!G5,'Inserte resultados de NI2'!E39)</f>
        <v>¿Presente?</v>
      </c>
      <c r="H32" s="428" t="str">
        <f>IF('Inserte resultados de NI2'!F39="",'Paso 4-Uso industrial de Hg'!H5,'Inserte resultados de NI2'!F39)</f>
        <v>¿Presente?</v>
      </c>
      <c r="I32" s="428" t="str">
        <f>IF('Inserte resultados de NI2'!G39="",'Paso 4-Uso industrial de Hg'!I5,'Inserte resultados de NI2'!G39)</f>
        <v>¿Presente?</v>
      </c>
      <c r="J32" s="428" t="str">
        <f>IF('Inserte resultados de NI2'!H39="",'Paso 4-Uso industrial de Hg'!J5,'Inserte resultados de NI2'!H39)</f>
        <v>¿Presente?</v>
      </c>
      <c r="K32" s="428" t="str">
        <f>IF('Inserte resultados de NI2'!I39="",'Paso 4-Uso industrial de Hg'!K5,'Inserte resultados de NI2'!I39)</f>
        <v>¿Presente?</v>
      </c>
      <c r="L32" s="272" t="str">
        <f>'Paso 4-Uso industrial de Hg'!L5</f>
        <v>5.4.1</v>
      </c>
    </row>
    <row r="33" spans="1:13">
      <c r="A33" s="263" t="str">
        <f>'Paso 4-Uso industrial de Hg'!A6</f>
        <v>Producción de CVM con catalizador de mercurio</v>
      </c>
      <c r="B33" s="268" t="str">
        <f>IF(OR('Paso 4-Uso industrial de Hg'!B6=yes,'Paso 4-Uso industrial de Hg'!B6=no,'Paso 4-Uso industrial de Hg'!B6=que),'Paso 4-Uso industrial de Hg'!B6,  pres)</f>
        <v>¿Presente?</v>
      </c>
      <c r="C33" s="376">
        <f>'Paso 4-Uso industrial de Hg'!C6</f>
        <v>0</v>
      </c>
      <c r="D33" s="273" t="str">
        <f>'Paso 4-Uso industrial de Hg'!D6</f>
        <v xml:space="preserve">CVM producido, t/a </v>
      </c>
      <c r="E33" s="439" t="str">
        <f>IF('Inserte resultados de NI2'!C40="",'Paso 4-Uso industrial de Hg'!E6,'Inserte resultados de NI2'!C40)</f>
        <v>¿Presente?</v>
      </c>
      <c r="F33" s="428" t="str">
        <f>IF('Inserte resultados de NI2'!D40="",'Paso 4-Uso industrial de Hg'!F6,'Inserte resultados de NI2'!D40)</f>
        <v>¿Presente?</v>
      </c>
      <c r="G33" s="428" t="str">
        <f>IF('Inserte resultados de NI2'!E40="",'Paso 4-Uso industrial de Hg'!G6,'Inserte resultados de NI2'!E40)</f>
        <v>¿Presente?</v>
      </c>
      <c r="H33" s="428" t="str">
        <f>IF('Inserte resultados de NI2'!F40="",'Paso 4-Uso industrial de Hg'!H6,'Inserte resultados de NI2'!F40)</f>
        <v>¿Presente?</v>
      </c>
      <c r="I33" s="428" t="str">
        <f>IF('Inserte resultados de NI2'!G40="",'Paso 4-Uso industrial de Hg'!I6,'Inserte resultados de NI2'!G40)</f>
        <v>¿Presente?</v>
      </c>
      <c r="J33" s="428" t="str">
        <f>IF('Inserte resultados de NI2'!H40="",'Paso 4-Uso industrial de Hg'!J6,'Inserte resultados de NI2'!H40)</f>
        <v>¿Presente?</v>
      </c>
      <c r="K33" s="428" t="str">
        <f>IF('Inserte resultados de NI2'!I40="",'Paso 4-Uso industrial de Hg'!K6,'Inserte resultados de NI2'!I40)</f>
        <v>¿Presente?</v>
      </c>
      <c r="L33" s="272" t="str">
        <f>'Paso 4-Uso industrial de Hg'!L6</f>
        <v>5.4.2</v>
      </c>
    </row>
    <row r="34" spans="1:13">
      <c r="A34" s="263" t="str">
        <f>'Paso 4-Uso industrial de Hg'!A7</f>
        <v>Producción de acetaldehído con catalizador de mercurio</v>
      </c>
      <c r="B34" s="268" t="str">
        <f>IF(OR('Paso 4-Uso industrial de Hg'!B7=yes,'Paso 4-Uso industrial de Hg'!B7=no,'Paso 4-Uso industrial de Hg'!B7=que),'Paso 4-Uso industrial de Hg'!B7,  pres)</f>
        <v>¿Presente?</v>
      </c>
      <c r="C34" s="376">
        <f>'Paso 4-Uso industrial de Hg'!C7</f>
        <v>0</v>
      </c>
      <c r="D34" s="273" t="str">
        <f>'Paso 4-Uso industrial de Hg'!D7</f>
        <v>Acetaldehído producido, t/a</v>
      </c>
      <c r="E34" s="439" t="str">
        <f>IF('Inserte resultados de NI2'!C41="",'Paso 4-Uso industrial de Hg'!E7,'Inserte resultados de NI2'!C41)</f>
        <v>¿Presente?</v>
      </c>
      <c r="F34" s="428" t="str">
        <f>IF('Inserte resultados de NI2'!D41="",'Paso 4-Uso industrial de Hg'!F7,'Inserte resultados de NI2'!D41)</f>
        <v>¿Presente?</v>
      </c>
      <c r="G34" s="428" t="str">
        <f>IF('Inserte resultados de NI2'!E41="",'Paso 4-Uso industrial de Hg'!G7,'Inserte resultados de NI2'!E41)</f>
        <v>¿Presente?</v>
      </c>
      <c r="H34" s="428" t="str">
        <f>IF('Inserte resultados de NI2'!F41="",'Paso 4-Uso industrial de Hg'!H7,'Inserte resultados de NI2'!F41)</f>
        <v>¿Presente?</v>
      </c>
      <c r="I34" s="428" t="str">
        <f>IF('Inserte resultados de NI2'!G41="",'Paso 4-Uso industrial de Hg'!I7,'Inserte resultados de NI2'!G41)</f>
        <v>¿Presente?</v>
      </c>
      <c r="J34" s="428" t="str">
        <f>IF('Inserte resultados de NI2'!H41="",'Paso 4-Uso industrial de Hg'!J7,'Inserte resultados de NI2'!H41)</f>
        <v>¿Presente?</v>
      </c>
      <c r="K34" s="428" t="str">
        <f>IF('Inserte resultados de NI2'!I41="",'Paso 4-Uso industrial de Hg'!K7,'Inserte resultados de NI2'!I41)</f>
        <v>¿Presente?</v>
      </c>
      <c r="L34" s="272" t="str">
        <f>'Paso 4-Uso industrial de Hg'!L7</f>
        <v>5.4.3</v>
      </c>
    </row>
    <row r="35" spans="1:13" ht="13">
      <c r="A35" s="394" t="s">
        <v>683</v>
      </c>
      <c r="B35" s="304"/>
      <c r="C35" s="276"/>
      <c r="D35" s="305"/>
      <c r="E35" s="305"/>
      <c r="F35" s="437"/>
      <c r="G35" s="437"/>
      <c r="H35" s="437"/>
      <c r="I35" s="437"/>
      <c r="J35" s="437"/>
      <c r="K35" s="437"/>
      <c r="L35" s="306"/>
    </row>
    <row r="36" spans="1:13" ht="25">
      <c r="A36" s="263" t="str">
        <f>'Paso 4-Uso industrial de Hg'!A10</f>
        <v xml:space="preserve">Termómetros de Hg (médicos, atmosféricos, de laboratorio, industriales, etc.) </v>
      </c>
      <c r="B36" s="268" t="str">
        <f>IF(OR('Paso 4-Uso industrial de Hg'!B10=yes,'Paso 4-Uso industrial de Hg'!B10=no,'Paso 4-Uso industrial de Hg'!B10=que),'Paso 4-Uso industrial de Hg'!B10,  pres)</f>
        <v>¿Presente?</v>
      </c>
      <c r="C36" s="376">
        <f>'Paso 4-Uso industrial de Hg'!C10</f>
        <v>0</v>
      </c>
      <c r="D36" s="273" t="str">
        <f>'Paso 4-Uso industrial de Hg'!D10</f>
        <v>Mercurio utilizado para producción, kg/a</v>
      </c>
      <c r="E36" s="439" t="str">
        <f>IF('Inserte resultados de NI2'!C43="",'Paso 4-Uso industrial de Hg'!E10,'Inserte resultados de NI2'!C43)</f>
        <v>¿Presente?</v>
      </c>
      <c r="F36" s="428" t="str">
        <f>IF('Inserte resultados de NI2'!D43="",'Paso 4-Uso industrial de Hg'!F10,'Inserte resultados de NI2'!D43)</f>
        <v>¿Presente?</v>
      </c>
      <c r="G36" s="428" t="str">
        <f>IF('Inserte resultados de NI2'!E43="",'Paso 4-Uso industrial de Hg'!G10,'Inserte resultados de NI2'!E43)</f>
        <v>¿Presente?</v>
      </c>
      <c r="H36" s="428" t="str">
        <f>IF('Inserte resultados de NI2'!F43="",'Paso 4-Uso industrial de Hg'!H10,'Inserte resultados de NI2'!F43)</f>
        <v>¿Presente?</v>
      </c>
      <c r="I36" s="428" t="str">
        <f>IF('Inserte resultados de NI2'!G43="",'Paso 4-Uso industrial de Hg'!I10,'Inserte resultados de NI2'!G43)</f>
        <v>¿Presente?</v>
      </c>
      <c r="J36" s="428" t="str">
        <f>IF('Inserte resultados de NI2'!H43="",'Paso 4-Uso industrial de Hg'!J10,'Inserte resultados de NI2'!H43)</f>
        <v>¿Presente?</v>
      </c>
      <c r="K36" s="428" t="str">
        <f>IF('Inserte resultados de NI2'!I43="",'Paso 4-Uso industrial de Hg'!K10,'Inserte resultados de NI2'!I43)</f>
        <v>¿Presente?</v>
      </c>
      <c r="L36" s="280" t="str">
        <f>'Paso 4-Uso industrial de Hg'!L10</f>
        <v>5.5.1</v>
      </c>
      <c r="M36" s="546"/>
    </row>
    <row r="37" spans="1:13">
      <c r="A37" s="263" t="str">
        <f>'Paso 4-Uso industrial de Hg'!A11</f>
        <v xml:space="preserve">Conmutadores eléctricos y relés con mercurio </v>
      </c>
      <c r="B37" s="268" t="str">
        <f>IF(OR('Paso 4-Uso industrial de Hg'!B11=yes,'Paso 4-Uso industrial de Hg'!B11=no,'Paso 4-Uso industrial de Hg'!B11=que),'Paso 4-Uso industrial de Hg'!B11,  pres)</f>
        <v>¿Presente?</v>
      </c>
      <c r="C37" s="376">
        <f>'Paso 4-Uso industrial de Hg'!C11</f>
        <v>0</v>
      </c>
      <c r="D37" s="273" t="str">
        <f>'Paso 4-Uso industrial de Hg'!D11</f>
        <v>Mercurio utilizado para producción, kg/a</v>
      </c>
      <c r="E37" s="439" t="str">
        <f>IF('Inserte resultados de NI2'!C44="",'Paso 4-Uso industrial de Hg'!E11,'Inserte resultados de NI2'!C44)</f>
        <v>¿Presente?</v>
      </c>
      <c r="F37" s="428" t="str">
        <f>IF('Inserte resultados de NI2'!D44="",'Paso 4-Uso industrial de Hg'!F11,'Inserte resultados de NI2'!D44)</f>
        <v>¿Presente?</v>
      </c>
      <c r="G37" s="428" t="str">
        <f>IF('Inserte resultados de NI2'!E44="",'Paso 4-Uso industrial de Hg'!G11,'Inserte resultados de NI2'!E44)</f>
        <v>¿Presente?</v>
      </c>
      <c r="H37" s="428" t="str">
        <f>IF('Inserte resultados de NI2'!F44="",'Paso 4-Uso industrial de Hg'!H11,'Inserte resultados de NI2'!F44)</f>
        <v>¿Presente?</v>
      </c>
      <c r="I37" s="428" t="str">
        <f>IF('Inserte resultados de NI2'!G44="",'Paso 4-Uso industrial de Hg'!I11,'Inserte resultados de NI2'!G44)</f>
        <v>¿Presente?</v>
      </c>
      <c r="J37" s="428" t="str">
        <f>IF('Inserte resultados de NI2'!H44="",'Paso 4-Uso industrial de Hg'!J11,'Inserte resultados de NI2'!H44)</f>
        <v>¿Presente?</v>
      </c>
      <c r="K37" s="428" t="str">
        <f>IF('Inserte resultados de NI2'!I44="",'Paso 4-Uso industrial de Hg'!K11,'Inserte resultados de NI2'!I44)</f>
        <v>¿Presente?</v>
      </c>
      <c r="L37" s="280" t="str">
        <f>'Paso 4-Uso industrial de Hg'!L11</f>
        <v>5.5.2</v>
      </c>
    </row>
    <row r="38" spans="1:13" ht="25">
      <c r="A38" s="263" t="str">
        <f>'Paso 4-Uso industrial de Hg'!A12</f>
        <v xml:space="preserve">Fuentes lumínicas con mercurio (fluorescentes, compactas, otras: ver pauta) </v>
      </c>
      <c r="B38" s="268" t="str">
        <f>IF(OR('Paso 4-Uso industrial de Hg'!B12=yes,'Paso 4-Uso industrial de Hg'!B12=no,'Paso 4-Uso industrial de Hg'!B12=que),'Paso 4-Uso industrial de Hg'!B12,  pres)</f>
        <v>¿Presente?</v>
      </c>
      <c r="C38" s="376">
        <f>'Paso 4-Uso industrial de Hg'!C12</f>
        <v>0</v>
      </c>
      <c r="D38" s="273" t="str">
        <f>'Paso 4-Uso industrial de Hg'!D12</f>
        <v>Mercurio utilizado para producción, kg/a</v>
      </c>
      <c r="E38" s="439" t="str">
        <f>IF('Inserte resultados de NI2'!C45="",'Paso 4-Uso industrial de Hg'!E12,'Inserte resultados de NI2'!C45)</f>
        <v>¿Presente?</v>
      </c>
      <c r="F38" s="428" t="str">
        <f>IF('Inserte resultados de NI2'!D45="",'Paso 4-Uso industrial de Hg'!F12,'Inserte resultados de NI2'!D45)</f>
        <v>¿Presente?</v>
      </c>
      <c r="G38" s="428" t="str">
        <f>IF('Inserte resultados de NI2'!E45="",'Paso 4-Uso industrial de Hg'!G12,'Inserte resultados de NI2'!E45)</f>
        <v>¿Presente?</v>
      </c>
      <c r="H38" s="428" t="str">
        <f>IF('Inserte resultados de NI2'!F45="",'Paso 4-Uso industrial de Hg'!H12,'Inserte resultados de NI2'!F45)</f>
        <v>¿Presente?</v>
      </c>
      <c r="I38" s="428" t="str">
        <f>IF('Inserte resultados de NI2'!G45="",'Paso 4-Uso industrial de Hg'!I12,'Inserte resultados de NI2'!G45)</f>
        <v>¿Presente?</v>
      </c>
      <c r="J38" s="428" t="str">
        <f>IF('Inserte resultados de NI2'!H45="",'Paso 4-Uso industrial de Hg'!J12,'Inserte resultados de NI2'!H45)</f>
        <v>¿Presente?</v>
      </c>
      <c r="K38" s="428" t="str">
        <f>IF('Inserte resultados de NI2'!I45="",'Paso 4-Uso industrial de Hg'!K12,'Inserte resultados de NI2'!I45)</f>
        <v>¿Presente?</v>
      </c>
      <c r="L38" s="280" t="str">
        <f>'Paso 4-Uso industrial de Hg'!L12</f>
        <v>5.5.3</v>
      </c>
      <c r="M38" s="543"/>
    </row>
    <row r="39" spans="1:13">
      <c r="A39" s="263" t="str">
        <f>'Paso 4-Uso industrial de Hg'!A13</f>
        <v xml:space="preserve">Pilas con mercurio </v>
      </c>
      <c r="B39" s="268" t="str">
        <f>IF(OR('Paso 4-Uso industrial de Hg'!B13=yes,'Paso 4-Uso industrial de Hg'!B13=no,'Paso 4-Uso industrial de Hg'!B13=que),'Paso 4-Uso industrial de Hg'!B13,  pres)</f>
        <v>¿Presente?</v>
      </c>
      <c r="C39" s="376">
        <f>'Paso 4-Uso industrial de Hg'!C13</f>
        <v>0</v>
      </c>
      <c r="D39" s="273" t="str">
        <f>'Paso 4-Uso industrial de Hg'!D13</f>
        <v>Mercurio utilizado para producción, kg/a</v>
      </c>
      <c r="E39" s="439" t="str">
        <f>IF('Inserte resultados de NI2'!C46="",'Paso 4-Uso industrial de Hg'!E13,'Inserte resultados de NI2'!C46)</f>
        <v>¿Presente?</v>
      </c>
      <c r="F39" s="428" t="str">
        <f>IF('Inserte resultados de NI2'!D46="",'Paso 4-Uso industrial de Hg'!F13,'Inserte resultados de NI2'!D46)</f>
        <v>¿Presente?</v>
      </c>
      <c r="G39" s="428" t="str">
        <f>IF('Inserte resultados de NI2'!E46="",'Paso 4-Uso industrial de Hg'!G13,'Inserte resultados de NI2'!E46)</f>
        <v>¿Presente?</v>
      </c>
      <c r="H39" s="428" t="str">
        <f>IF('Inserte resultados de NI2'!F46="",'Paso 4-Uso industrial de Hg'!H13,'Inserte resultados de NI2'!F46)</f>
        <v>¿Presente?</v>
      </c>
      <c r="I39" s="428" t="str">
        <f>IF('Inserte resultados de NI2'!G46="",'Paso 4-Uso industrial de Hg'!I13,'Inserte resultados de NI2'!G46)</f>
        <v>¿Presente?</v>
      </c>
      <c r="J39" s="428" t="str">
        <f>IF('Inserte resultados de NI2'!H46="",'Paso 4-Uso industrial de Hg'!J13,'Inserte resultados de NI2'!H46)</f>
        <v>¿Presente?</v>
      </c>
      <c r="K39" s="428" t="str">
        <f>IF('Inserte resultados de NI2'!I46="",'Paso 4-Uso industrial de Hg'!K13,'Inserte resultados de NI2'!I46)</f>
        <v>¿Presente?</v>
      </c>
      <c r="L39" s="280" t="str">
        <f>'Paso 4-Uso industrial de Hg'!L13</f>
        <v>5.5.4</v>
      </c>
      <c r="M39" s="474"/>
    </row>
    <row r="40" spans="1:13">
      <c r="A40" s="263" t="str">
        <f>'Paso 4-Uso industrial de Hg'!A14</f>
        <v xml:space="preserve">Manómetros e indicadores con mercurio </v>
      </c>
      <c r="B40" s="268" t="str">
        <f>IF(OR('Paso 4-Uso industrial de Hg'!B14=yes,'Paso 4-Uso industrial de Hg'!B14=no,'Paso 4-Uso industrial de Hg'!B14=que),'Paso 4-Uso industrial de Hg'!B14,  pres)</f>
        <v>¿Presente?</v>
      </c>
      <c r="C40" s="376">
        <f>'Paso 4-Uso industrial de Hg'!C14</f>
        <v>0</v>
      </c>
      <c r="D40" s="273" t="str">
        <f>'Paso 4-Uso industrial de Hg'!D14</f>
        <v>Mercurio utilizado para producción, kg/a</v>
      </c>
      <c r="E40" s="439" t="str">
        <f>IF('Inserte resultados de NI2'!C47="",'Paso 4-Uso industrial de Hg'!E14,'Inserte resultados de NI2'!C47)</f>
        <v>¿Presente?</v>
      </c>
      <c r="F40" s="428" t="str">
        <f>IF('Inserte resultados de NI2'!D47="",'Paso 4-Uso industrial de Hg'!F14,'Inserte resultados de NI2'!D47)</f>
        <v>¿Presente?</v>
      </c>
      <c r="G40" s="428" t="str">
        <f>IF('Inserte resultados de NI2'!E47="",'Paso 4-Uso industrial de Hg'!G14,'Inserte resultados de NI2'!E47)</f>
        <v>¿Presente?</v>
      </c>
      <c r="H40" s="428" t="str">
        <f>IF('Inserte resultados de NI2'!F47="",'Paso 4-Uso industrial de Hg'!H14,'Inserte resultados de NI2'!F47)</f>
        <v>¿Presente?</v>
      </c>
      <c r="I40" s="428" t="str">
        <f>IF('Inserte resultados de NI2'!G47="",'Paso 4-Uso industrial de Hg'!I14,'Inserte resultados de NI2'!G47)</f>
        <v>¿Presente?</v>
      </c>
      <c r="J40" s="428" t="str">
        <f>IF('Inserte resultados de NI2'!H47="",'Paso 4-Uso industrial de Hg'!J14,'Inserte resultados de NI2'!H47)</f>
        <v>¿Presente?</v>
      </c>
      <c r="K40" s="428" t="str">
        <f>IF('Inserte resultados de NI2'!I47="",'Paso 4-Uso industrial de Hg'!K14,'Inserte resultados de NI2'!I47)</f>
        <v>¿Presente?</v>
      </c>
      <c r="L40" s="272" t="str">
        <f>'Paso 4-Uso industrial de Hg'!L14</f>
        <v>5.6.2</v>
      </c>
    </row>
    <row r="41" spans="1:13">
      <c r="A41" s="263" t="str">
        <f>'Paso 4-Uso industrial de Hg'!A15</f>
        <v xml:space="preserve">Biocidas y pesticidas con mercurio </v>
      </c>
      <c r="B41" s="268" t="str">
        <f>IF(OR('Paso 4-Uso industrial de Hg'!B15=yes,'Paso 4-Uso industrial de Hg'!B15=no,'Paso 4-Uso industrial de Hg'!B15=que),'Paso 4-Uso industrial de Hg'!B15,  pres)</f>
        <v>¿Presente?</v>
      </c>
      <c r="C41" s="376">
        <f>'Paso 4-Uso industrial de Hg'!C15</f>
        <v>0</v>
      </c>
      <c r="D41" s="273" t="str">
        <f>'Paso 4-Uso industrial de Hg'!D15</f>
        <v>Mercurio utilizado para producción, kg/a</v>
      </c>
      <c r="E41" s="439" t="str">
        <f>IF('Inserte resultados de NI2'!C48="",'Paso 4-Uso industrial de Hg'!E15,'Inserte resultados de NI2'!C48)</f>
        <v>¿Presente?</v>
      </c>
      <c r="F41" s="428" t="str">
        <f>IF('Inserte resultados de NI2'!D48="",'Paso 4-Uso industrial de Hg'!F15,'Inserte resultados de NI2'!D48)</f>
        <v>¿Presente?</v>
      </c>
      <c r="G41" s="428" t="str">
        <f>IF('Inserte resultados de NI2'!E48="",'Paso 4-Uso industrial de Hg'!G15,'Inserte resultados de NI2'!E48)</f>
        <v>¿Presente?</v>
      </c>
      <c r="H41" s="428" t="str">
        <f>IF('Inserte resultados de NI2'!F48="",'Paso 4-Uso industrial de Hg'!H15,'Inserte resultados de NI2'!F48)</f>
        <v>¿Presente?</v>
      </c>
      <c r="I41" s="428" t="str">
        <f>IF('Inserte resultados de NI2'!G48="",'Paso 4-Uso industrial de Hg'!I15,'Inserte resultados de NI2'!G48)</f>
        <v>¿Presente?</v>
      </c>
      <c r="J41" s="428" t="str">
        <f>IF('Inserte resultados de NI2'!H48="",'Paso 4-Uso industrial de Hg'!J15,'Inserte resultados de NI2'!H48)</f>
        <v>¿Presente?</v>
      </c>
      <c r="K41" s="428" t="str">
        <f>IF('Inserte resultados de NI2'!I48="",'Paso 4-Uso industrial de Hg'!K15,'Inserte resultados de NI2'!I48)</f>
        <v>¿Presente?</v>
      </c>
      <c r="L41" s="272" t="str">
        <f>'Paso 4-Uso industrial de Hg'!L15</f>
        <v>5.5.5</v>
      </c>
    </row>
    <row r="42" spans="1:13">
      <c r="A42" s="263" t="str">
        <f>'Paso 4-Uso industrial de Hg'!A16</f>
        <v xml:space="preserve">Pinturas con mercurio </v>
      </c>
      <c r="B42" s="268" t="str">
        <f>IF(OR('Paso 4-Uso industrial de Hg'!B16=yes,'Paso 4-Uso industrial de Hg'!B16=no,'Paso 4-Uso industrial de Hg'!B16=que),'Paso 4-Uso industrial de Hg'!B16,  pres)</f>
        <v>¿Presente?</v>
      </c>
      <c r="C42" s="376">
        <f>'Paso 4-Uso industrial de Hg'!C16</f>
        <v>0</v>
      </c>
      <c r="D42" s="273" t="str">
        <f>'Paso 4-Uso industrial de Hg'!D16</f>
        <v>Mercurio utilizado para producción, kg/a</v>
      </c>
      <c r="E42" s="439" t="str">
        <f>IF('Inserte resultados de NI2'!C49="",'Paso 4-Uso industrial de Hg'!E16,'Inserte resultados de NI2'!C49)</f>
        <v>¿Presente?</v>
      </c>
      <c r="F42" s="428" t="str">
        <f>IF('Inserte resultados de NI2'!D49="",'Paso 4-Uso industrial de Hg'!F16,'Inserte resultados de NI2'!D49)</f>
        <v>¿Presente?</v>
      </c>
      <c r="G42" s="428" t="str">
        <f>IF('Inserte resultados de NI2'!E49="",'Paso 4-Uso industrial de Hg'!G16,'Inserte resultados de NI2'!E49)</f>
        <v>¿Presente?</v>
      </c>
      <c r="H42" s="428" t="str">
        <f>IF('Inserte resultados de NI2'!F49="",'Paso 4-Uso industrial de Hg'!H16,'Inserte resultados de NI2'!F49)</f>
        <v>¿Presente?</v>
      </c>
      <c r="I42" s="428" t="str">
        <f>IF('Inserte resultados de NI2'!G49="",'Paso 4-Uso industrial de Hg'!I16,'Inserte resultados de NI2'!G49)</f>
        <v>¿Presente?</v>
      </c>
      <c r="J42" s="428" t="str">
        <f>IF('Inserte resultados de NI2'!H49="",'Paso 4-Uso industrial de Hg'!J16,'Inserte resultados de NI2'!H49)</f>
        <v>¿Presente?</v>
      </c>
      <c r="K42" s="428" t="str">
        <f>IF('Inserte resultados de NI2'!I49="",'Paso 4-Uso industrial de Hg'!K16,'Inserte resultados de NI2'!I49)</f>
        <v>¿Presente?</v>
      </c>
      <c r="L42" s="272" t="str">
        <f>'Paso 4-Uso industrial de Hg'!L16</f>
        <v>5.5.6</v>
      </c>
    </row>
    <row r="43" spans="1:13" ht="25">
      <c r="A43" s="263" t="str">
        <f>'Paso 4-Uso industrial de Hg'!A17</f>
        <v xml:space="preserve">Cremas y jabones aclarantes de la piel con productos químicos con mercurio </v>
      </c>
      <c r="B43" s="268" t="str">
        <f>IF(OR('Paso 4-Uso industrial de Hg'!B17=yes,'Paso 4-Uso industrial de Hg'!B17=no,'Paso 4-Uso industrial de Hg'!B17=que),'Paso 4-Uso industrial de Hg'!B17,  pres)</f>
        <v>¿Presente?</v>
      </c>
      <c r="C43" s="376">
        <f>'Paso 4-Uso industrial de Hg'!C17</f>
        <v>0</v>
      </c>
      <c r="D43" s="273" t="str">
        <f>'Paso 4-Uso industrial de Hg'!D17</f>
        <v>Mercurio utilizado para producción, kg/a</v>
      </c>
      <c r="E43" s="439" t="str">
        <f>IF('Inserte resultados de NI2'!C50="",'Paso 4-Uso industrial de Hg'!E17,'Inserte resultados de NI2'!C50)</f>
        <v>¿Presente?</v>
      </c>
      <c r="F43" s="428" t="str">
        <f>IF('Inserte resultados de NI2'!D50="",'Paso 4-Uso industrial de Hg'!F17,'Inserte resultados de NI2'!D50)</f>
        <v>¿Presente?</v>
      </c>
      <c r="G43" s="428" t="str">
        <f>IF('Inserte resultados de NI2'!E50="",'Paso 4-Uso industrial de Hg'!G17,'Inserte resultados de NI2'!E50)</f>
        <v>¿Presente?</v>
      </c>
      <c r="H43" s="428" t="str">
        <f>IF('Inserte resultados de NI2'!F50="",'Paso 4-Uso industrial de Hg'!H17,'Inserte resultados de NI2'!F50)</f>
        <v>¿Presente?</v>
      </c>
      <c r="I43" s="428" t="str">
        <f>IF('Inserte resultados de NI2'!G50="",'Paso 4-Uso industrial de Hg'!I17,'Inserte resultados de NI2'!G50)</f>
        <v>¿Presente?</v>
      </c>
      <c r="J43" s="428" t="str">
        <f>IF('Inserte resultados de NI2'!H50="",'Paso 4-Uso industrial de Hg'!J17,'Inserte resultados de NI2'!H50)</f>
        <v>¿Presente?</v>
      </c>
      <c r="K43" s="428" t="str">
        <f>IF('Inserte resultados de NI2'!I50="",'Paso 4-Uso industrial de Hg'!K17,'Inserte resultados de NI2'!I50)</f>
        <v>¿Presente?</v>
      </c>
      <c r="L43" s="272" t="str">
        <f>'Paso 4-Uso industrial de Hg'!L17</f>
        <v>5.5.7</v>
      </c>
    </row>
    <row r="44" spans="1:13" ht="26">
      <c r="A44" s="394" t="str">
        <f>'Paso 6-Prod. y sust. con Hg'!A6</f>
        <v>Uso y desecho de productos con contenido de mercurio</v>
      </c>
      <c r="B44" s="304"/>
      <c r="C44" s="276"/>
      <c r="D44" s="305"/>
      <c r="E44" s="305"/>
      <c r="F44" s="437"/>
      <c r="G44" s="437"/>
      <c r="H44" s="437"/>
      <c r="I44" s="437"/>
      <c r="J44" s="437"/>
      <c r="K44" s="437"/>
      <c r="L44" s="306"/>
    </row>
    <row r="45" spans="1:13" ht="25">
      <c r="A45" s="263" t="str">
        <f>'Paso 6-Prod. y sust. con Hg'!A7</f>
        <v>Empastes de amalgamas dentales (empastes de "plata")</v>
      </c>
      <c r="B45" s="268" t="str">
        <f>IF(OR('Paso 6-Prod. y sust. con Hg'!B7=yes,'Paso 6-Prod. y sust. con Hg'!B7=no,'Paso 6-Prod. y sust. con Hg'!B7=que),'Paso 6-Prod. y sust. con Hg'!B7,  pres)</f>
        <v>¿Presente?</v>
      </c>
      <c r="C45" s="376">
        <f>'Paso 6-Prod. y sust. con Hg'!C8</f>
        <v>0</v>
      </c>
      <c r="D45" s="376" t="str">
        <f>'Paso 6-Prod. y sust. con Hg'!D8</f>
        <v>Número de habitantes</v>
      </c>
      <c r="E45" s="439" t="str">
        <f>IF('Inserte resultados de NI2'!C52="",'Paso 6-Prod. y sust. con Hg'!F7,'Inserte resultados de NI2'!C52)</f>
        <v>¿Presente?</v>
      </c>
      <c r="F45" s="428" t="str">
        <f>IF('Inserte resultados de NI2'!D52="",'Paso 6-Prod. y sust. con Hg'!G7,'Inserte resultados de NI2'!D52)</f>
        <v>¿Presente?</v>
      </c>
      <c r="G45" s="428" t="str">
        <f>IF('Inserte resultados de NI2'!E52="",'Paso 6-Prod. y sust. con Hg'!H7,'Inserte resultados de NI2'!E52)</f>
        <v>¿Presente?</v>
      </c>
      <c r="H45" s="428" t="str">
        <f>IF('Inserte resultados de NI2'!F52="",'Paso 6-Prod. y sust. con Hg'!I7,'Inserte resultados de NI2'!F52)</f>
        <v>¿Presente?</v>
      </c>
      <c r="I45" s="428" t="str">
        <f>IF('Inserte resultados de NI2'!G52="",'Paso 6-Prod. y sust. con Hg'!J7,'Inserte resultados de NI2'!G52)</f>
        <v>¿Presente?</v>
      </c>
      <c r="J45" s="428" t="str">
        <f>IF('Inserte resultados de NI2'!H52="",'Paso 6-Prod. y sust. con Hg'!K7,'Inserte resultados de NI2'!H52)</f>
        <v>¿Presente?</v>
      </c>
      <c r="K45" s="428" t="str">
        <f>IF('Inserte resultados de NI2'!I52="",'Paso 6-Prod. y sust. con Hg'!L7,'Inserte resultados de NI2'!I52)</f>
        <v>¿Presente?</v>
      </c>
      <c r="L45" s="272" t="str">
        <f>'Paso 6-Prod. y sust. con Hg'!M7</f>
        <v>5.6.1</v>
      </c>
    </row>
    <row r="46" spans="1:13">
      <c r="A46" s="263" t="str">
        <f>'Paso 6-Prod. y sust. con Hg'!A15</f>
        <v>Termómetros</v>
      </c>
      <c r="B46" s="268" t="str">
        <f>IF(OR('Paso 6-Prod. y sust. con Hg'!B15=yes,'Paso 6-Prod. y sust. con Hg'!B15=no,'Paso 6-Prod. y sust. con Hg'!B15=que),'Paso 6-Prod. y sust. con Hg'!B15,  pres)</f>
        <v>¿Presente?</v>
      </c>
      <c r="C46" s="376">
        <f>'Paso 6-Prod. y sust. con Hg'!C15</f>
        <v>0</v>
      </c>
      <c r="D46" s="376" t="str">
        <f>'Paso 6-Prod. y sust. con Hg'!D16</f>
        <v>Artículos vendidos/a</v>
      </c>
      <c r="E46" s="439" t="str">
        <f>IF('Inserte resultados de NI2'!C53="",'Paso 6-Prod. y sust. con Hg'!F15,'Inserte resultados de NI2'!C53)</f>
        <v>¿Presente?</v>
      </c>
      <c r="F46" s="428" t="str">
        <f>IF('Inserte resultados de NI2'!D53="",'Paso 6-Prod. y sust. con Hg'!G15,'Inserte resultados de NI2'!D53)</f>
        <v>¿Presente?</v>
      </c>
      <c r="G46" s="428" t="str">
        <f>IF('Inserte resultados de NI2'!E53="",'Paso 6-Prod. y sust. con Hg'!H15,'Inserte resultados de NI2'!E53)</f>
        <v>¿Presente?</v>
      </c>
      <c r="H46" s="428" t="str">
        <f>IF('Inserte resultados de NI2'!F53="",'Paso 6-Prod. y sust. con Hg'!I15,'Inserte resultados de NI2'!F53)</f>
        <v>¿Presente?</v>
      </c>
      <c r="I46" s="428" t="str">
        <f>IF('Inserte resultados de NI2'!G53="",'Paso 6-Prod. y sust. con Hg'!J15,'Inserte resultados de NI2'!G53)</f>
        <v>¿Presente?</v>
      </c>
      <c r="J46" s="428" t="str">
        <f>IF('Inserte resultados de NI2'!H53="",'Paso 6-Prod. y sust. con Hg'!K15,'Inserte resultados de NI2'!H53)</f>
        <v>¿Presente?</v>
      </c>
      <c r="K46" s="428" t="str">
        <f>IF('Inserte resultados de NI2'!I53="",'Paso 6-Prod. y sust. con Hg'!L15,'Inserte resultados de NI2'!I53)</f>
        <v>¿Presente?</v>
      </c>
      <c r="L46" s="272" t="str">
        <f>'Paso 6-Prod. y sust. con Hg'!M15</f>
        <v>5.5.1</v>
      </c>
      <c r="M46" s="543"/>
    </row>
    <row r="47" spans="1:13">
      <c r="A47" s="263" t="str">
        <f>'Paso 6-Prod. y sust. con Hg'!A20</f>
        <v>Conmutadores eléctricos y relés con mercurio</v>
      </c>
      <c r="B47" s="268" t="str">
        <f>IF(OR('Paso 6-Prod. y sust. con Hg'!B20=yes,'Paso 6-Prod. y sust. con Hg'!B20=no,'Paso 6-Prod. y sust. con Hg'!B20=que),'Paso 6-Prod. y sust. con Hg'!B20,  pres)</f>
        <v>¿Presente?</v>
      </c>
      <c r="C47" s="376">
        <f>'Paso 6-Prod. y sust. con Hg'!C20</f>
        <v>0</v>
      </c>
      <c r="D47" s="273">
        <f>'Paso 6-Prod. y sust. con Hg'!D20</f>
        <v>0</v>
      </c>
      <c r="E47" s="439" t="str">
        <f>IF('Inserte resultados de NI2'!C54="",'Paso 6-Prod. y sust. con Hg'!F20,'Inserte resultados de NI2'!C54)</f>
        <v>¿Presente?</v>
      </c>
      <c r="F47" s="428" t="str">
        <f>IF('Inserte resultados de NI2'!D54="",'Paso 6-Prod. y sust. con Hg'!G20,'Inserte resultados de NI2'!D54)</f>
        <v>¿Presente?</v>
      </c>
      <c r="G47" s="428" t="str">
        <f>IF('Inserte resultados de NI2'!E54="",'Paso 6-Prod. y sust. con Hg'!H20,'Inserte resultados de NI2'!E54)</f>
        <v>¿Presente?</v>
      </c>
      <c r="H47" s="428" t="str">
        <f>IF('Inserte resultados de NI2'!F54="",'Paso 6-Prod. y sust. con Hg'!I20,'Inserte resultados de NI2'!F54)</f>
        <v>¿Presente?</v>
      </c>
      <c r="I47" s="428" t="str">
        <f>IF('Inserte resultados de NI2'!G54="",'Paso 6-Prod. y sust. con Hg'!J20,'Inserte resultados de NI2'!G54)</f>
        <v>¿Presente?</v>
      </c>
      <c r="J47" s="428" t="str">
        <f>IF('Inserte resultados de NI2'!H54="",'Paso 6-Prod. y sust. con Hg'!K20,'Inserte resultados de NI2'!H54)</f>
        <v>¿Presente?</v>
      </c>
      <c r="K47" s="428" t="str">
        <f>IF('Inserte resultados de NI2'!I54="",'Paso 6-Prod. y sust. con Hg'!L20,'Inserte resultados de NI2'!I54)</f>
        <v>¿Presente?</v>
      </c>
      <c r="L47" s="272" t="str">
        <f>'Paso 6-Prod. y sust. con Hg'!M20</f>
        <v>5.5.2</v>
      </c>
    </row>
    <row r="48" spans="1:13">
      <c r="A48" s="263" t="str">
        <f>'Paso 6-Prod. y sust. con Hg'!A23</f>
        <v>Fuentes de luz con mercurio</v>
      </c>
      <c r="B48" s="268" t="str">
        <f>IF(OR('Paso 6-Prod. y sust. con Hg'!B23=yes,'Paso 6-Prod. y sust. con Hg'!B23=no,'Paso 6-Prod. y sust. con Hg'!B23=que),'Paso 6-Prod. y sust. con Hg'!B23,  pres)</f>
        <v>¿Presente?</v>
      </c>
      <c r="C48" s="376">
        <f>'Paso 6-Prod. y sust. con Hg'!C23</f>
        <v>0</v>
      </c>
      <c r="D48" s="273" t="str">
        <f>'Paso 6-Prod. y sust. con Hg'!D23</f>
        <v>Pilas vendidas, t/a</v>
      </c>
      <c r="E48" s="439" t="str">
        <f>IF('Inserte resultados de NI2'!C55="",'Paso 6-Prod. y sust. con Hg'!F23,'Inserte resultados de NI2'!C55)</f>
        <v>¿Presente?</v>
      </c>
      <c r="F48" s="428" t="str">
        <f>IF('Inserte resultados de NI2'!D55="",'Paso 6-Prod. y sust. con Hg'!G23,'Inserte resultados de NI2'!D55)</f>
        <v>¿Presente?</v>
      </c>
      <c r="G48" s="428" t="str">
        <f>IF('Inserte resultados de NI2'!E55="",'Paso 6-Prod. y sust. con Hg'!H23,'Inserte resultados de NI2'!E55)</f>
        <v>¿Presente?</v>
      </c>
      <c r="H48" s="428" t="str">
        <f>IF('Inserte resultados de NI2'!F55="",'Paso 6-Prod. y sust. con Hg'!I23,'Inserte resultados de NI2'!F55)</f>
        <v>¿Presente?</v>
      </c>
      <c r="I48" s="428" t="str">
        <f>IF('Inserte resultados de NI2'!G55="",'Paso 6-Prod. y sust. con Hg'!J23,'Inserte resultados de NI2'!G55)</f>
        <v>¿Presente?</v>
      </c>
      <c r="J48" s="428" t="str">
        <f>IF('Inserte resultados de NI2'!H55="",'Paso 6-Prod. y sust. con Hg'!K23,'Inserte resultados de NI2'!H55)</f>
        <v>¿Presente?</v>
      </c>
      <c r="K48" s="428" t="str">
        <f>IF('Inserte resultados de NI2'!I55="",'Paso 6-Prod. y sust. con Hg'!L23,'Inserte resultados de NI2'!I55)</f>
        <v>¿Presente?</v>
      </c>
      <c r="L48" s="272" t="str">
        <f>'Paso 6-Prod. y sust. con Hg'!M23</f>
        <v>5.5.3</v>
      </c>
    </row>
    <row r="49" spans="1:12">
      <c r="A49" s="368" t="str">
        <f>'Paso 6-Prod. y sust. con Hg'!A28</f>
        <v>Pilas con mercurio</v>
      </c>
      <c r="B49" s="268" t="str">
        <f>IF(OR('Paso 6-Prod. y sust. con Hg'!B28=yes,'Paso 6-Prod. y sust. con Hg'!B28=no,'Paso 6-Prod. y sust. con Hg'!B28=que),'Paso 6-Prod. y sust. con Hg'!B28,  pres)</f>
        <v>¿Presente?</v>
      </c>
      <c r="C49" s="376">
        <f>'Paso 6-Prod. y sust. con Hg'!C28</f>
        <v>0</v>
      </c>
      <c r="D49" s="273">
        <f>'Paso 6-Prod. y sust. con Hg'!D28</f>
        <v>0</v>
      </c>
      <c r="E49" s="439" t="str">
        <f>IF('Inserte resultados de NI2'!C56="",'Paso 6-Prod. y sust. con Hg'!F28,'Inserte resultados de NI2'!C56)</f>
        <v>¿Presente?</v>
      </c>
      <c r="F49" s="428" t="str">
        <f>IF('Inserte resultados de NI2'!D56="",'Paso 6-Prod. y sust. con Hg'!G28,'Inserte resultados de NI2'!D56)</f>
        <v>¿Presente?</v>
      </c>
      <c r="G49" s="428" t="str">
        <f>IF('Inserte resultados de NI2'!E56="",'Paso 6-Prod. y sust. con Hg'!H28,'Inserte resultados de NI2'!E56)</f>
        <v>¿Presente?</v>
      </c>
      <c r="H49" s="428" t="str">
        <f>IF('Inserte resultados de NI2'!F56="",'Paso 6-Prod. y sust. con Hg'!I28,'Inserte resultados de NI2'!F56)</f>
        <v>¿Presente?</v>
      </c>
      <c r="I49" s="428" t="str">
        <f>IF('Inserte resultados de NI2'!G56="",'Paso 6-Prod. y sust. con Hg'!J28,'Inserte resultados de NI2'!G56)</f>
        <v>¿Presente?</v>
      </c>
      <c r="J49" s="428" t="str">
        <f>IF('Inserte resultados de NI2'!H56="",'Paso 6-Prod. y sust. con Hg'!K28,'Inserte resultados de NI2'!H56)</f>
        <v>¿Presente?</v>
      </c>
      <c r="K49" s="428" t="str">
        <f>IF('Inserte resultados de NI2'!I56="",'Paso 6-Prod. y sust. con Hg'!L28,'Inserte resultados de NI2'!I56)</f>
        <v>¿Presente?</v>
      </c>
      <c r="L49" s="272" t="str">
        <f>'Paso 6-Prod. y sust. con Hg'!M28</f>
        <v>5.5.4</v>
      </c>
    </row>
    <row r="50" spans="1:12" ht="25">
      <c r="A50" s="263" t="str">
        <f>'Paso 6-Prod. y sust. con Hg'!A33</f>
        <v>Poliuretano (PU, PUR) producido con catalizador de mercurio</v>
      </c>
      <c r="B50" s="268" t="str">
        <f>IF(OR('Paso 6-Prod. y sust. con Hg'!B33=yes,'Paso 6-Prod. y sust. con Hg'!B33=no,'Paso 6-Prod. y sust. con Hg'!B33=que),'Paso 6-Prod. y sust. con Hg'!B33,  pres)</f>
        <v>¿Presente?</v>
      </c>
      <c r="C50" s="376">
        <f>'Paso 6-Prod. y sust. con Hg'!C33</f>
        <v>0</v>
      </c>
      <c r="D50" s="273" t="str">
        <f>'Paso 6-Prod. y sust. con Hg'!D33</f>
        <v>Artículos vendidos/a</v>
      </c>
      <c r="E50" s="439" t="str">
        <f>IF('Inserte resultados de NI2'!C57="",'Paso 6-Prod. y sust. con Hg'!F33,'Inserte resultados de NI2'!C57)</f>
        <v>¿Presente?</v>
      </c>
      <c r="F50" s="428" t="str">
        <f>IF('Inserte resultados de NI2'!D57="",'Paso 6-Prod. y sust. con Hg'!G33,'Inserte resultados de NI2'!D57)</f>
        <v>¿Presente?</v>
      </c>
      <c r="G50" s="428" t="str">
        <f>IF('Inserte resultados de NI2'!E57="",'Paso 6-Prod. y sust. con Hg'!H33,'Inserte resultados de NI2'!E57)</f>
        <v>¿Presente?</v>
      </c>
      <c r="H50" s="428" t="str">
        <f>IF('Inserte resultados de NI2'!F57="",'Paso 6-Prod. y sust. con Hg'!I33,'Inserte resultados de NI2'!F57)</f>
        <v>¿Presente?</v>
      </c>
      <c r="I50" s="428" t="str">
        <f>IF('Inserte resultados de NI2'!G57="",'Paso 6-Prod. y sust. con Hg'!J33,'Inserte resultados de NI2'!G57)</f>
        <v>¿Presente?</v>
      </c>
      <c r="J50" s="428" t="str">
        <f>IF('Inserte resultados de NI2'!H57="",'Paso 6-Prod. y sust. con Hg'!K33,'Inserte resultados de NI2'!H57)</f>
        <v>¿Presente?</v>
      </c>
      <c r="K50" s="428" t="str">
        <f>IF('Inserte resultados de NI2'!I57="",'Paso 6-Prod. y sust. con Hg'!L33,'Inserte resultados de NI2'!I57)</f>
        <v>¿Presente?</v>
      </c>
      <c r="L50" s="272" t="str">
        <f>'Paso 6-Prod. y sust. con Hg'!M33</f>
        <v>5.5.5.</v>
      </c>
    </row>
    <row r="51" spans="1:12">
      <c r="A51" s="263" t="str">
        <f>'Paso 6-Prod. y sust. con Hg'!A36</f>
        <v>Pinturas con conservantes de mercurio</v>
      </c>
      <c r="B51" s="268" t="str">
        <f>IF(OR('Paso 6-Prod. y sust. con Hg'!B36=yes,'Paso 6-Prod. y sust. con Hg'!B36=no,'Paso 6-Prod. y sust. con Hg'!B36=que),'Paso 6-Prod. y sust. con Hg'!B36,  pres)</f>
        <v>¿Presente?</v>
      </c>
      <c r="C51" s="376">
        <f>'Paso 6-Prod. y sust. con Hg'!C36</f>
        <v>0</v>
      </c>
      <c r="D51" s="273" t="str">
        <f>'Paso 6-Prod. y sust. con Hg'!D36</f>
        <v>Paint sold, t/a</v>
      </c>
      <c r="E51" s="439" t="str">
        <f>IF('Inserte resultados de NI2'!C58="",'Paso 6-Prod. y sust. con Hg'!F36,'Inserte resultados de NI2'!C58)</f>
        <v>¿Presente?</v>
      </c>
      <c r="F51" s="428" t="str">
        <f>IF('Inserte resultados de NI2'!D58="",'Paso 6-Prod. y sust. con Hg'!G36,'Inserte resultados de NI2'!D58)</f>
        <v>¿Presente?</v>
      </c>
      <c r="G51" s="428" t="str">
        <f>IF('Inserte resultados de NI2'!E58="",'Paso 6-Prod. y sust. con Hg'!H36,'Inserte resultados de NI2'!E58)</f>
        <v>¿Presente?</v>
      </c>
      <c r="H51" s="428" t="str">
        <f>IF('Inserte resultados de NI2'!F58="",'Paso 6-Prod. y sust. con Hg'!I36,'Inserte resultados de NI2'!F58)</f>
        <v>¿Presente?</v>
      </c>
      <c r="I51" s="428" t="str">
        <f>IF('Inserte resultados de NI2'!G58="",'Paso 6-Prod. y sust. con Hg'!J36,'Inserte resultados de NI2'!G58)</f>
        <v>¿Presente?</v>
      </c>
      <c r="J51" s="428" t="str">
        <f>IF('Inserte resultados de NI2'!H58="",'Paso 6-Prod. y sust. con Hg'!K36,'Inserte resultados de NI2'!H58)</f>
        <v>¿Presente?</v>
      </c>
      <c r="K51" s="428" t="str">
        <f>IF('Inserte resultados de NI2'!I58="",'Paso 6-Prod. y sust. con Hg'!L36,'Inserte resultados de NI2'!I58)</f>
        <v>¿Presente?</v>
      </c>
      <c r="L51" s="272" t="str">
        <f>'Paso 6-Prod. y sust. con Hg'!M36</f>
        <v>5.5.7</v>
      </c>
    </row>
    <row r="52" spans="1:12" ht="25">
      <c r="A52" s="263" t="str">
        <f>'Paso 6-Prod. y sust. con Hg'!A38</f>
        <v>Cremas y jabones aclarantes de la piel con productos químicos con mercurio</v>
      </c>
      <c r="B52" s="268" t="str">
        <f>IF(OR('Paso 6-Prod. y sust. con Hg'!B38=yes,'Paso 6-Prod. y sust. con Hg'!B38=no,'Paso 6-Prod. y sust. con Hg'!B38=que),'Paso 6-Prod. y sust. con Hg'!B38,  pres)</f>
        <v>¿Presente?</v>
      </c>
      <c r="C52" s="376">
        <f>'Paso 6-Prod. y sust. con Hg'!C38</f>
        <v>0</v>
      </c>
      <c r="D52" s="273" t="str">
        <f>'Paso 6-Prod. y sust. con Hg'!D38</f>
        <v>Cream or soap sold, t/a</v>
      </c>
      <c r="E52" s="439" t="str">
        <f>IF('Inserte resultados de NI2'!C59="",'Paso 6-Prod. y sust. con Hg'!F38,'Inserte resultados de NI2'!C59)</f>
        <v>¿Presente?</v>
      </c>
      <c r="F52" s="428" t="str">
        <f>IF('Inserte resultados de NI2'!D59="",'Paso 6-Prod. y sust. con Hg'!G38,'Inserte resultados de NI2'!D59)</f>
        <v>¿Presente?</v>
      </c>
      <c r="G52" s="428" t="str">
        <f>IF('Inserte resultados de NI2'!E59="",'Paso 6-Prod. y sust. con Hg'!H38,'Inserte resultados de NI2'!E59)</f>
        <v>¿Presente?</v>
      </c>
      <c r="H52" s="428" t="str">
        <f>IF('Inserte resultados de NI2'!F59="",'Paso 6-Prod. y sust. con Hg'!I38,'Inserte resultados de NI2'!F59)</f>
        <v>¿Presente?</v>
      </c>
      <c r="I52" s="428" t="str">
        <f>IF('Inserte resultados de NI2'!G59="",'Paso 6-Prod. y sust. con Hg'!J38,'Inserte resultados de NI2'!G59)</f>
        <v>¿Presente?</v>
      </c>
      <c r="J52" s="428" t="str">
        <f>IF('Inserte resultados de NI2'!H59="",'Paso 6-Prod. y sust. con Hg'!K38,'Inserte resultados de NI2'!H59)</f>
        <v>¿Presente?</v>
      </c>
      <c r="K52" s="428" t="str">
        <f>IF('Inserte resultados de NI2'!I59="",'Paso 6-Prod. y sust. con Hg'!L38,'Inserte resultados de NI2'!I59)</f>
        <v>¿Presente?</v>
      </c>
      <c r="L52" s="272" t="str">
        <f>'Paso 6-Prod. y sust. con Hg'!M38</f>
        <v>5.5.8</v>
      </c>
    </row>
    <row r="53" spans="1:12" ht="25">
      <c r="A53" s="263" t="str">
        <f>'Paso 6-Prod. y sust. con Hg'!A40</f>
        <v>Dispositivos médicos para tomar la presión sanguínea (esfingomanómetros de mercurio)</v>
      </c>
      <c r="B53" s="268" t="str">
        <f>IF(OR('Paso 6-Prod. y sust. con Hg'!B40=yes,'Paso 6-Prod. y sust. con Hg'!B40=no,'Paso 6-Prod. y sust. con Hg'!B40=que),'Paso 6-Prod. y sust. con Hg'!B40,  pres)</f>
        <v>¿Presente?</v>
      </c>
      <c r="C53" s="376">
        <f>'Paso 6-Prod. y sust. con Hg'!C40</f>
        <v>0</v>
      </c>
      <c r="D53" s="273" t="str">
        <f>'Paso 6-Prod. y sust. con Hg'!D40</f>
        <v>Items sold/a</v>
      </c>
      <c r="E53" s="439" t="str">
        <f>IF('Inserte resultados de NI2'!C60="",'Paso 6-Prod. y sust. con Hg'!F40,'Inserte resultados de NI2'!C60)</f>
        <v>¿Presente?</v>
      </c>
      <c r="F53" s="428" t="str">
        <f>IF('Inserte resultados de NI2'!D60="",'Paso 6-Prod. y sust. con Hg'!G40,'Inserte resultados de NI2'!D60)</f>
        <v>¿Presente?</v>
      </c>
      <c r="G53" s="428" t="str">
        <f>IF('Inserte resultados de NI2'!E60="",'Paso 6-Prod. y sust. con Hg'!H40,'Inserte resultados de NI2'!E60)</f>
        <v>¿Presente?</v>
      </c>
      <c r="H53" s="428" t="str">
        <f>IF('Inserte resultados de NI2'!F60="",'Paso 6-Prod. y sust. con Hg'!I40,'Inserte resultados de NI2'!F60)</f>
        <v>¿Presente?</v>
      </c>
      <c r="I53" s="428" t="str">
        <f>IF('Inserte resultados de NI2'!G60="",'Paso 6-Prod. y sust. con Hg'!J40,'Inserte resultados de NI2'!G60)</f>
        <v>¿Presente?</v>
      </c>
      <c r="J53" s="428" t="str">
        <f>IF('Inserte resultados de NI2'!H60="",'Paso 6-Prod. y sust. con Hg'!K40,'Inserte resultados de NI2'!H60)</f>
        <v>¿Presente?</v>
      </c>
      <c r="K53" s="428" t="str">
        <f>IF('Inserte resultados de NI2'!I60="",'Paso 6-Prod. y sust. con Hg'!L40,'Inserte resultados de NI2'!I60)</f>
        <v>¿Presente?</v>
      </c>
      <c r="L53" s="272" t="str">
        <f>'Paso 6-Prod. y sust. con Hg'!M40</f>
        <v>5.6.2</v>
      </c>
    </row>
    <row r="54" spans="1:12">
      <c r="A54" s="263" t="str">
        <f>'Paso 6-Prod. y sust. con Hg'!A42</f>
        <v>Otros manómetros e indicadores con mercurio</v>
      </c>
      <c r="B54" s="268" t="str">
        <f>IF(OR('Paso 6-Prod. y sust. con Hg'!B42=yes,'Paso 6-Prod. y sust. con Hg'!B42=no,'Paso 6-Prod. y sust. con Hg'!B42=que),'Paso 6-Prod. y sust. con Hg'!B42,  pres)</f>
        <v>¿Presente?</v>
      </c>
      <c r="C54" s="376">
        <f>'Paso 6-Prod. y sust. con Hg'!C42</f>
        <v>0</v>
      </c>
      <c r="D54" s="273" t="str">
        <f>'Paso 6-Prod. y sust. con Hg'!D42</f>
        <v>Número de habitantes</v>
      </c>
      <c r="E54" s="439" t="str">
        <f>IF('Inserte resultados de NI2'!C61="",'Paso 6-Prod. y sust. con Hg'!F42,'Inserte resultados de NI2'!C61)</f>
        <v>¿Presente?</v>
      </c>
      <c r="F54" s="428" t="str">
        <f>IF('Inserte resultados de NI2'!D61="",'Paso 6-Prod. y sust. con Hg'!G42,'Inserte resultados de NI2'!D61)</f>
        <v>¿Presente?</v>
      </c>
      <c r="G54" s="428" t="str">
        <f>IF('Inserte resultados de NI2'!E61="",'Paso 6-Prod. y sust. con Hg'!H42,'Inserte resultados de NI2'!E61)</f>
        <v>¿Presente?</v>
      </c>
      <c r="H54" s="428" t="str">
        <f>IF('Inserte resultados de NI2'!F61="",'Paso 6-Prod. y sust. con Hg'!I42,'Inserte resultados de NI2'!F61)</f>
        <v>¿Presente?</v>
      </c>
      <c r="I54" s="428" t="str">
        <f>IF('Inserte resultados de NI2'!G61="",'Paso 6-Prod. y sust. con Hg'!J42,'Inserte resultados de NI2'!G61)</f>
        <v>¿Presente?</v>
      </c>
      <c r="J54" s="428" t="str">
        <f>IF('Inserte resultados de NI2'!H61="",'Paso 6-Prod. y sust. con Hg'!K42,'Inserte resultados de NI2'!H61)</f>
        <v>¿Presente?</v>
      </c>
      <c r="K54" s="428" t="str">
        <f>IF('Inserte resultados de NI2'!I61="",'Paso 6-Prod. y sust. con Hg'!L42,'Inserte resultados de NI2'!I61)</f>
        <v>¿Presente?</v>
      </c>
      <c r="L54" s="272" t="str">
        <f>'Paso 6-Prod. y sust. con Hg'!M42</f>
        <v>5.6.2</v>
      </c>
    </row>
    <row r="55" spans="1:12">
      <c r="A55" s="263" t="str">
        <f>'Paso 6-Prod. y sust. con Hg'!A45</f>
        <v>Productos químicos de laboratorio</v>
      </c>
      <c r="B55" s="268" t="str">
        <f>IF(OR('Paso 6-Prod. y sust. con Hg'!B45=yes,'Paso 6-Prod. y sust. con Hg'!B45=no,'Paso 6-Prod. y sust. con Hg'!B45=que),'Paso 6-Prod. y sust. con Hg'!B45,  pres)</f>
        <v>¿Presente?</v>
      </c>
      <c r="C55" s="376">
        <f>'Paso 6-Prod. y sust. con Hg'!C45</f>
        <v>0</v>
      </c>
      <c r="D55" s="273" t="str">
        <f>'Paso 6-Prod. y sust. con Hg'!D45</f>
        <v>Número de habitantes</v>
      </c>
      <c r="E55" s="439" t="str">
        <f>IF('Inserte resultados de NI2'!C62="",'Paso 6-Prod. y sust. con Hg'!F45,'Inserte resultados de NI2'!C62)</f>
        <v>¿Presente?</v>
      </c>
      <c r="F55" s="428" t="str">
        <f>IF('Inserte resultados de NI2'!D62="",'Paso 6-Prod. y sust. con Hg'!G45,'Inserte resultados de NI2'!D62)</f>
        <v>¿Presente?</v>
      </c>
      <c r="G55" s="428" t="str">
        <f>IF('Inserte resultados de NI2'!E62="",'Paso 6-Prod. y sust. con Hg'!H45,'Inserte resultados de NI2'!E62)</f>
        <v>¿Presente?</v>
      </c>
      <c r="H55" s="428" t="str">
        <f>IF('Inserte resultados de NI2'!F62="",'Paso 6-Prod. y sust. con Hg'!I45,'Inserte resultados de NI2'!F62)</f>
        <v>¿Presente?</v>
      </c>
      <c r="I55" s="428" t="str">
        <f>IF('Inserte resultados de NI2'!G62="",'Paso 6-Prod. y sust. con Hg'!J45,'Inserte resultados de NI2'!G62)</f>
        <v>¿Presente?</v>
      </c>
      <c r="J55" s="428" t="str">
        <f>IF('Inserte resultados de NI2'!H62="",'Paso 6-Prod. y sust. con Hg'!K45,'Inserte resultados de NI2'!H62)</f>
        <v>¿Presente?</v>
      </c>
      <c r="K55" s="428" t="str">
        <f>IF('Inserte resultados de NI2'!I62="",'Paso 6-Prod. y sust. con Hg'!L45,'Inserte resultados de NI2'!I62)</f>
        <v>¿Presente?</v>
      </c>
      <c r="L55" s="272" t="str">
        <f>'Paso 6-Prod. y sust. con Hg'!M45</f>
        <v>5.6.3</v>
      </c>
    </row>
    <row r="56" spans="1:12">
      <c r="A56" s="263" t="str">
        <f>'Paso 6-Prod. y sust. con Hg'!A48</f>
        <v xml:space="preserve">Demás equipos médicos y de laboratorio con mercurio </v>
      </c>
      <c r="B56" s="268" t="str">
        <f>IF(OR('Paso 6-Prod. y sust. con Hg'!B48=yes,'Paso 6-Prod. y sust. con Hg'!B48=no,'Paso 6-Prod. y sust. con Hg'!B48=que),'Paso 6-Prod. y sust. con Hg'!B48,  pres)</f>
        <v>¿Presente?</v>
      </c>
      <c r="C56" s="376">
        <f>'Paso 6-Prod. y sust. con Hg'!C48</f>
        <v>0</v>
      </c>
      <c r="D56" s="273" t="str">
        <f>'Paso 6-Prod. y sust. con Hg'!D48</f>
        <v>Número de habitantes</v>
      </c>
      <c r="E56" s="439" t="str">
        <f>IF('Inserte resultados de NI2'!C63="",'Paso 6-Prod. y sust. con Hg'!F48,'Inserte resultados de NI2'!C63)</f>
        <v>¿Presente?</v>
      </c>
      <c r="F56" s="428" t="str">
        <f>IF('Inserte resultados de NI2'!D63="",'Paso 6-Prod. y sust. con Hg'!G48,'Inserte resultados de NI2'!D63)</f>
        <v>¿Presente?</v>
      </c>
      <c r="G56" s="428" t="str">
        <f>IF('Inserte resultados de NI2'!E63="",'Paso 6-Prod. y sust. con Hg'!H48,'Inserte resultados de NI2'!E63)</f>
        <v>¿Presente?</v>
      </c>
      <c r="H56" s="428" t="str">
        <f>IF('Inserte resultados de NI2'!F63="",'Paso 6-Prod. y sust. con Hg'!I48,'Inserte resultados de NI2'!F63)</f>
        <v>¿Presente?</v>
      </c>
      <c r="I56" s="428" t="str">
        <f>IF('Inserte resultados de NI2'!G63="",'Paso 6-Prod. y sust. con Hg'!J48,'Inserte resultados de NI2'!G63)</f>
        <v>¿Presente?</v>
      </c>
      <c r="J56" s="428" t="str">
        <f>IF('Inserte resultados de NI2'!H63="",'Paso 6-Prod. y sust. con Hg'!K48,'Inserte resultados de NI2'!H63)</f>
        <v>¿Presente?</v>
      </c>
      <c r="K56" s="428" t="str">
        <f>IF('Inserte resultados de NI2'!I63="",'Paso 6-Prod. y sust. con Hg'!L48,'Inserte resultados de NI2'!I63)</f>
        <v>¿Presente?</v>
      </c>
      <c r="L56" s="272" t="str">
        <f>'Paso 6-Prod. y sust. con Hg'!M48</f>
        <v>5.6.3, 5.6.5</v>
      </c>
    </row>
    <row r="57" spans="1:12" ht="13">
      <c r="A57" s="394" t="str">
        <f>'Paso 5-Trat.+recicl. desechos'!A8</f>
        <v>Producción de metales reciclados</v>
      </c>
      <c r="B57" s="304"/>
      <c r="C57" s="276"/>
      <c r="D57" s="305"/>
      <c r="E57" s="305"/>
      <c r="F57" s="437"/>
      <c r="G57" s="437"/>
      <c r="H57" s="437"/>
      <c r="I57" s="437"/>
      <c r="J57" s="437"/>
      <c r="K57" s="437"/>
      <c r="L57" s="306"/>
    </row>
    <row r="58" spans="1:12" ht="25">
      <c r="A58" s="263" t="str">
        <f>'Paso 5-Trat.+recicl. desechos'!A9</f>
        <v>Producción de mercurio reciclado ("producción secundaria")</v>
      </c>
      <c r="B58" s="268" t="str">
        <f>IF(OR('Paso 5-Trat.+recicl. desechos'!B9=yes,'Paso 5-Trat.+recicl. desechos'!B9=no,'Paso 5-Trat.+recicl. desechos'!B9=que),'Paso 5-Trat.+recicl. desechos'!B9,  pres)</f>
        <v>¿Presente?</v>
      </c>
      <c r="C58" s="376">
        <f>'Paso 5-Trat.+recicl. desechos'!C9</f>
        <v>0</v>
      </c>
      <c r="D58" s="273" t="str">
        <f>'Paso 5-Trat.+recicl. desechos'!D9</f>
        <v xml:space="preserve">Mercurio producido, kg/a </v>
      </c>
      <c r="E58" s="439" t="str">
        <f>IF('Inserte resultados de NI2'!C65="",'Paso 5-Trat.+recicl. desechos'!F9,'Inserte resultados de NI2'!C65)</f>
        <v>¿Presente?</v>
      </c>
      <c r="F58" s="428" t="str">
        <f>IF('Inserte resultados de NI2'!D65="",'Paso 5-Trat.+recicl. desechos'!G9,'Inserte resultados de NI2'!D65)</f>
        <v>¿Presente?</v>
      </c>
      <c r="G58" s="428" t="str">
        <f>IF('Inserte resultados de NI2'!E65="",'Paso 5-Trat.+recicl. desechos'!H9,'Inserte resultados de NI2'!E65)</f>
        <v>¿Presente?</v>
      </c>
      <c r="H58" s="428" t="str">
        <f>IF('Inserte resultados de NI2'!F65="",'Paso 5-Trat.+recicl. desechos'!I9,'Inserte resultados de NI2'!F65)</f>
        <v>¿Presente?</v>
      </c>
      <c r="I58" s="428" t="str">
        <f>IF('Inserte resultados de NI2'!G65="",'Paso 5-Trat.+recicl. desechos'!J9,'Inserte resultados de NI2'!G65)</f>
        <v>¿Presente?</v>
      </c>
      <c r="J58" s="428" t="str">
        <f>IF('Inserte resultados de NI2'!H65="",'Paso 5-Trat.+recicl. desechos'!K9,'Inserte resultados de NI2'!H65)</f>
        <v>¿Presente?</v>
      </c>
      <c r="K58" s="428" t="str">
        <f>IF('Inserte resultados de NI2'!I65="",'Paso 5-Trat.+recicl. desechos'!L9,'Inserte resultados de NI2'!I65)</f>
        <v>¿Presente?</v>
      </c>
      <c r="L58" s="272" t="str">
        <f>'Paso 5-Trat.+recicl. desechos'!M9</f>
        <v>5.7.1</v>
      </c>
    </row>
    <row r="59" spans="1:12" ht="25">
      <c r="A59" s="263" t="str">
        <f>'Paso 5-Trat.+recicl. desechos'!A10</f>
        <v>Producción de metales ferrosos reciclados (hierro y acero)</v>
      </c>
      <c r="B59" s="268" t="str">
        <f>IF(OR('Paso 5-Trat.+recicl. desechos'!B10=yes,'Paso 5-Trat.+recicl. desechos'!B10=no,'Paso 5-Trat.+recicl. desechos'!B10=que),'Paso 5-Trat.+recicl. desechos'!B10,  pres)</f>
        <v>¿Presente?</v>
      </c>
      <c r="C59" s="376">
        <f>'Paso 5-Trat.+recicl. desechos'!C10</f>
        <v>0</v>
      </c>
      <c r="D59" s="273" t="str">
        <f>'Paso 5-Trat.+recicl. desechos'!D10</f>
        <v>Número de vehículos reciclados/a</v>
      </c>
      <c r="E59" s="439" t="str">
        <f>IF('Inserte resultados de NI2'!C66="",'Paso 5-Trat.+recicl. desechos'!F10,'Inserte resultados de NI2'!C66)</f>
        <v>¿Presente?</v>
      </c>
      <c r="F59" s="428" t="str">
        <f>IF('Inserte resultados de NI2'!D66="",'Paso 5-Trat.+recicl. desechos'!G10,'Inserte resultados de NI2'!D66)</f>
        <v>¿Presente?</v>
      </c>
      <c r="G59" s="428" t="str">
        <f>IF('Inserte resultados de NI2'!E66="",'Paso 5-Trat.+recicl. desechos'!H10,'Inserte resultados de NI2'!E66)</f>
        <v>¿Presente?</v>
      </c>
      <c r="H59" s="428" t="str">
        <f>IF('Inserte resultados de NI2'!F66="",'Paso 5-Trat.+recicl. desechos'!I10,'Inserte resultados de NI2'!F66)</f>
        <v>¿Presente?</v>
      </c>
      <c r="I59" s="428" t="str">
        <f>IF('Inserte resultados de NI2'!G66="",'Paso 5-Trat.+recicl. desechos'!J10,'Inserte resultados de NI2'!G66)</f>
        <v>¿Presente?</v>
      </c>
      <c r="J59" s="428" t="str">
        <f>IF('Inserte resultados de NI2'!H66="",'Paso 5-Trat.+recicl. desechos'!K10,'Inserte resultados de NI2'!H66)</f>
        <v>¿Presente?</v>
      </c>
      <c r="K59" s="428" t="str">
        <f>IF('Inserte resultados de NI2'!I66="",'Paso 5-Trat.+recicl. desechos'!L10,'Inserte resultados de NI2'!I66)</f>
        <v>¿Presente?</v>
      </c>
      <c r="L59" s="272" t="str">
        <f>'Paso 5-Trat.+recicl. desechos'!M10</f>
        <v>5.7.2</v>
      </c>
    </row>
    <row r="60" spans="1:12" ht="13">
      <c r="A60" s="394" t="str">
        <f>'Paso 5-Trat.+recicl. desechos'!A12</f>
        <v>Incineración de desechos</v>
      </c>
      <c r="B60" s="304"/>
      <c r="C60" s="276"/>
      <c r="D60" s="305"/>
      <c r="E60" s="439"/>
      <c r="F60" s="437"/>
      <c r="G60" s="437"/>
      <c r="H60" s="437"/>
      <c r="I60" s="437"/>
      <c r="J60" s="437"/>
      <c r="K60" s="437"/>
      <c r="L60" s="306"/>
    </row>
    <row r="61" spans="1:12">
      <c r="A61" s="368" t="str">
        <f>'Paso 5-Trat.+recicl. desechos'!A13</f>
        <v>Incineración de desechos municipales o generales</v>
      </c>
      <c r="B61" s="268" t="str">
        <f>IF(OR('Paso 5-Trat.+recicl. desechos'!B13=yes,'Paso 5-Trat.+recicl. desechos'!B13=no,'Paso 5-Trat.+recicl. desechos'!B13=que),'Paso 5-Trat.+recicl. desechos'!B13,  pres)</f>
        <v>¿Presente?</v>
      </c>
      <c r="C61" s="376">
        <f>'Paso 5-Trat.+recicl. desechos'!C13</f>
        <v>0</v>
      </c>
      <c r="D61" s="273" t="str">
        <f>'Paso 5-Trat.+recicl. desechos'!D13</f>
        <v xml:space="preserve">Incineración de desechos, t/a </v>
      </c>
      <c r="E61" s="439" t="str">
        <f>IF('Inserte resultados de NI2'!C68="",'Paso 5-Trat.+recicl. desechos'!F13,'Inserte resultados de NI2'!C68)</f>
        <v>¿Presente?</v>
      </c>
      <c r="F61" s="428" t="str">
        <f>IF('Inserte resultados de NI2'!D68="",'Paso 5-Trat.+recicl. desechos'!G13,'Inserte resultados de NI2'!D68)</f>
        <v>¿Presente?</v>
      </c>
      <c r="G61" s="428" t="str">
        <f>IF('Inserte resultados de NI2'!E68="",'Paso 5-Trat.+recicl. desechos'!H13,'Inserte resultados de NI2'!E68)</f>
        <v>¿Presente?</v>
      </c>
      <c r="H61" s="428" t="str">
        <f>IF('Inserte resultados de NI2'!F68="",'Paso 5-Trat.+recicl. desechos'!I13,'Inserte resultados de NI2'!F68)</f>
        <v>¿Presente?</v>
      </c>
      <c r="I61" s="428" t="str">
        <f>IF('Inserte resultados de NI2'!G68="",'Paso 5-Trat.+recicl. desechos'!J13,'Inserte resultados de NI2'!G68)</f>
        <v>¿Presente?</v>
      </c>
      <c r="J61" s="428" t="str">
        <f>IF('Inserte resultados de NI2'!H68="",'Paso 5-Trat.+recicl. desechos'!K13,'Inserte resultados de NI2'!H68)</f>
        <v>¿Presente?</v>
      </c>
      <c r="K61" s="428" t="str">
        <f>IF('Inserte resultados de NI2'!I68="",'Paso 5-Trat.+recicl. desechos'!L13,'Inserte resultados de NI2'!I68)</f>
        <v>¿Presente?</v>
      </c>
      <c r="L61" s="272" t="str">
        <f>'Paso 5-Trat.+recicl. desechos'!M13</f>
        <v>5.8.1</v>
      </c>
    </row>
    <row r="62" spans="1:12">
      <c r="A62" s="368" t="str">
        <f>'Paso 5-Trat.+recicl. desechos'!A16</f>
        <v>Incineración residuos peligrosos</v>
      </c>
      <c r="B62" s="268" t="str">
        <f>IF(OR('Paso 5-Trat.+recicl. desechos'!B16=yes,'Paso 5-Trat.+recicl. desechos'!B16=no,'Paso 5-Trat.+recicl. desechos'!B16=que),'Paso 5-Trat.+recicl. desechos'!B16,  pres)</f>
        <v>¿Presente?</v>
      </c>
      <c r="C62" s="376">
        <f>'Paso 5-Trat.+recicl. desechos'!C16</f>
        <v>0</v>
      </c>
      <c r="D62" s="273" t="str">
        <f>'Paso 5-Trat.+recicl. desechos'!D16</f>
        <v>Incineración de desechos, t/a</v>
      </c>
      <c r="E62" s="439" t="str">
        <f>IF('Inserte resultados de NI2'!C69="",'Paso 5-Trat.+recicl. desechos'!F16,'Inserte resultados de NI2'!C69)</f>
        <v>¿Presente?</v>
      </c>
      <c r="F62" s="428" t="str">
        <f>IF('Inserte resultados de NI2'!D69="",'Paso 5-Trat.+recicl. desechos'!G16,'Inserte resultados de NI2'!D69)</f>
        <v>¿Presente?</v>
      </c>
      <c r="G62" s="428" t="str">
        <f>IF('Inserte resultados de NI2'!E69="",'Paso 5-Trat.+recicl. desechos'!H16,'Inserte resultados de NI2'!E69)</f>
        <v>¿Presente?</v>
      </c>
      <c r="H62" s="428" t="str">
        <f>IF('Inserte resultados de NI2'!F69="",'Paso 5-Trat.+recicl. desechos'!I16,'Inserte resultados de NI2'!F69)</f>
        <v>¿Presente?</v>
      </c>
      <c r="I62" s="428" t="str">
        <f>IF('Inserte resultados de NI2'!G69="",'Paso 5-Trat.+recicl. desechos'!J16,'Inserte resultados de NI2'!G69)</f>
        <v>¿Presente?</v>
      </c>
      <c r="J62" s="428" t="str">
        <f>IF('Inserte resultados de NI2'!H69="",'Paso 5-Trat.+recicl. desechos'!K16,'Inserte resultados de NI2'!H69)</f>
        <v>¿Presente?</v>
      </c>
      <c r="K62" s="428" t="str">
        <f>IF('Inserte resultados de NI2'!I69="",'Paso 5-Trat.+recicl. desechos'!L16,'Inserte resultados de NI2'!I69)</f>
        <v>¿Presente?</v>
      </c>
      <c r="L62" s="272" t="str">
        <f>'Paso 5-Trat.+recicl. desechos'!M16</f>
        <v>5.8.2</v>
      </c>
    </row>
    <row r="63" spans="1:12">
      <c r="A63" s="368" t="str">
        <f>'Paso 5-Trat.+recicl. desechos'!A19</f>
        <v>Incineración y quema al aire libre de desechos médicos</v>
      </c>
      <c r="B63" s="268" t="str">
        <f>IF(OR('Paso 5-Trat.+recicl. desechos'!B19=yes,'Paso 5-Trat.+recicl. desechos'!B19=no,'Paso 5-Trat.+recicl. desechos'!B19=que),'Paso 5-Trat.+recicl. desechos'!B19,  pres)</f>
        <v>¿Presente?</v>
      </c>
      <c r="C63" s="376">
        <f>'Paso 5-Trat.+recicl. desechos'!C19</f>
        <v>0</v>
      </c>
      <c r="D63" s="273" t="str">
        <f>'Paso 5-Trat.+recicl. desechos'!D19</f>
        <v xml:space="preserve">Incineración de desechos, t/a </v>
      </c>
      <c r="E63" s="439" t="str">
        <f>IF('Inserte resultados de NI2'!C70="",'Paso 5-Trat.+recicl. desechos'!F19,'Inserte resultados de NI2'!C70)</f>
        <v>¿Presente?</v>
      </c>
      <c r="F63" s="428" t="str">
        <f>IF('Inserte resultados de NI2'!D70="",'Paso 5-Trat.+recicl. desechos'!G19,'Inserte resultados de NI2'!D70)</f>
        <v>¿Presente?</v>
      </c>
      <c r="G63" s="428" t="str">
        <f>IF('Inserte resultados de NI2'!E70="",'Paso 5-Trat.+recicl. desechos'!H19,'Inserte resultados de NI2'!E70)</f>
        <v>¿Presente?</v>
      </c>
      <c r="H63" s="428" t="str">
        <f>IF('Inserte resultados de NI2'!F70="",'Paso 5-Trat.+recicl. desechos'!I19,'Inserte resultados de NI2'!F70)</f>
        <v>¿Presente?</v>
      </c>
      <c r="I63" s="428" t="str">
        <f>IF('Inserte resultados de NI2'!G70="",'Paso 5-Trat.+recicl. desechos'!J19,'Inserte resultados de NI2'!G70)</f>
        <v>¿Presente?</v>
      </c>
      <c r="J63" s="428" t="str">
        <f>IF('Inserte resultados de NI2'!H70="",'Paso 5-Trat.+recicl. desechos'!K19,'Inserte resultados de NI2'!H70)</f>
        <v>¿Presente?</v>
      </c>
      <c r="K63" s="428" t="str">
        <f>IF('Inserte resultados de NI2'!I70="",'Paso 5-Trat.+recicl. desechos'!L19,'Inserte resultados de NI2'!I70)</f>
        <v>¿Presente?</v>
      </c>
      <c r="L63" s="272" t="str">
        <f>'Paso 5-Trat.+recicl. desechos'!M19</f>
        <v>5.8.3</v>
      </c>
    </row>
    <row r="64" spans="1:12">
      <c r="A64" s="368" t="str">
        <f>'Paso 5-Trat.+recicl. desechos'!A22</f>
        <v>Incineración de lodos residuales</v>
      </c>
      <c r="B64" s="268" t="str">
        <f>IF(OR('Paso 5-Trat.+recicl. desechos'!B22=yes,'Paso 5-Trat.+recicl. desechos'!B22=no,'Paso 5-Trat.+recicl. desechos'!B22=que),'Paso 5-Trat.+recicl. desechos'!B22,  pres)</f>
        <v>¿Presente?</v>
      </c>
      <c r="C64" s="376">
        <f>'Paso 5-Trat.+recicl. desechos'!C22</f>
        <v>0</v>
      </c>
      <c r="D64" s="273" t="str">
        <f>'Paso 5-Trat.+recicl. desechos'!D22</f>
        <v xml:space="preserve">Incineración de desechos, t/a </v>
      </c>
      <c r="E64" s="439" t="str">
        <f>IF('Inserte resultados de NI2'!C71="",'Paso 5-Trat.+recicl. desechos'!F22,'Inserte resultados de NI2'!C71)</f>
        <v>¿Presente?</v>
      </c>
      <c r="F64" s="428" t="str">
        <f>IF('Inserte resultados de NI2'!D71="",'Paso 5-Trat.+recicl. desechos'!G22,'Inserte resultados de NI2'!D71)</f>
        <v>¿Presente?</v>
      </c>
      <c r="G64" s="428" t="str">
        <f>IF('Inserte resultados de NI2'!E71="",'Paso 5-Trat.+recicl. desechos'!H22,'Inserte resultados de NI2'!E71)</f>
        <v>¿Presente?</v>
      </c>
      <c r="H64" s="428" t="str">
        <f>IF('Inserte resultados de NI2'!F71="",'Paso 5-Trat.+recicl. desechos'!I22,'Inserte resultados de NI2'!F71)</f>
        <v>¿Presente?</v>
      </c>
      <c r="I64" s="428" t="str">
        <f>IF('Inserte resultados de NI2'!G71="",'Paso 5-Trat.+recicl. desechos'!J22,'Inserte resultados de NI2'!G71)</f>
        <v>¿Presente?</v>
      </c>
      <c r="J64" s="428" t="str">
        <f>IF('Inserte resultados de NI2'!H71="",'Paso 5-Trat.+recicl. desechos'!K22,'Inserte resultados de NI2'!H71)</f>
        <v>¿Presente?</v>
      </c>
      <c r="K64" s="428" t="str">
        <f>IF('Inserte resultados de NI2'!I71="",'Paso 5-Trat.+recicl. desechos'!L22,'Inserte resultados de NI2'!I71)</f>
        <v>¿Presente?</v>
      </c>
      <c r="L64" s="272" t="str">
        <f>'Paso 5-Trat.+recicl. desechos'!M22</f>
        <v>5.8.4</v>
      </c>
    </row>
    <row r="65" spans="1:12" ht="25">
      <c r="A65" s="368" t="str">
        <f>'Paso 5-Trat.+recicl. desechos'!A23</f>
        <v>Quema al aire libre de desechos (en vertederos y de manera informal)</v>
      </c>
      <c r="B65" s="268" t="str">
        <f>IF(OR('Paso 5-Trat.+recicl. desechos'!B23=yes,'Paso 5-Trat.+recicl. desechos'!B23=no,'Paso 5-Trat.+recicl. desechos'!B23=que),'Paso 5-Trat.+recicl. desechos'!B23,  pres)</f>
        <v>¿Presente?</v>
      </c>
      <c r="C65" s="376">
        <f>'Paso 5-Trat.+recicl. desechos'!C23</f>
        <v>0</v>
      </c>
      <c r="D65" s="273" t="str">
        <f>'Paso 5-Trat.+recicl. desechos'!D23</f>
        <v xml:space="preserve">Desechos quemados, t/a </v>
      </c>
      <c r="E65" s="439" t="str">
        <f>IF('Inserte resultados de NI2'!C72="",'Paso 5-Trat.+recicl. desechos'!F23,'Inserte resultados de NI2'!C72)</f>
        <v>¿Presente?</v>
      </c>
      <c r="F65" s="428" t="str">
        <f>IF('Inserte resultados de NI2'!D72="",'Paso 5-Trat.+recicl. desechos'!G23,'Inserte resultados de NI2'!D72)</f>
        <v>¿Presente?</v>
      </c>
      <c r="G65" s="428" t="str">
        <f>IF('Inserte resultados de NI2'!E72="",'Paso 5-Trat.+recicl. desechos'!H23,'Inserte resultados de NI2'!E72)</f>
        <v>¿Presente?</v>
      </c>
      <c r="H65" s="428" t="str">
        <f>IF('Inserte resultados de NI2'!F72="",'Paso 5-Trat.+recicl. desechos'!I23,'Inserte resultados de NI2'!F72)</f>
        <v>¿Presente?</v>
      </c>
      <c r="I65" s="428" t="str">
        <f>IF('Inserte resultados de NI2'!G72="",'Paso 5-Trat.+recicl. desechos'!J23,'Inserte resultados de NI2'!G72)</f>
        <v>¿Presente?</v>
      </c>
      <c r="J65" s="428" t="str">
        <f>IF('Inserte resultados de NI2'!H72="",'Paso 5-Trat.+recicl. desechos'!K23,'Inserte resultados de NI2'!H72)</f>
        <v>¿Presente?</v>
      </c>
      <c r="K65" s="428" t="str">
        <f>IF('Inserte resultados de NI2'!I72="",'Paso 5-Trat.+recicl. desechos'!L23,'Inserte resultados de NI2'!I72)</f>
        <v>¿Presente?</v>
      </c>
      <c r="L65" s="272" t="str">
        <f>'Paso 5-Trat.+recicl. desechos'!M23</f>
        <v>5.8.5</v>
      </c>
    </row>
    <row r="66" spans="1:12" ht="26">
      <c r="A66" s="394" t="str">
        <f>'Paso 5-Trat.+recicl. desechos'!A25</f>
        <v>Depósito/vertido de desechos y tratamiento de aguas residuales</v>
      </c>
      <c r="B66" s="304"/>
      <c r="C66" s="276"/>
      <c r="D66" s="305"/>
      <c r="E66" s="305"/>
      <c r="F66" s="437"/>
      <c r="G66" s="437"/>
      <c r="H66" s="437"/>
      <c r="I66" s="437"/>
      <c r="J66" s="437"/>
      <c r="K66" s="437"/>
      <c r="L66" s="306"/>
    </row>
    <row r="67" spans="1:12">
      <c r="A67" s="368" t="str">
        <f>'Paso 5-Trat.+recicl. desechos'!A26</f>
        <v>Vertederos o depósitos controlados</v>
      </c>
      <c r="B67" s="268" t="str">
        <f>IF(OR('Paso 5-Trat.+recicl. desechos'!B26=yes,'Paso 5-Trat.+recicl. desechos'!B26=no,'Paso 5-Trat.+recicl. desechos'!B26=que),'Paso 5-Trat.+recicl. desechos'!B26,  pres)</f>
        <v>¿Presente?</v>
      </c>
      <c r="C67" s="376">
        <f>'Paso 5-Trat.+recicl. desechos'!C26</f>
        <v>0</v>
      </c>
      <c r="D67" s="273" t="str">
        <f>'Paso 5-Trat.+recicl. desechos'!D26</f>
        <v>Desechos vertidos, t/a</v>
      </c>
      <c r="E67" s="439" t="str">
        <f>IF('Inserte resultados de NI2'!C74="",'Paso 5-Trat.+recicl. desechos'!F26,'Inserte resultados de NI2'!C74)</f>
        <v>¿Presente?</v>
      </c>
      <c r="F67" s="428" t="str">
        <f>IF('Inserte resultados de NI2'!D74="",'Paso 5-Trat.+recicl. desechos'!G26,'Inserte resultados de NI2'!D74)</f>
        <v>¿Presente?</v>
      </c>
      <c r="G67" s="428" t="str">
        <f>IF('Inserte resultados de NI2'!E74="",'Paso 5-Trat.+recicl. desechos'!H26,'Inserte resultados de NI2'!E74)</f>
        <v>¿Presente?</v>
      </c>
      <c r="H67" s="428" t="str">
        <f>IF('Inserte resultados de NI2'!F74="",'Paso 5-Trat.+recicl. desechos'!I26,'Inserte resultados de NI2'!F74)</f>
        <v>¿Presente?</v>
      </c>
      <c r="I67" s="428" t="str">
        <f>IF('Inserte resultados de NI2'!G74="",'Paso 5-Trat.+recicl. desechos'!J26,'Inserte resultados de NI2'!G74)</f>
        <v>¿Presente?</v>
      </c>
      <c r="J67" s="428" t="str">
        <f>IF('Inserte resultados de NI2'!H74="",'Paso 5-Trat.+recicl. desechos'!K26,'Inserte resultados de NI2'!H74)</f>
        <v>¿Presente?</v>
      </c>
      <c r="K67" s="428" t="str">
        <f>IF('Inserte resultados de NI2'!I74="",'Paso 5-Trat.+recicl. desechos'!L26,'Inserte resultados de NI2'!I74)</f>
        <v>¿Presente?</v>
      </c>
      <c r="L67" s="272" t="str">
        <f>'Paso 5-Trat.+recicl. desechos'!M26</f>
        <v>5.9.1</v>
      </c>
    </row>
    <row r="68" spans="1:12">
      <c r="A68" s="368" t="str">
        <f>'Paso 5-Trat.+recicl. desechos'!A27</f>
        <v>Vertido informal de desechos generales *1</v>
      </c>
      <c r="B68" s="268" t="str">
        <f>IF(OR('Paso 5-Trat.+recicl. desechos'!B27=yes,'Paso 5-Trat.+recicl. desechos'!B27=no,'Paso 5-Trat.+recicl. desechos'!B27=que),'Paso 5-Trat.+recicl. desechos'!B27,  pres)</f>
        <v>¿Presente?</v>
      </c>
      <c r="C68" s="376">
        <f>'Paso 5-Trat.+recicl. desechos'!C27</f>
        <v>0</v>
      </c>
      <c r="D68" s="273" t="str">
        <f>'Paso 5-Trat.+recicl. desechos'!D27</f>
        <v>Desechos vertidos, t/a</v>
      </c>
      <c r="E68" s="439" t="str">
        <f>IF('Inserte resultados de NI2'!C75="",'Paso 5-Trat.+recicl. desechos'!F27,'Inserte resultados de NI2'!C75)</f>
        <v>¿Presente?</v>
      </c>
      <c r="F68" s="428" t="str">
        <f>IF('Inserte resultados de NI2'!D75="",'Paso 5-Trat.+recicl. desechos'!G27,'Inserte resultados de NI2'!D75)</f>
        <v>¿Presente?</v>
      </c>
      <c r="G68" s="428" t="str">
        <f>IF('Inserte resultados de NI2'!E75="",'Paso 5-Trat.+recicl. desechos'!H27,'Inserte resultados de NI2'!E75)</f>
        <v>¿Presente?</v>
      </c>
      <c r="H68" s="428" t="str">
        <f>IF('Inserte resultados de NI2'!F75="",'Paso 5-Trat.+recicl. desechos'!I27,'Inserte resultados de NI2'!F75)</f>
        <v>¿Presente?</v>
      </c>
      <c r="I68" s="428" t="str">
        <f>IF('Inserte resultados de NI2'!G75="",'Paso 5-Trat.+recicl. desechos'!J27,'Inserte resultados de NI2'!G75)</f>
        <v>¿Presente?</v>
      </c>
      <c r="J68" s="428" t="str">
        <f>IF('Inserte resultados de NI2'!H75="",'Paso 5-Trat.+recicl. desechos'!K27,'Inserte resultados de NI2'!H75)</f>
        <v>¿Presente?</v>
      </c>
      <c r="K68" s="428" t="str">
        <f>IF('Inserte resultados de NI2'!I75="",'Paso 5-Trat.+recicl. desechos'!L27,'Inserte resultados de NI2'!I75)</f>
        <v>¿Presente?</v>
      </c>
      <c r="L68" s="272" t="str">
        <f>'Paso 5-Trat.+recicl. desechos'!M27</f>
        <v>5.9.4</v>
      </c>
    </row>
    <row r="69" spans="1:12">
      <c r="A69" s="368" t="str">
        <f>'Paso 5-Trat.+recicl. desechos'!A29</f>
        <v>Sistema/tratamiento de aguas residuales</v>
      </c>
      <c r="B69" s="268" t="str">
        <f>IF(OR('Paso 5-Trat.+recicl. desechos'!B29=yes,'Paso 5-Trat.+recicl. desechos'!B29=no,'Paso 5-Trat.+recicl. desechos'!B29=que),'Paso 5-Trat.+recicl. desechos'!B29,  pres)</f>
        <v>¿Presente?</v>
      </c>
      <c r="C69" s="376">
        <f>'Paso 5-Trat.+recicl. desechos'!C29</f>
        <v>0</v>
      </c>
      <c r="D69" s="273" t="str">
        <f>'Paso 5-Trat.+recicl. desechos'!D29</f>
        <v xml:space="preserve">Aguas residuales, m3/a </v>
      </c>
      <c r="E69" s="439" t="str">
        <f>IF('Inserte resultados de NI2'!C76="",'Paso 5-Trat.+recicl. desechos'!F29,'Inserte resultados de NI2'!C76)</f>
        <v>¿Presente?</v>
      </c>
      <c r="F69" s="428" t="str">
        <f>IF('Inserte resultados de NI2'!D76="",'Paso 5-Trat.+recicl. desechos'!G29,'Inserte resultados de NI2'!D76)</f>
        <v>¿Presente?</v>
      </c>
      <c r="G69" s="428" t="str">
        <f>IF('Inserte resultados de NI2'!E76="",'Paso 5-Trat.+recicl. desechos'!H29,'Inserte resultados de NI2'!E76)</f>
        <v>¿Presente?</v>
      </c>
      <c r="H69" s="428" t="str">
        <f>IF('Inserte resultados de NI2'!F76="",'Paso 5-Trat.+recicl. desechos'!I29,'Inserte resultados de NI2'!F76)</f>
        <v>¿Presente?</v>
      </c>
      <c r="I69" s="428" t="str">
        <f>IF('Inserte resultados de NI2'!G76="",'Paso 5-Trat.+recicl. desechos'!J29,'Inserte resultados de NI2'!G76)</f>
        <v>¿Presente?</v>
      </c>
      <c r="J69" s="428" t="str">
        <f>IF('Inserte resultados de NI2'!H76="",'Paso 5-Trat.+recicl. desechos'!K29,'Inserte resultados de NI2'!H76)</f>
        <v>¿Presente?</v>
      </c>
      <c r="K69" s="428" t="str">
        <f>IF('Inserte resultados de NI2'!I76="",'Paso 5-Trat.+recicl. desechos'!L29,'Inserte resultados de NI2'!I76)</f>
        <v>¿Presente?</v>
      </c>
      <c r="L69" s="272" t="str">
        <f>'Paso 5-Trat.+recicl. desechos'!M29</f>
        <v>5.9.5</v>
      </c>
    </row>
    <row r="70" spans="1:12" ht="13">
      <c r="A70" s="394" t="str">
        <f>'Paso 7-Crematorios-cementerios'!A4</f>
        <v>Crematorios y cementerios</v>
      </c>
      <c r="B70" s="304"/>
      <c r="C70" s="276"/>
      <c r="D70" s="305"/>
      <c r="E70" s="305"/>
      <c r="F70" s="437"/>
      <c r="G70" s="437"/>
      <c r="H70" s="437"/>
      <c r="I70" s="437"/>
      <c r="J70" s="437"/>
      <c r="K70" s="437"/>
      <c r="L70" s="306"/>
    </row>
    <row r="71" spans="1:12">
      <c r="A71" s="263" t="str">
        <f>'Paso 7-Crematorios-cementerios'!A5</f>
        <v>Crematorios</v>
      </c>
      <c r="B71" s="268" t="str">
        <f>IF(OR('Paso 7-Crematorios-cementerios'!B5=yes,'Paso 7-Crematorios-cementerios'!B5=no,'Paso 7-Crematorios-cementerios'!B5=que),'Paso 7-Crematorios-cementerios'!B5,  pres)</f>
        <v>¿Presente?</v>
      </c>
      <c r="C71" s="376">
        <f>'Paso 7-Crematorios-cementerios'!C5</f>
        <v>0</v>
      </c>
      <c r="D71" s="273" t="str">
        <f>'Paso 7-Crematorios-cementerios'!D5</f>
        <v>Cadáveres cremados/a</v>
      </c>
      <c r="E71" s="439" t="str">
        <f>IF('Inserte resultados de NI2'!C78="",'Paso 7-Crematorios-cementerios'!E5,'Inserte resultados de NI2'!C78)</f>
        <v>¿Presente?</v>
      </c>
      <c r="F71" s="428" t="str">
        <f>IF('Inserte resultados de NI2'!D78="",'Paso 7-Crematorios-cementerios'!F5,'Inserte resultados de NI2'!D78)</f>
        <v>¿Presente?</v>
      </c>
      <c r="G71" s="428" t="str">
        <f>IF('Inserte resultados de NI2'!E78="",'Paso 7-Crematorios-cementerios'!G5,'Inserte resultados de NI2'!E78)</f>
        <v>¿Presente?</v>
      </c>
      <c r="H71" s="428" t="str">
        <f>IF('Inserte resultados de NI2'!F78="",'Paso 7-Crematorios-cementerios'!H5,'Inserte resultados de NI2'!F78)</f>
        <v>¿Presente?</v>
      </c>
      <c r="I71" s="428" t="str">
        <f>IF('Inserte resultados de NI2'!G78="",'Paso 7-Crematorios-cementerios'!I5,'Inserte resultados de NI2'!G78)</f>
        <v>¿Presente?</v>
      </c>
      <c r="J71" s="428" t="str">
        <f>IF('Inserte resultados de NI2'!H78="",'Paso 7-Crematorios-cementerios'!J5,'Inserte resultados de NI2'!H78)</f>
        <v>¿Presente?</v>
      </c>
      <c r="K71" s="428" t="str">
        <f>IF('Inserte resultados de NI2'!I78="",'Paso 7-Crematorios-cementerios'!K5,'Inserte resultados de NI2'!I78)</f>
        <v>¿Presente?</v>
      </c>
      <c r="L71" s="272" t="str">
        <f>'Paso 7-Crematorios-cementerios'!L5</f>
        <v>5.10.1</v>
      </c>
    </row>
    <row r="72" spans="1:12">
      <c r="A72" s="263" t="str">
        <f>'Paso 7-Crematorios-cementerios'!A6</f>
        <v>Cementerios</v>
      </c>
      <c r="B72" s="268" t="str">
        <f>IF(OR('Paso 7-Crematorios-cementerios'!B6=yes,'Paso 7-Crematorios-cementerios'!B6=no,'Paso 7-Crematorios-cementerios'!B6=que),'Paso 7-Crematorios-cementerios'!B6,  pres)</f>
        <v>¿Presente?</v>
      </c>
      <c r="C72" s="376">
        <f>'Paso 7-Crematorios-cementerios'!C6</f>
        <v>0</v>
      </c>
      <c r="D72" s="273" t="str">
        <f>'Paso 7-Crematorios-cementerios'!D6</f>
        <v>Cadáveres enterrados/a</v>
      </c>
      <c r="E72" s="439" t="str">
        <f>IF('Inserte resultados de NI2'!C79="",'Paso 7-Crematorios-cementerios'!E6,'Inserte resultados de NI2'!C79)</f>
        <v>¿Presente?</v>
      </c>
      <c r="F72" s="428" t="str">
        <f>IF('Inserte resultados de NI2'!D79="",'Paso 7-Crematorios-cementerios'!F6,'Inserte resultados de NI2'!D79)</f>
        <v>¿Presente?</v>
      </c>
      <c r="G72" s="428" t="str">
        <f>IF('Inserte resultados de NI2'!E79="",'Paso 7-Crematorios-cementerios'!G6,'Inserte resultados de NI2'!E79)</f>
        <v>¿Presente?</v>
      </c>
      <c r="H72" s="428" t="str">
        <f>IF('Inserte resultados de NI2'!F79="",'Paso 7-Crematorios-cementerios'!H6,'Inserte resultados de NI2'!F79)</f>
        <v>¿Presente?</v>
      </c>
      <c r="I72" s="428" t="str">
        <f>IF('Inserte resultados de NI2'!G79="",'Paso 7-Crematorios-cementerios'!I6,'Inserte resultados de NI2'!G79)</f>
        <v>¿Presente?</v>
      </c>
      <c r="J72" s="428" t="str">
        <f>IF('Inserte resultados de NI2'!H79="",'Paso 7-Crematorios-cementerios'!J6,'Inserte resultados de NI2'!H79)</f>
        <v>¿Presente?</v>
      </c>
      <c r="K72" s="428" t="str">
        <f>IF('Inserte resultados de NI2'!I79="",'Paso 7-Crematorios-cementerios'!K6,'Inserte resultados de NI2'!I79)</f>
        <v>¿Presente?</v>
      </c>
      <c r="L72" s="272" t="str">
        <f>'Paso 7-Crematorios-cementerios'!L6</f>
        <v>5.10.2</v>
      </c>
    </row>
    <row r="73" spans="1:12" s="356" customFormat="1" ht="13">
      <c r="A73" s="265" t="s">
        <v>1156</v>
      </c>
      <c r="B73" s="429"/>
      <c r="C73" s="376"/>
      <c r="D73" s="375"/>
      <c r="E73" s="431">
        <f>ROUND((SUM(E5:E72)-0.9*(SUM(E61:E61)+SUM(E62:E62)+SUM(E63:E63)+SUM(E64:E64)+SUM(E65:E65)+SUM(E67:E67)+SUM(E68:E68))-IF(OR(E69=0,E69=que),0,SUM(E69:E69))+(-IF(OR(E36=0,E36=que),0,SUM(E36:E36))+SUM(F36:K36))+(-IF(OR(E37=0,E37=que),0,SUM(E37:E37))+SUM(F37:K37))+(-IF(OR(E38=0,E38=que),0,SUM(E38:E38))+SUM(F38:K38))+(-IF(OR(E39=0,E39=que),0,SUM(E39:E39))+SUM(F39:K39))+(-IF(OR(E40=0,E40=que),0,SUM(E40:E40))+SUM(F40:K40))+(-IF(OR(E41=0,E41=que),0,SUM(E41:E41))+SUM(F41:K41))+(-IF(OR(E42=0,E42=que),0,SUM(E42:E42))+SUM(F42:K42))+(-IF(OR(E43=0,E43=que),0,SUM(E43:E43))+SUM(F43:K43))+(-IF(OR(E15=0,E15=que),0,SUM(E15:E15))+SUM(F15:K15))+(-IF(OR(E16=0,E16=que),0,SUM(E16:E16))+SUM(F16:K16))+(-IF(OR(E17=0,E17=que),0,SUM(E17:E17))+SUM(F17:K17))-(IF(OR(E29=0,E29=que),0,SUM('5-3 Other min + mat'!AG6:AG6)))),-1)</f>
        <v>0</v>
      </c>
      <c r="F73" s="438">
        <f>ROUND(SUM(F5:F72)-(IF(OR(E29=0,E29=que,E29=pres, E29="-"),0,'5-3 Other min + mat'!AH6)),-1)</f>
        <v>0</v>
      </c>
      <c r="G73" s="438" t="e">
        <f>ROUND(SUM(G5:G72)-IF(OR(G69="-",G69=que),0,G69)-(IF(OR(E29=0,E29=que,E29=pres, E29="-"),0,'5-3 Other min + mat'!AI6)),-1)</f>
        <v>#VALUE!</v>
      </c>
      <c r="H73" s="438" t="e">
        <f>ROUND(SUM(H5:H72)-IF(OR(H68="-",H68=que),0,H68)-(IF(OR(E29=0,E29=que,E29=pres, E29="-"),0,'5-3 Other min + mat'!AJ6)),-1)</f>
        <v>#VALUE!</v>
      </c>
      <c r="I73" s="438">
        <f>ROUND(SUM(I5:I72)-(IF(OR(E29=0,E29=que,E29=pres, E29="-"),0,'5-3 Other min + mat'!AK6)),-1)</f>
        <v>0</v>
      </c>
      <c r="J73" s="438">
        <f>ROUND(SUM(J5:J72)-(IF(OR(E29=0,E29=que,E29=pres, E29="-"),0,'5-3 Other min + mat'!AL6)),-1)</f>
        <v>0</v>
      </c>
      <c r="K73" s="438">
        <f>ROUND(SUM(K5:K72)-(IF(OR(E29=0,E29=que,E29=pres, E29="-"),0,'5-3 Other min + mat'!AM6)),-1)</f>
        <v>0</v>
      </c>
      <c r="L73" s="375"/>
    </row>
    <row r="74" spans="1:12">
      <c r="A74" s="602" t="s">
        <v>853</v>
      </c>
      <c r="B74" s="359"/>
      <c r="E74" s="3"/>
      <c r="F74" s="474"/>
    </row>
    <row r="75" spans="1:12">
      <c r="A75" s="602" t="s">
        <v>1149</v>
      </c>
    </row>
    <row r="76" spans="1:12">
      <c r="A76" s="339" t="s">
        <v>1150</v>
      </c>
    </row>
    <row r="77" spans="1:12">
      <c r="A77" s="339" t="s">
        <v>1151</v>
      </c>
    </row>
    <row r="78" spans="1:12">
      <c r="A78" s="339" t="s">
        <v>1152</v>
      </c>
    </row>
    <row r="79" spans="1:12">
      <c r="A79" s="602" t="s">
        <v>1127</v>
      </c>
    </row>
    <row r="80" spans="1:12">
      <c r="A80" s="602" t="s">
        <v>1153</v>
      </c>
    </row>
    <row r="81" spans="1:1">
      <c r="A81" s="602" t="s">
        <v>1129</v>
      </c>
    </row>
    <row r="82" spans="1:1" ht="13">
      <c r="A82" s="602" t="s">
        <v>1157</v>
      </c>
    </row>
    <row r="83" spans="1:1">
      <c r="A83" s="602" t="s">
        <v>1233</v>
      </c>
    </row>
    <row r="85" spans="1:1">
      <c r="A85" s="601" t="s">
        <v>1158</v>
      </c>
    </row>
    <row r="86" spans="1:1">
      <c r="A86" s="601" t="s">
        <v>1159</v>
      </c>
    </row>
  </sheetData>
  <sheetProtection algorithmName="SHA-512" hashValue="8TEvdApHYNW0uSC52XjkzphVV6sqwwCX7/5VRH3GRa3Oea/tPWpxdp6WbcGbPgj8gQOd/q3LdUqw5I3lDQVaIg==" saltValue="V5uoI08ohmtvmo3LM5YvTw==" spinCount="100000" sheet="1" objects="1" scenarios="1"/>
  <mergeCells count="1">
    <mergeCell ref="F2:K2"/>
  </mergeCells>
  <pageMargins left="0.39370078740157483" right="0.39370078740157483" top="0.74803149606299213" bottom="0.74803149606299213" header="0.31496062992125984" footer="0.31496062992125984"/>
  <pageSetup paperSize="9" scale="86" fitToHeight="2" orientation="landscape" r:id="rId1"/>
  <headerFooter>
    <oddFooter>&amp;L&amp;A
Printed &amp;D</oddFooter>
  </headerFooter>
  <extLst>
    <ext xmlns:x14="http://schemas.microsoft.com/office/spreadsheetml/2009/9/main" uri="{78C0D931-6437-407d-A8EE-F0AAD7539E65}">
      <x14:conditionalFormattings>
        <x14:conditionalFormatting xmlns:xm="http://schemas.microsoft.com/office/excel/2006/main">
          <x14:cfRule type="expression" priority="26" stopIfTrue="1" id="{38038F7B-76CB-41A7-8003-A795F54220A9}">
            <xm:f>'Inserte resultados de NI2'!C12&lt;&gt;""</xm:f>
            <x14:dxf>
              <font>
                <color rgb="FF00B050"/>
              </font>
            </x14:dxf>
          </x14:cfRule>
          <xm:sqref>E58:E65 E15:K17 E19:K27 E29:K30 E32:K34 E36:K43 E45:K56 F58:K59 F61:K65 E67:K69 E71:K72 E5:K6</xm:sqref>
        </x14:conditionalFormatting>
        <x14:conditionalFormatting xmlns:xm="http://schemas.microsoft.com/office/excel/2006/main">
          <x14:cfRule type="expression" priority="42" stopIfTrue="1" id="{38038F7B-76CB-41A7-8003-A795F54220A9}">
            <xm:f>'Inserte resultados de NI2'!C13&lt;&gt;""</xm:f>
            <x14:dxf>
              <font>
                <color rgb="FF00B050"/>
              </font>
            </x14:dxf>
          </x14:cfRule>
          <xm:sqref>E7:K13</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AB88"/>
  <sheetViews>
    <sheetView topLeftCell="A18" zoomScaleNormal="70" workbookViewId="0">
      <selection activeCell="G38" sqref="G38:G45"/>
    </sheetView>
  </sheetViews>
  <sheetFormatPr defaultColWidth="8.81640625" defaultRowHeight="12.5"/>
  <cols>
    <col min="1" max="1" width="3" customWidth="1"/>
    <col min="2" max="2" width="6.1796875" customWidth="1"/>
    <col min="3" max="3" width="26.453125" customWidth="1"/>
    <col min="4" max="4" width="7.36328125" customWidth="1"/>
    <col min="5" max="5" width="10.36328125" customWidth="1"/>
    <col min="6" max="6" width="10.453125" customWidth="1"/>
    <col min="7" max="7" width="10.36328125" customWidth="1"/>
    <col min="8" max="8" width="12.6328125" customWidth="1"/>
    <col min="9" max="9" width="15.1796875" style="240" customWidth="1"/>
    <col min="10" max="10" width="11.453125" customWidth="1"/>
    <col min="11" max="11" width="11.36328125" style="240" customWidth="1"/>
    <col min="12" max="12" width="11.453125" customWidth="1"/>
    <col min="13" max="13" width="24.453125" style="13" customWidth="1"/>
    <col min="14" max="14" width="9.1796875" style="240"/>
    <col min="16" max="16" width="5.6328125" customWidth="1"/>
    <col min="17" max="17" width="7.453125" customWidth="1"/>
    <col min="18" max="18" width="5" customWidth="1"/>
    <col min="19" max="19" width="8.453125" customWidth="1"/>
    <col min="21" max="21" width="17.453125" customWidth="1"/>
    <col min="22" max="22" width="12.453125" customWidth="1"/>
    <col min="24" max="24" width="9.6328125" customWidth="1"/>
    <col min="25" max="25" width="11.1796875" customWidth="1"/>
    <col min="26" max="26" width="11.453125" customWidth="1"/>
    <col min="27" max="27" width="17" customWidth="1"/>
    <col min="28" max="28" width="63.453125" customWidth="1"/>
  </cols>
  <sheetData>
    <row r="1" spans="1:28" ht="18">
      <c r="A1" s="1" t="s">
        <v>733</v>
      </c>
      <c r="I1" s="231"/>
      <c r="K1" s="231"/>
      <c r="L1" s="48"/>
      <c r="M1" s="48"/>
      <c r="N1" s="231"/>
    </row>
    <row r="2" spans="1:28" ht="14">
      <c r="A2" s="54" t="s">
        <v>313</v>
      </c>
      <c r="I2" s="231"/>
      <c r="K2" s="231"/>
      <c r="L2" s="48"/>
      <c r="M2" s="48"/>
      <c r="N2" s="231"/>
      <c r="U2" s="48"/>
    </row>
    <row r="3" spans="1:28" ht="13">
      <c r="C3" s="102"/>
      <c r="D3" s="3"/>
      <c r="E3" s="3"/>
      <c r="F3" s="3"/>
      <c r="G3" s="3"/>
      <c r="H3" s="3"/>
      <c r="I3" s="232"/>
      <c r="J3" s="3"/>
      <c r="K3" s="232"/>
      <c r="L3" s="55"/>
      <c r="M3" s="55"/>
      <c r="N3" s="232"/>
      <c r="O3" s="3"/>
      <c r="P3" s="94" t="s">
        <v>55</v>
      </c>
      <c r="Q3" s="49"/>
      <c r="R3" s="49"/>
      <c r="S3" s="49"/>
      <c r="T3" s="49"/>
      <c r="U3" s="49"/>
      <c r="V3" s="10" t="s">
        <v>54</v>
      </c>
      <c r="W3" s="4"/>
      <c r="X3" s="4"/>
      <c r="Y3" s="4"/>
      <c r="Z3" s="4"/>
      <c r="AA3" s="4"/>
      <c r="AB3" s="2"/>
    </row>
    <row r="4" spans="1:28" s="123" customFormat="1" ht="39">
      <c r="A4" s="123" t="s">
        <v>52</v>
      </c>
      <c r="B4" s="123" t="s">
        <v>50</v>
      </c>
      <c r="C4" s="124" t="s">
        <v>59</v>
      </c>
      <c r="D4" s="112" t="s">
        <v>153</v>
      </c>
      <c r="E4" s="124" t="s">
        <v>49</v>
      </c>
      <c r="F4" s="125" t="s">
        <v>35</v>
      </c>
      <c r="G4" s="112" t="s">
        <v>37</v>
      </c>
      <c r="H4" s="125" t="s">
        <v>35</v>
      </c>
      <c r="I4" s="245" t="s">
        <v>51</v>
      </c>
      <c r="J4" s="123" t="s">
        <v>35</v>
      </c>
      <c r="K4" s="241" t="s">
        <v>61</v>
      </c>
      <c r="L4" s="153" t="s">
        <v>35</v>
      </c>
      <c r="M4" s="154" t="s">
        <v>210</v>
      </c>
      <c r="N4" s="245" t="s">
        <v>92</v>
      </c>
      <c r="O4" s="125" t="s">
        <v>35</v>
      </c>
      <c r="P4" s="111" t="s">
        <v>38</v>
      </c>
      <c r="Q4" s="111" t="s">
        <v>39</v>
      </c>
      <c r="R4" s="111" t="s">
        <v>40</v>
      </c>
      <c r="S4" s="111" t="s">
        <v>41</v>
      </c>
      <c r="T4" s="112" t="s">
        <v>42</v>
      </c>
      <c r="U4" s="112" t="s">
        <v>53</v>
      </c>
      <c r="V4" s="56" t="s">
        <v>38</v>
      </c>
      <c r="W4" s="56" t="s">
        <v>39</v>
      </c>
      <c r="X4" s="56" t="s">
        <v>40</v>
      </c>
      <c r="Y4" s="56" t="s">
        <v>41</v>
      </c>
      <c r="Z4" s="57" t="s">
        <v>42</v>
      </c>
      <c r="AA4" s="57" t="s">
        <v>228</v>
      </c>
      <c r="AB4" s="111" t="s">
        <v>87</v>
      </c>
    </row>
    <row r="5" spans="1:28" ht="39">
      <c r="A5" t="s">
        <v>46</v>
      </c>
      <c r="C5" s="12" t="s">
        <v>44</v>
      </c>
      <c r="D5" s="120"/>
      <c r="F5" s="3"/>
      <c r="G5" s="119"/>
      <c r="H5" s="3"/>
      <c r="I5" s="250"/>
      <c r="K5" s="233"/>
      <c r="L5" s="3"/>
      <c r="M5" s="14"/>
      <c r="N5" s="246"/>
      <c r="O5" s="3"/>
      <c r="P5" s="119"/>
      <c r="Q5" s="119"/>
      <c r="R5" s="119"/>
      <c r="S5" s="119"/>
      <c r="T5" s="119"/>
      <c r="U5" s="119"/>
      <c r="V5" s="122"/>
      <c r="W5" s="122"/>
      <c r="X5" s="122"/>
      <c r="Y5" s="122"/>
      <c r="Z5" s="122"/>
      <c r="AA5" s="122"/>
      <c r="AB5" s="119"/>
    </row>
    <row r="6" spans="1:28" ht="26">
      <c r="B6" t="s">
        <v>45</v>
      </c>
      <c r="C6" s="12" t="s">
        <v>47</v>
      </c>
      <c r="D6" s="111"/>
      <c r="G6" s="76"/>
      <c r="I6" s="247"/>
      <c r="K6" s="340">
        <f>SUM(K7:K8)</f>
        <v>0</v>
      </c>
      <c r="L6" s="3"/>
      <c r="M6" s="14"/>
      <c r="N6" s="247"/>
      <c r="O6" s="3"/>
      <c r="P6" s="76"/>
      <c r="Q6" s="76"/>
      <c r="R6" s="76"/>
      <c r="S6" s="76"/>
      <c r="T6" s="76"/>
      <c r="U6" s="76"/>
      <c r="V6" s="114">
        <f>SUM(V7:V14)</f>
        <v>0</v>
      </c>
      <c r="W6" s="114">
        <f t="shared" ref="W6:Z6" si="0">SUM(W7:W14)</f>
        <v>0</v>
      </c>
      <c r="X6" s="114">
        <f t="shared" si="0"/>
        <v>0</v>
      </c>
      <c r="Y6" s="114">
        <f>SUM(Y7:Y14)-Y7</f>
        <v>0</v>
      </c>
      <c r="Z6" s="114">
        <f t="shared" si="0"/>
        <v>0</v>
      </c>
      <c r="AA6" s="114">
        <f>SUM(AA7:AA14)</f>
        <v>0</v>
      </c>
      <c r="AB6" s="76"/>
    </row>
    <row r="7" spans="1:28" ht="13">
      <c r="C7" s="12" t="s">
        <v>60</v>
      </c>
      <c r="D7" s="111"/>
      <c r="E7" s="6" t="s">
        <v>48</v>
      </c>
      <c r="F7" s="3" t="s">
        <v>342</v>
      </c>
      <c r="G7" s="76">
        <v>0.15</v>
      </c>
      <c r="H7" s="3" t="s">
        <v>342</v>
      </c>
      <c r="I7" s="248"/>
      <c r="J7" t="s">
        <v>323</v>
      </c>
      <c r="K7" s="238">
        <f>G7*I7/1000</f>
        <v>0</v>
      </c>
      <c r="L7" s="3" t="s">
        <v>36</v>
      </c>
      <c r="M7" s="32"/>
      <c r="N7" s="248"/>
      <c r="O7" s="3" t="s">
        <v>36</v>
      </c>
      <c r="P7" s="76"/>
      <c r="Q7" s="76">
        <v>0.01</v>
      </c>
      <c r="R7" s="76"/>
      <c r="S7" s="76">
        <v>0.8</v>
      </c>
      <c r="T7" s="76">
        <v>0.19</v>
      </c>
      <c r="U7" s="76"/>
      <c r="V7" s="116">
        <f t="shared" ref="V7:AA12" si="1">$N7*P7</f>
        <v>0</v>
      </c>
      <c r="W7" s="116">
        <f t="shared" si="1"/>
        <v>0</v>
      </c>
      <c r="X7" s="116">
        <f t="shared" si="1"/>
        <v>0</v>
      </c>
      <c r="Y7" s="116">
        <f t="shared" si="1"/>
        <v>0</v>
      </c>
      <c r="Z7" s="116">
        <f t="shared" si="1"/>
        <v>0</v>
      </c>
      <c r="AA7" s="116">
        <f t="shared" si="1"/>
        <v>0</v>
      </c>
      <c r="AB7" s="76"/>
    </row>
    <row r="8" spans="1:28" ht="52">
      <c r="C8" s="12" t="s">
        <v>717</v>
      </c>
      <c r="D8" s="111"/>
      <c r="E8" s="6" t="s">
        <v>58</v>
      </c>
      <c r="F8" s="3" t="s">
        <v>342</v>
      </c>
      <c r="G8" s="76">
        <v>0.15</v>
      </c>
      <c r="H8" s="3" t="s">
        <v>342</v>
      </c>
      <c r="I8" s="248">
        <f>'Paso 2-Energía'!C5</f>
        <v>0</v>
      </c>
      <c r="J8" t="s">
        <v>323</v>
      </c>
      <c r="K8" s="234">
        <f>G8*I8/1000</f>
        <v>0</v>
      </c>
      <c r="L8" s="3" t="s">
        <v>64</v>
      </c>
      <c r="M8" s="33"/>
      <c r="N8" s="248"/>
      <c r="O8" s="3"/>
      <c r="P8" s="76"/>
      <c r="Q8" s="76"/>
      <c r="R8" s="76"/>
      <c r="S8" s="76"/>
      <c r="T8" s="76"/>
      <c r="U8" s="76"/>
      <c r="V8" s="116">
        <f t="shared" si="1"/>
        <v>0</v>
      </c>
      <c r="W8" s="116">
        <f t="shared" si="1"/>
        <v>0</v>
      </c>
      <c r="X8" s="116">
        <f t="shared" si="1"/>
        <v>0</v>
      </c>
      <c r="Y8" s="116">
        <f t="shared" si="1"/>
        <v>0</v>
      </c>
      <c r="Z8" s="116">
        <f t="shared" si="1"/>
        <v>0</v>
      </c>
      <c r="AA8" s="116">
        <f t="shared" si="1"/>
        <v>0</v>
      </c>
      <c r="AB8" s="76"/>
    </row>
    <row r="9" spans="1:28">
      <c r="C9" s="9"/>
      <c r="D9" s="76"/>
      <c r="E9" s="6"/>
      <c r="F9" s="3"/>
      <c r="G9" s="76"/>
      <c r="H9" s="3"/>
      <c r="I9" s="248"/>
      <c r="K9" s="234"/>
      <c r="L9" s="3"/>
      <c r="M9" s="33" t="s">
        <v>718</v>
      </c>
      <c r="N9" s="248">
        <f>$K$8*'Paso 2-Energía'!$G$7/100</f>
        <v>0</v>
      </c>
      <c r="O9" s="3" t="s">
        <v>36</v>
      </c>
      <c r="P9" s="76">
        <v>1</v>
      </c>
      <c r="Q9" s="76"/>
      <c r="R9" s="76"/>
      <c r="S9" s="76"/>
      <c r="T9" s="76"/>
      <c r="U9" s="76"/>
      <c r="V9" s="116">
        <f t="shared" si="1"/>
        <v>0</v>
      </c>
      <c r="W9" s="116">
        <f t="shared" si="1"/>
        <v>0</v>
      </c>
      <c r="X9" s="116">
        <f t="shared" si="1"/>
        <v>0</v>
      </c>
      <c r="Y9" s="116">
        <f t="shared" si="1"/>
        <v>0</v>
      </c>
      <c r="Z9" s="116">
        <f t="shared" si="1"/>
        <v>0</v>
      </c>
      <c r="AA9" s="116">
        <f t="shared" si="1"/>
        <v>0</v>
      </c>
      <c r="AB9" s="76"/>
    </row>
    <row r="10" spans="1:28" ht="25">
      <c r="C10" s="9"/>
      <c r="D10" s="76"/>
      <c r="E10" s="6"/>
      <c r="F10" s="3"/>
      <c r="G10" s="76"/>
      <c r="H10" s="3"/>
      <c r="I10" s="248"/>
      <c r="K10" s="234"/>
      <c r="L10" s="3"/>
      <c r="M10" s="33" t="s">
        <v>719</v>
      </c>
      <c r="N10" s="248">
        <f>$K$8*'Paso 2-Energía'!$H$7/100</f>
        <v>0</v>
      </c>
      <c r="O10" s="3"/>
      <c r="P10" s="76">
        <f>ROUND((0.75+0.9+0.98)/3,2)</f>
        <v>0.88</v>
      </c>
      <c r="Q10" s="76"/>
      <c r="R10" s="76"/>
      <c r="S10" s="76"/>
      <c r="T10" s="76"/>
      <c r="U10" s="76">
        <f>1-P10</f>
        <v>0.12</v>
      </c>
      <c r="V10" s="116">
        <f t="shared" si="1"/>
        <v>0</v>
      </c>
      <c r="W10" s="116">
        <f t="shared" si="1"/>
        <v>0</v>
      </c>
      <c r="X10" s="116">
        <f t="shared" si="1"/>
        <v>0</v>
      </c>
      <c r="Y10" s="116">
        <f t="shared" si="1"/>
        <v>0</v>
      </c>
      <c r="Z10" s="116">
        <f t="shared" si="1"/>
        <v>0</v>
      </c>
      <c r="AA10" s="116">
        <f t="shared" si="1"/>
        <v>0</v>
      </c>
      <c r="AB10" s="76"/>
    </row>
    <row r="11" spans="1:28" ht="25">
      <c r="C11" s="9"/>
      <c r="D11" s="76"/>
      <c r="E11" s="6"/>
      <c r="F11" s="3"/>
      <c r="G11" s="76"/>
      <c r="H11" s="3"/>
      <c r="I11" s="248"/>
      <c r="K11" s="234"/>
      <c r="L11" s="3"/>
      <c r="M11" s="33" t="s">
        <v>720</v>
      </c>
      <c r="N11" s="248">
        <f>$K$8*'Paso 2-Energía'!$I$7/100</f>
        <v>0</v>
      </c>
      <c r="O11" s="3"/>
      <c r="P11" s="76">
        <f>ROUND((0.5+0.5+0.95)/3,2)</f>
        <v>0.65</v>
      </c>
      <c r="Q11" s="76"/>
      <c r="R11" s="76"/>
      <c r="S11" s="76"/>
      <c r="T11" s="76"/>
      <c r="U11" s="76">
        <f t="shared" ref="U11:U14" si="2">1-P11</f>
        <v>0.35</v>
      </c>
      <c r="V11" s="116">
        <f t="shared" si="1"/>
        <v>0</v>
      </c>
      <c r="W11" s="116">
        <f t="shared" si="1"/>
        <v>0</v>
      </c>
      <c r="X11" s="116">
        <f t="shared" si="1"/>
        <v>0</v>
      </c>
      <c r="Y11" s="116">
        <f t="shared" si="1"/>
        <v>0</v>
      </c>
      <c r="Z11" s="116">
        <f t="shared" si="1"/>
        <v>0</v>
      </c>
      <c r="AA11" s="116">
        <f t="shared" si="1"/>
        <v>0</v>
      </c>
      <c r="AB11" s="76"/>
    </row>
    <row r="12" spans="1:28" ht="25">
      <c r="C12" s="9"/>
      <c r="D12" s="76"/>
      <c r="E12" s="6"/>
      <c r="F12" s="3"/>
      <c r="G12" s="76"/>
      <c r="H12" s="3"/>
      <c r="I12" s="248"/>
      <c r="K12" s="234"/>
      <c r="L12" s="3"/>
      <c r="M12" s="33" t="s">
        <v>721</v>
      </c>
      <c r="N12" s="248">
        <f>$K$8*'Paso 2-Energía'!$J$7/100</f>
        <v>0</v>
      </c>
      <c r="O12" s="3"/>
      <c r="P12" s="76">
        <f>ROUND((0.35+0.6+0.8)/3,2)</f>
        <v>0.57999999999999996</v>
      </c>
      <c r="Q12" s="76"/>
      <c r="R12" s="76"/>
      <c r="S12" s="76"/>
      <c r="T12" s="76"/>
      <c r="U12" s="76">
        <f t="shared" si="2"/>
        <v>0.42000000000000004</v>
      </c>
      <c r="V12" s="116">
        <f t="shared" si="1"/>
        <v>0</v>
      </c>
      <c r="W12" s="116">
        <f t="shared" si="1"/>
        <v>0</v>
      </c>
      <c r="X12" s="116">
        <f t="shared" si="1"/>
        <v>0</v>
      </c>
      <c r="Y12" s="116">
        <f t="shared" si="1"/>
        <v>0</v>
      </c>
      <c r="Z12" s="116">
        <f t="shared" si="1"/>
        <v>0</v>
      </c>
      <c r="AA12" s="116">
        <f t="shared" si="1"/>
        <v>0</v>
      </c>
      <c r="AB12" s="76"/>
    </row>
    <row r="13" spans="1:28" ht="25">
      <c r="C13" s="9"/>
      <c r="D13" s="76"/>
      <c r="E13" s="6"/>
      <c r="F13" s="3"/>
      <c r="G13" s="76"/>
      <c r="H13" s="3"/>
      <c r="I13" s="248"/>
      <c r="K13" s="234"/>
      <c r="L13" s="3"/>
      <c r="M13" s="33" t="s">
        <v>722</v>
      </c>
      <c r="N13" s="248">
        <f>$K$8*'Paso 2-Energía'!$K$7/100</f>
        <v>0</v>
      </c>
      <c r="O13" s="3"/>
      <c r="P13" s="76">
        <f>ROUND((0.1+0.75+0.8)/3,2)</f>
        <v>0.55000000000000004</v>
      </c>
      <c r="Q13" s="76"/>
      <c r="R13" s="76"/>
      <c r="S13" s="76"/>
      <c r="T13" s="76"/>
      <c r="U13" s="76">
        <f t="shared" si="2"/>
        <v>0.44999999999999996</v>
      </c>
      <c r="V13" s="116">
        <f t="shared" ref="V13:V14" si="3">$N13*P13</f>
        <v>0</v>
      </c>
      <c r="W13" s="116">
        <f t="shared" ref="W13:W14" si="4">$N13*Q13</f>
        <v>0</v>
      </c>
      <c r="X13" s="116">
        <f t="shared" ref="X13:X14" si="5">$N13*R13</f>
        <v>0</v>
      </c>
      <c r="Y13" s="116">
        <f t="shared" ref="Y13:Y14" si="6">$N13*S13</f>
        <v>0</v>
      </c>
      <c r="Z13" s="116">
        <f t="shared" ref="Z13:Z14" si="7">$N13*T13</f>
        <v>0</v>
      </c>
      <c r="AA13" s="116">
        <f t="shared" ref="AA13:AA14" si="8">$N13*U13</f>
        <v>0</v>
      </c>
      <c r="AB13" s="76"/>
    </row>
    <row r="14" spans="1:28" ht="25">
      <c r="C14" s="9"/>
      <c r="D14" s="76"/>
      <c r="E14" s="6"/>
      <c r="F14" s="3"/>
      <c r="G14" s="76"/>
      <c r="H14" s="3"/>
      <c r="I14" s="248"/>
      <c r="K14" s="234"/>
      <c r="L14" s="3"/>
      <c r="M14" s="631" t="s">
        <v>723</v>
      </c>
      <c r="N14" s="248">
        <f>$K$8*'Paso 2-Energía'!$L$7/100</f>
        <v>0</v>
      </c>
      <c r="O14" s="3"/>
      <c r="P14" s="76">
        <f>ROUND((0.03+0.25+0.25)/3,2)</f>
        <v>0.18</v>
      </c>
      <c r="Q14" s="76"/>
      <c r="R14" s="76"/>
      <c r="S14" s="76"/>
      <c r="T14" s="76"/>
      <c r="U14" s="76">
        <f t="shared" si="2"/>
        <v>0.82000000000000006</v>
      </c>
      <c r="V14" s="116">
        <f t="shared" si="3"/>
        <v>0</v>
      </c>
      <c r="W14" s="116">
        <f t="shared" si="4"/>
        <v>0</v>
      </c>
      <c r="X14" s="116">
        <f t="shared" si="5"/>
        <v>0</v>
      </c>
      <c r="Y14" s="116">
        <f t="shared" si="6"/>
        <v>0</v>
      </c>
      <c r="Z14" s="116">
        <f t="shared" si="7"/>
        <v>0</v>
      </c>
      <c r="AA14" s="116">
        <f t="shared" si="8"/>
        <v>0</v>
      </c>
      <c r="AB14" s="76"/>
    </row>
    <row r="15" spans="1:28" ht="13">
      <c r="C15" s="9"/>
      <c r="D15" s="76"/>
      <c r="G15" s="76"/>
      <c r="I15" s="247"/>
      <c r="K15" s="234"/>
      <c r="M15" s="15"/>
      <c r="N15" s="248"/>
      <c r="O15" s="3"/>
      <c r="P15" s="76"/>
      <c r="Q15" s="76"/>
      <c r="R15" s="76"/>
      <c r="S15" s="76"/>
      <c r="T15" s="76"/>
      <c r="U15" s="76"/>
      <c r="V15" s="58"/>
      <c r="W15" s="58"/>
      <c r="X15" s="58"/>
      <c r="Y15" s="58"/>
      <c r="Z15" s="58"/>
      <c r="AA15" s="58"/>
      <c r="AB15" s="76"/>
    </row>
    <row r="16" spans="1:28" s="91" customFormat="1" ht="26">
      <c r="A16" s="88"/>
      <c r="B16" s="632" t="s">
        <v>725</v>
      </c>
      <c r="C16" s="633" t="s">
        <v>724</v>
      </c>
      <c r="D16" s="111"/>
      <c r="E16" s="88"/>
      <c r="F16" s="88"/>
      <c r="G16" s="76"/>
      <c r="H16" s="88"/>
      <c r="I16" s="247"/>
      <c r="J16" s="88"/>
      <c r="K16" s="340">
        <f>SUM(K17:K18)</f>
        <v>0</v>
      </c>
      <c r="L16" s="88"/>
      <c r="M16" s="90"/>
      <c r="N16" s="248"/>
      <c r="O16" s="88"/>
      <c r="P16" s="76"/>
      <c r="Q16" s="76"/>
      <c r="R16" s="76"/>
      <c r="S16" s="76"/>
      <c r="T16" s="76"/>
      <c r="U16" s="76"/>
      <c r="V16" s="114">
        <f>SUM(V17:V24)</f>
        <v>0</v>
      </c>
      <c r="W16" s="114">
        <f>SUM(W17:W24)</f>
        <v>0</v>
      </c>
      <c r="X16" s="114">
        <f>SUM(X17:X24)</f>
        <v>0</v>
      </c>
      <c r="Y16" s="114">
        <f>SUM(Y17:Y24)-Y17</f>
        <v>0</v>
      </c>
      <c r="Z16" s="114">
        <f>SUM(Z17:Z24)</f>
        <v>0</v>
      </c>
      <c r="AA16" s="114">
        <f>SUM(AA17:AA24)</f>
        <v>0</v>
      </c>
      <c r="AB16" s="76"/>
    </row>
    <row r="17" spans="1:28" ht="13">
      <c r="A17" s="7"/>
      <c r="B17" s="3"/>
      <c r="C17" s="12" t="s">
        <v>60</v>
      </c>
      <c r="D17" s="111"/>
      <c r="E17" s="6" t="s">
        <v>48</v>
      </c>
      <c r="F17" s="3" t="s">
        <v>342</v>
      </c>
      <c r="G17" s="76">
        <v>0.15</v>
      </c>
      <c r="H17" s="3" t="s">
        <v>342</v>
      </c>
      <c r="I17" s="248"/>
      <c r="J17" t="s">
        <v>323</v>
      </c>
      <c r="K17" s="238">
        <f>G17*I17/1000</f>
        <v>0</v>
      </c>
      <c r="L17" s="3" t="s">
        <v>36</v>
      </c>
      <c r="M17" s="32"/>
      <c r="N17" s="248"/>
      <c r="O17" s="3"/>
      <c r="P17" s="76"/>
      <c r="Q17" s="76">
        <v>0.01</v>
      </c>
      <c r="R17" s="76"/>
      <c r="S17" s="76">
        <v>0.8</v>
      </c>
      <c r="T17" s="76">
        <v>0.19</v>
      </c>
      <c r="U17" s="76"/>
      <c r="V17" s="116">
        <f t="shared" ref="V17:V24" si="9">$N17*P17</f>
        <v>0</v>
      </c>
      <c r="W17" s="116">
        <f t="shared" ref="W17:W24" si="10">$N17*Q17</f>
        <v>0</v>
      </c>
      <c r="X17" s="116">
        <f t="shared" ref="X17:X24" si="11">$N17*R17</f>
        <v>0</v>
      </c>
      <c r="Y17" s="116">
        <f t="shared" ref="Y17:Y24" si="12">$N17*S17</f>
        <v>0</v>
      </c>
      <c r="Z17" s="116">
        <f t="shared" ref="Z17:Z24" si="13">$N17*T17</f>
        <v>0</v>
      </c>
      <c r="AA17" s="116">
        <f t="shared" ref="AA17:AA24" si="14">$N17*U17</f>
        <v>0</v>
      </c>
      <c r="AB17" s="76"/>
    </row>
    <row r="18" spans="1:28" ht="65">
      <c r="A18" s="3"/>
      <c r="B18" s="3"/>
      <c r="C18" s="12" t="s">
        <v>727</v>
      </c>
      <c r="D18" s="111"/>
      <c r="E18" s="6" t="s">
        <v>58</v>
      </c>
      <c r="F18" s="3" t="s">
        <v>342</v>
      </c>
      <c r="G18" s="584">
        <f>(0.15+0.15+0.1)/3</f>
        <v>0.13333333333333333</v>
      </c>
      <c r="H18" s="3" t="s">
        <v>342</v>
      </c>
      <c r="I18" s="248">
        <f>'Paso 2-Energía'!C8</f>
        <v>0</v>
      </c>
      <c r="J18" t="s">
        <v>323</v>
      </c>
      <c r="K18" s="238">
        <f>G18*I18/1000</f>
        <v>0</v>
      </c>
      <c r="L18" s="3" t="s">
        <v>64</v>
      </c>
      <c r="M18" s="33"/>
      <c r="N18" s="248"/>
      <c r="O18" s="3"/>
      <c r="P18" s="76"/>
      <c r="Q18" s="76"/>
      <c r="R18" s="76"/>
      <c r="S18" s="76"/>
      <c r="T18" s="76"/>
      <c r="U18" s="76"/>
      <c r="V18" s="116">
        <f t="shared" si="9"/>
        <v>0</v>
      </c>
      <c r="W18" s="116">
        <f t="shared" si="10"/>
        <v>0</v>
      </c>
      <c r="X18" s="116">
        <f t="shared" si="11"/>
        <v>0</v>
      </c>
      <c r="Y18" s="116">
        <f t="shared" si="12"/>
        <v>0</v>
      </c>
      <c r="Z18" s="116">
        <f t="shared" si="13"/>
        <v>0</v>
      </c>
      <c r="AA18" s="116">
        <f t="shared" si="14"/>
        <v>0</v>
      </c>
      <c r="AB18" s="76"/>
    </row>
    <row r="19" spans="1:28" ht="13">
      <c r="A19" s="3"/>
      <c r="B19" s="3"/>
      <c r="C19" s="9"/>
      <c r="D19" s="76"/>
      <c r="E19" s="6"/>
      <c r="F19" s="3"/>
      <c r="G19" s="76"/>
      <c r="H19" s="3"/>
      <c r="I19" s="248"/>
      <c r="K19" s="234"/>
      <c r="L19" s="3"/>
      <c r="M19" s="33" t="s">
        <v>718</v>
      </c>
      <c r="N19" s="248">
        <f>$K$18*'Paso 2-Energía'!$G$10/100</f>
        <v>0</v>
      </c>
      <c r="O19" s="3" t="s">
        <v>36</v>
      </c>
      <c r="P19" s="76">
        <v>1</v>
      </c>
      <c r="Q19" s="117"/>
      <c r="R19" s="118"/>
      <c r="S19" s="118"/>
      <c r="T19" s="117"/>
      <c r="U19" s="76"/>
      <c r="V19" s="116">
        <f t="shared" si="9"/>
        <v>0</v>
      </c>
      <c r="W19" s="116">
        <f t="shared" si="10"/>
        <v>0</v>
      </c>
      <c r="X19" s="116">
        <f t="shared" si="11"/>
        <v>0</v>
      </c>
      <c r="Y19" s="116">
        <f t="shared" si="12"/>
        <v>0</v>
      </c>
      <c r="Z19" s="116">
        <f t="shared" si="13"/>
        <v>0</v>
      </c>
      <c r="AA19" s="116">
        <f t="shared" si="14"/>
        <v>0</v>
      </c>
      <c r="AB19" s="76"/>
    </row>
    <row r="20" spans="1:28" ht="25">
      <c r="A20" s="3"/>
      <c r="B20" s="3"/>
      <c r="C20" s="9"/>
      <c r="D20" s="76"/>
      <c r="E20" s="6"/>
      <c r="F20" s="3"/>
      <c r="G20" s="76"/>
      <c r="H20" s="3"/>
      <c r="I20" s="248"/>
      <c r="K20" s="234"/>
      <c r="L20" s="3"/>
      <c r="M20" s="33" t="s">
        <v>719</v>
      </c>
      <c r="N20" s="248">
        <f>$K$18*'Paso 2-Energía'!$H$10/100</f>
        <v>0</v>
      </c>
      <c r="O20" s="3"/>
      <c r="P20" s="76">
        <f>ROUND((0.75+0.95+0.95)/3,2)</f>
        <v>0.88</v>
      </c>
      <c r="Q20" s="76"/>
      <c r="R20" s="76"/>
      <c r="S20" s="76"/>
      <c r="T20" s="76"/>
      <c r="U20" s="76">
        <f>1-P20</f>
        <v>0.12</v>
      </c>
      <c r="V20" s="116">
        <f t="shared" si="9"/>
        <v>0</v>
      </c>
      <c r="W20" s="116">
        <f t="shared" si="10"/>
        <v>0</v>
      </c>
      <c r="X20" s="116">
        <f t="shared" si="11"/>
        <v>0</v>
      </c>
      <c r="Y20" s="116">
        <f t="shared" si="12"/>
        <v>0</v>
      </c>
      <c r="Z20" s="116">
        <f t="shared" si="13"/>
        <v>0</v>
      </c>
      <c r="AA20" s="116">
        <f t="shared" si="14"/>
        <v>0</v>
      </c>
      <c r="AB20" s="76"/>
    </row>
    <row r="21" spans="1:28" ht="25">
      <c r="A21" s="3"/>
      <c r="B21" s="3"/>
      <c r="C21" s="9"/>
      <c r="D21" s="76"/>
      <c r="E21" s="6"/>
      <c r="F21" s="3"/>
      <c r="G21" s="76"/>
      <c r="H21" s="3"/>
      <c r="I21" s="248"/>
      <c r="K21" s="234"/>
      <c r="L21" s="3"/>
      <c r="M21" s="33" t="s">
        <v>720</v>
      </c>
      <c r="N21" s="248">
        <f>$K$18*'Paso 2-Energía'!$I$10/100</f>
        <v>0</v>
      </c>
      <c r="O21" s="3"/>
      <c r="P21" s="76">
        <f>ROUND((0.5+0.5+0.5)/3,2)</f>
        <v>0.5</v>
      </c>
      <c r="Q21" s="76"/>
      <c r="R21" s="76"/>
      <c r="S21" s="76"/>
      <c r="T21" s="76"/>
      <c r="U21" s="76">
        <f t="shared" ref="U21:U24" si="15">1-P21</f>
        <v>0.5</v>
      </c>
      <c r="V21" s="116">
        <f t="shared" si="9"/>
        <v>0</v>
      </c>
      <c r="W21" s="116">
        <f t="shared" si="10"/>
        <v>0</v>
      </c>
      <c r="X21" s="116">
        <f t="shared" si="11"/>
        <v>0</v>
      </c>
      <c r="Y21" s="116">
        <f t="shared" si="12"/>
        <v>0</v>
      </c>
      <c r="Z21" s="116">
        <f t="shared" si="13"/>
        <v>0</v>
      </c>
      <c r="AA21" s="116">
        <f t="shared" si="14"/>
        <v>0</v>
      </c>
      <c r="AB21" s="76"/>
    </row>
    <row r="22" spans="1:28" ht="25">
      <c r="A22" s="3"/>
      <c r="B22" s="3"/>
      <c r="C22" s="9"/>
      <c r="D22" s="76"/>
      <c r="E22" s="6"/>
      <c r="F22" s="3"/>
      <c r="G22" s="76"/>
      <c r="H22" s="3"/>
      <c r="I22" s="248"/>
      <c r="K22" s="234"/>
      <c r="L22" s="3"/>
      <c r="M22" s="33" t="s">
        <v>721</v>
      </c>
      <c r="N22" s="248">
        <f>$K$18*'Paso 2-Energía'!$J$10/100</f>
        <v>0</v>
      </c>
      <c r="O22" s="3"/>
      <c r="P22" s="76">
        <f>ROUND((0.5+0.7+0.7)/3,2)</f>
        <v>0.63</v>
      </c>
      <c r="Q22" s="76"/>
      <c r="R22" s="76"/>
      <c r="S22" s="76"/>
      <c r="T22" s="76"/>
      <c r="U22" s="76">
        <f t="shared" si="15"/>
        <v>0.37</v>
      </c>
      <c r="V22" s="116">
        <f t="shared" ref="V22:V23" si="16">$N22*P22</f>
        <v>0</v>
      </c>
      <c r="W22" s="116">
        <f t="shared" ref="W22:W23" si="17">$N22*Q22</f>
        <v>0</v>
      </c>
      <c r="X22" s="116">
        <f t="shared" ref="X22:X23" si="18">$N22*R22</f>
        <v>0</v>
      </c>
      <c r="Y22" s="116">
        <f t="shared" ref="Y22:Y23" si="19">$N22*S22</f>
        <v>0</v>
      </c>
      <c r="Z22" s="116">
        <f t="shared" ref="Z22:Z23" si="20">$N22*T22</f>
        <v>0</v>
      </c>
      <c r="AA22" s="116">
        <f t="shared" ref="AA22:AA23" si="21">$N22*U22</f>
        <v>0</v>
      </c>
      <c r="AB22" s="76"/>
    </row>
    <row r="23" spans="1:28" ht="25">
      <c r="A23" s="3"/>
      <c r="B23" s="3"/>
      <c r="C23" s="9"/>
      <c r="D23" s="76"/>
      <c r="E23" s="6"/>
      <c r="F23" s="3"/>
      <c r="G23" s="76"/>
      <c r="H23" s="3"/>
      <c r="I23" s="248"/>
      <c r="K23" s="234"/>
      <c r="L23" s="3"/>
      <c r="M23" s="33" t="s">
        <v>722</v>
      </c>
      <c r="N23" s="248">
        <f>$K$18*'Paso 2-Energía'!$K$10/100</f>
        <v>0</v>
      </c>
      <c r="O23" s="3"/>
      <c r="P23" s="76">
        <f>ROUND((0.1+0.8+0.8)/3,2)</f>
        <v>0.56999999999999995</v>
      </c>
      <c r="Q23" s="76"/>
      <c r="R23" s="76"/>
      <c r="S23" s="76"/>
      <c r="T23" s="76"/>
      <c r="U23" s="76">
        <f t="shared" si="15"/>
        <v>0.43000000000000005</v>
      </c>
      <c r="V23" s="116">
        <f t="shared" si="16"/>
        <v>0</v>
      </c>
      <c r="W23" s="116">
        <f t="shared" si="17"/>
        <v>0</v>
      </c>
      <c r="X23" s="116">
        <f t="shared" si="18"/>
        <v>0</v>
      </c>
      <c r="Y23" s="116">
        <f t="shared" si="19"/>
        <v>0</v>
      </c>
      <c r="Z23" s="116">
        <f t="shared" si="20"/>
        <v>0</v>
      </c>
      <c r="AA23" s="116">
        <f t="shared" si="21"/>
        <v>0</v>
      </c>
      <c r="AB23" s="76"/>
    </row>
    <row r="24" spans="1:28" ht="25">
      <c r="A24" s="3"/>
      <c r="B24" s="3"/>
      <c r="C24" s="9"/>
      <c r="D24" s="76"/>
      <c r="E24" s="6"/>
      <c r="F24" s="3"/>
      <c r="G24" s="76"/>
      <c r="H24" s="3"/>
      <c r="I24" s="248"/>
      <c r="K24" s="234"/>
      <c r="L24" s="3"/>
      <c r="M24" s="631" t="s">
        <v>723</v>
      </c>
      <c r="N24" s="248">
        <f>$K$18*'Paso 2-Energía'!$L$10/100</f>
        <v>0</v>
      </c>
      <c r="O24" s="3"/>
      <c r="P24" s="76">
        <f>ROUND((0.03+0.25+0.25)/3,2)</f>
        <v>0.18</v>
      </c>
      <c r="Q24" s="76"/>
      <c r="R24" s="76"/>
      <c r="S24" s="76"/>
      <c r="T24" s="76"/>
      <c r="U24" s="76">
        <f t="shared" si="15"/>
        <v>0.82000000000000006</v>
      </c>
      <c r="V24" s="116">
        <f t="shared" si="9"/>
        <v>0</v>
      </c>
      <c r="W24" s="116">
        <f t="shared" si="10"/>
        <v>0</v>
      </c>
      <c r="X24" s="116">
        <f t="shared" si="11"/>
        <v>0</v>
      </c>
      <c r="Y24" s="116">
        <f t="shared" si="12"/>
        <v>0</v>
      </c>
      <c r="Z24" s="116">
        <f t="shared" si="13"/>
        <v>0</v>
      </c>
      <c r="AA24" s="116">
        <f t="shared" si="14"/>
        <v>0</v>
      </c>
      <c r="AB24" s="76"/>
    </row>
    <row r="25" spans="1:28" ht="13">
      <c r="A25" s="3"/>
      <c r="B25" s="3"/>
      <c r="C25" s="9"/>
      <c r="D25" s="76"/>
      <c r="E25" s="6"/>
      <c r="F25" s="3"/>
      <c r="G25" s="76"/>
      <c r="H25" s="3"/>
      <c r="I25" s="248"/>
      <c r="K25" s="234"/>
      <c r="L25" s="3"/>
      <c r="M25" s="32"/>
      <c r="N25" s="248"/>
      <c r="O25" s="3"/>
      <c r="P25" s="117"/>
      <c r="Q25" s="117"/>
      <c r="R25" s="118"/>
      <c r="S25" s="118"/>
      <c r="T25" s="117"/>
      <c r="U25" s="76"/>
      <c r="V25" s="116"/>
      <c r="W25" s="116"/>
      <c r="X25" s="116"/>
      <c r="Y25" s="116"/>
      <c r="Z25" s="116"/>
      <c r="AA25" s="116"/>
      <c r="AB25" s="76"/>
    </row>
    <row r="26" spans="1:28" s="91" customFormat="1" ht="13">
      <c r="A26" s="88"/>
      <c r="B26" s="632" t="s">
        <v>726</v>
      </c>
      <c r="C26" s="89" t="s">
        <v>62</v>
      </c>
      <c r="D26" s="111"/>
      <c r="E26" s="88"/>
      <c r="F26" s="88"/>
      <c r="G26" s="76"/>
      <c r="H26" s="88"/>
      <c r="I26" s="247"/>
      <c r="J26" s="88"/>
      <c r="K26" s="340">
        <f>SUM(K27:K28)</f>
        <v>0</v>
      </c>
      <c r="L26" s="88"/>
      <c r="M26" s="90"/>
      <c r="N26" s="248"/>
      <c r="O26" s="88"/>
      <c r="P26" s="76"/>
      <c r="Q26" s="76"/>
      <c r="R26" s="76"/>
      <c r="S26" s="76"/>
      <c r="T26" s="76"/>
      <c r="U26" s="76"/>
      <c r="V26" s="114">
        <f>SUM(V27:V32)</f>
        <v>0</v>
      </c>
      <c r="W26" s="114">
        <f t="shared" ref="W26:AA26" si="22">SUM(W27:W32)</f>
        <v>0</v>
      </c>
      <c r="X26" s="114">
        <f t="shared" si="22"/>
        <v>0</v>
      </c>
      <c r="Y26" s="114">
        <f t="shared" si="22"/>
        <v>0</v>
      </c>
      <c r="Z26" s="114">
        <f t="shared" si="22"/>
        <v>0</v>
      </c>
      <c r="AA26" s="114">
        <f t="shared" si="22"/>
        <v>0</v>
      </c>
      <c r="AB26" s="76"/>
    </row>
    <row r="27" spans="1:28" s="48" customFormat="1" ht="13">
      <c r="A27" s="92"/>
      <c r="B27" s="28"/>
      <c r="C27" s="93" t="s">
        <v>63</v>
      </c>
      <c r="D27" s="111"/>
      <c r="E27" s="95" t="s">
        <v>48</v>
      </c>
      <c r="F27" s="28" t="s">
        <v>342</v>
      </c>
      <c r="G27" s="76">
        <v>0.15</v>
      </c>
      <c r="H27" s="28" t="s">
        <v>342</v>
      </c>
      <c r="I27" s="248"/>
      <c r="J27" s="48" t="s">
        <v>323</v>
      </c>
      <c r="K27" s="234">
        <f>G27*I27/1000</f>
        <v>0</v>
      </c>
      <c r="L27" s="101" t="s">
        <v>36</v>
      </c>
      <c r="M27" s="96"/>
      <c r="N27" s="248"/>
      <c r="O27" s="28"/>
      <c r="P27" s="76">
        <v>1</v>
      </c>
      <c r="Q27" s="76"/>
      <c r="R27" s="76"/>
      <c r="S27" s="76"/>
      <c r="T27" s="76"/>
      <c r="U27" s="76"/>
      <c r="V27" s="116">
        <f t="shared" ref="V27:V32" si="23">$N27*P27</f>
        <v>0</v>
      </c>
      <c r="W27" s="116">
        <f t="shared" ref="W27:W32" si="24">$N27*Q27</f>
        <v>0</v>
      </c>
      <c r="X27" s="116">
        <f t="shared" ref="X27:X32" si="25">$N27*R27</f>
        <v>0</v>
      </c>
      <c r="Y27" s="116">
        <f t="shared" ref="Y27:Y32" si="26">$N27*S27</f>
        <v>0</v>
      </c>
      <c r="Z27" s="116">
        <f t="shared" ref="Z27:Z32" si="27">$N27*T27</f>
        <v>0</v>
      </c>
      <c r="AA27" s="116">
        <f t="shared" ref="AA27:AA32" si="28">$N27*U27</f>
        <v>0</v>
      </c>
      <c r="AB27" s="76"/>
    </row>
    <row r="28" spans="1:28" ht="52">
      <c r="A28" s="3"/>
      <c r="B28" s="3"/>
      <c r="C28" s="12" t="s">
        <v>762</v>
      </c>
      <c r="D28" s="111"/>
      <c r="E28" s="6" t="s">
        <v>58</v>
      </c>
      <c r="F28" s="3" t="s">
        <v>342</v>
      </c>
      <c r="G28" s="584">
        <f>(0.15+0.15+0.1)/3</f>
        <v>0.13333333333333333</v>
      </c>
      <c r="H28" s="3" t="s">
        <v>342</v>
      </c>
      <c r="I28" s="248">
        <f>'Paso 2-Energía'!C11</f>
        <v>0</v>
      </c>
      <c r="J28" t="s">
        <v>323</v>
      </c>
      <c r="K28" s="238">
        <f>G28*I28/1000</f>
        <v>0</v>
      </c>
      <c r="L28" s="3" t="s">
        <v>64</v>
      </c>
      <c r="M28" s="33"/>
      <c r="N28" s="248"/>
      <c r="O28" s="3"/>
      <c r="P28" s="76"/>
      <c r="Q28" s="76"/>
      <c r="R28" s="76"/>
      <c r="S28" s="76"/>
      <c r="T28" s="76"/>
      <c r="U28" s="76"/>
      <c r="V28" s="116">
        <f t="shared" si="23"/>
        <v>0</v>
      </c>
      <c r="W28" s="116">
        <f t="shared" si="24"/>
        <v>0</v>
      </c>
      <c r="X28" s="116">
        <f t="shared" si="25"/>
        <v>0</v>
      </c>
      <c r="Y28" s="116">
        <f t="shared" si="26"/>
        <v>0</v>
      </c>
      <c r="Z28" s="116">
        <f t="shared" si="27"/>
        <v>0</v>
      </c>
      <c r="AA28" s="116">
        <f t="shared" si="28"/>
        <v>0</v>
      </c>
      <c r="AB28" s="76"/>
    </row>
    <row r="29" spans="1:28" ht="13">
      <c r="A29" s="3"/>
      <c r="B29" s="3"/>
      <c r="C29" s="9"/>
      <c r="D29" s="76"/>
      <c r="E29" s="6"/>
      <c r="F29" s="3"/>
      <c r="G29" s="76"/>
      <c r="H29" s="3"/>
      <c r="I29" s="248"/>
      <c r="K29" s="234"/>
      <c r="L29" s="3"/>
      <c r="M29" s="630" t="s">
        <v>428</v>
      </c>
      <c r="N29" s="248">
        <f>K28</f>
        <v>0</v>
      </c>
      <c r="O29" s="3" t="s">
        <v>36</v>
      </c>
      <c r="P29" s="76">
        <v>1</v>
      </c>
      <c r="Q29" s="117"/>
      <c r="R29" s="118"/>
      <c r="S29" s="118"/>
      <c r="T29" s="117"/>
      <c r="U29" s="76"/>
      <c r="V29" s="116">
        <f t="shared" si="23"/>
        <v>0</v>
      </c>
      <c r="W29" s="116">
        <f t="shared" si="24"/>
        <v>0</v>
      </c>
      <c r="X29" s="116">
        <f t="shared" si="25"/>
        <v>0</v>
      </c>
      <c r="Y29" s="116">
        <f t="shared" si="26"/>
        <v>0</v>
      </c>
      <c r="Z29" s="116">
        <f t="shared" si="27"/>
        <v>0</v>
      </c>
      <c r="AA29" s="116">
        <f t="shared" si="28"/>
        <v>0</v>
      </c>
      <c r="AB29" s="76"/>
    </row>
    <row r="30" spans="1:28" ht="13">
      <c r="A30" s="3"/>
      <c r="B30" s="3"/>
      <c r="C30" s="9"/>
      <c r="D30" s="76"/>
      <c r="E30" s="6"/>
      <c r="F30" s="3"/>
      <c r="G30" s="76"/>
      <c r="H30" s="3"/>
      <c r="I30" s="248"/>
      <c r="K30" s="234"/>
      <c r="L30" s="3"/>
      <c r="M30" s="33"/>
      <c r="N30" s="248"/>
      <c r="O30" s="3"/>
      <c r="P30" s="117"/>
      <c r="Q30" s="117"/>
      <c r="R30" s="118"/>
      <c r="S30" s="118"/>
      <c r="T30" s="117"/>
      <c r="U30" s="76"/>
      <c r="V30" s="116">
        <f t="shared" si="23"/>
        <v>0</v>
      </c>
      <c r="W30" s="116">
        <f t="shared" si="24"/>
        <v>0</v>
      </c>
      <c r="X30" s="116">
        <f t="shared" si="25"/>
        <v>0</v>
      </c>
      <c r="Y30" s="116">
        <f t="shared" si="26"/>
        <v>0</v>
      </c>
      <c r="Z30" s="116">
        <f t="shared" si="27"/>
        <v>0</v>
      </c>
      <c r="AA30" s="116">
        <f t="shared" si="28"/>
        <v>0</v>
      </c>
      <c r="AB30" s="76"/>
    </row>
    <row r="31" spans="1:28" ht="13">
      <c r="A31" s="3"/>
      <c r="B31" s="3"/>
      <c r="C31" s="9"/>
      <c r="D31" s="76"/>
      <c r="E31" s="6"/>
      <c r="F31" s="3"/>
      <c r="G31" s="76"/>
      <c r="H31" s="3"/>
      <c r="I31" s="248"/>
      <c r="K31" s="234"/>
      <c r="L31" s="3"/>
      <c r="M31" s="33"/>
      <c r="N31" s="248"/>
      <c r="O31" s="3"/>
      <c r="P31" s="117"/>
      <c r="Q31" s="117"/>
      <c r="R31" s="118"/>
      <c r="S31" s="118"/>
      <c r="T31" s="117"/>
      <c r="U31" s="76"/>
      <c r="V31" s="116">
        <f t="shared" si="23"/>
        <v>0</v>
      </c>
      <c r="W31" s="116">
        <f t="shared" si="24"/>
        <v>0</v>
      </c>
      <c r="X31" s="116">
        <f t="shared" si="25"/>
        <v>0</v>
      </c>
      <c r="Y31" s="116">
        <f t="shared" si="26"/>
        <v>0</v>
      </c>
      <c r="Z31" s="116">
        <f t="shared" si="27"/>
        <v>0</v>
      </c>
      <c r="AA31" s="116">
        <f t="shared" si="28"/>
        <v>0</v>
      </c>
      <c r="AB31" s="76"/>
    </row>
    <row r="32" spans="1:28" ht="13">
      <c r="A32" s="3"/>
      <c r="B32" s="3"/>
      <c r="C32" s="9"/>
      <c r="D32" s="76"/>
      <c r="E32" s="6"/>
      <c r="F32" s="3"/>
      <c r="G32" s="76"/>
      <c r="H32" s="3"/>
      <c r="I32" s="248"/>
      <c r="K32" s="234"/>
      <c r="L32" s="3"/>
      <c r="M32" s="33"/>
      <c r="N32" s="248"/>
      <c r="O32" s="3"/>
      <c r="P32" s="117"/>
      <c r="Q32" s="117"/>
      <c r="R32" s="118"/>
      <c r="S32" s="118"/>
      <c r="T32" s="117"/>
      <c r="U32" s="76"/>
      <c r="V32" s="116">
        <f t="shared" si="23"/>
        <v>0</v>
      </c>
      <c r="W32" s="116">
        <f t="shared" si="24"/>
        <v>0</v>
      </c>
      <c r="X32" s="116">
        <f t="shared" si="25"/>
        <v>0</v>
      </c>
      <c r="Y32" s="116">
        <f t="shared" si="26"/>
        <v>0</v>
      </c>
      <c r="Z32" s="116">
        <f t="shared" si="27"/>
        <v>0</v>
      </c>
      <c r="AA32" s="116">
        <f t="shared" si="28"/>
        <v>0</v>
      </c>
      <c r="AB32" s="76"/>
    </row>
    <row r="33" spans="1:28" ht="13">
      <c r="A33" s="3"/>
      <c r="B33" s="3"/>
      <c r="C33" s="9"/>
      <c r="D33" s="76"/>
      <c r="E33" s="6"/>
      <c r="F33" s="3"/>
      <c r="G33" s="76"/>
      <c r="H33" s="3"/>
      <c r="I33" s="248"/>
      <c r="K33" s="234"/>
      <c r="L33" s="3"/>
      <c r="M33" s="32"/>
      <c r="N33" s="248"/>
      <c r="O33" s="3"/>
      <c r="P33" s="117"/>
      <c r="Q33" s="117"/>
      <c r="R33" s="118"/>
      <c r="S33" s="118"/>
      <c r="T33" s="117"/>
      <c r="U33" s="76"/>
      <c r="V33" s="116"/>
      <c r="W33" s="116"/>
      <c r="X33" s="116"/>
      <c r="Y33" s="116"/>
      <c r="Z33" s="116"/>
      <c r="AA33" s="116"/>
      <c r="AB33" s="76"/>
    </row>
    <row r="34" spans="1:28" s="91" customFormat="1" ht="26">
      <c r="A34" s="88"/>
      <c r="B34" s="88" t="s">
        <v>65</v>
      </c>
      <c r="C34" s="97" t="s">
        <v>70</v>
      </c>
      <c r="D34" s="111"/>
      <c r="E34" s="98"/>
      <c r="F34" s="88"/>
      <c r="G34" s="76"/>
      <c r="H34" s="88"/>
      <c r="I34" s="248"/>
      <c r="K34" s="364"/>
      <c r="L34" s="88"/>
      <c r="M34" s="99"/>
      <c r="N34" s="248"/>
      <c r="O34" s="88"/>
      <c r="P34" s="117"/>
      <c r="Q34" s="117"/>
      <c r="R34" s="118"/>
      <c r="S34" s="118"/>
      <c r="T34" s="117"/>
      <c r="U34" s="76"/>
      <c r="V34" s="114">
        <f>SUM(V35:V47)</f>
        <v>0</v>
      </c>
      <c r="W34" s="114">
        <f t="shared" ref="W34:Z34" si="29">SUM(W35:W47)</f>
        <v>0</v>
      </c>
      <c r="X34" s="114">
        <f t="shared" si="29"/>
        <v>0</v>
      </c>
      <c r="Y34" s="114">
        <f t="shared" si="29"/>
        <v>0</v>
      </c>
      <c r="Z34" s="114">
        <f t="shared" si="29"/>
        <v>0</v>
      </c>
      <c r="AA34" s="114">
        <f>SUM(AA35:AA47)</f>
        <v>0</v>
      </c>
      <c r="AB34" s="76"/>
    </row>
    <row r="35" spans="1:28" s="48" customFormat="1" ht="13">
      <c r="A35" s="28"/>
      <c r="B35" s="28"/>
      <c r="C35" s="100" t="s">
        <v>101</v>
      </c>
      <c r="D35" s="111"/>
      <c r="E35" s="547" t="s">
        <v>684</v>
      </c>
      <c r="F35" s="3" t="s">
        <v>344</v>
      </c>
      <c r="G35" s="283">
        <v>3.4</v>
      </c>
      <c r="H35" s="3" t="s">
        <v>344</v>
      </c>
      <c r="I35" s="333">
        <f>'Paso 2-Energía'!C24</f>
        <v>0</v>
      </c>
      <c r="J35" t="s">
        <v>324</v>
      </c>
      <c r="K35" s="234">
        <f>G35/1000000*I35</f>
        <v>0</v>
      </c>
      <c r="L35" s="101"/>
      <c r="M35" s="35"/>
      <c r="N35" s="248">
        <f>K35</f>
        <v>0</v>
      </c>
      <c r="O35" s="28"/>
      <c r="P35" s="362"/>
      <c r="Q35" s="362">
        <v>0.2</v>
      </c>
      <c r="R35" s="362"/>
      <c r="S35" s="362"/>
      <c r="T35" s="362"/>
      <c r="U35" s="362"/>
      <c r="V35" s="116">
        <f t="shared" ref="V35:AA35" si="30">$N35*P35</f>
        <v>0</v>
      </c>
      <c r="W35" s="116">
        <f t="shared" si="30"/>
        <v>0</v>
      </c>
      <c r="X35" s="116">
        <f t="shared" si="30"/>
        <v>0</v>
      </c>
      <c r="Y35" s="116">
        <f t="shared" si="30"/>
        <v>0</v>
      </c>
      <c r="Z35" s="116">
        <f t="shared" si="30"/>
        <v>0</v>
      </c>
      <c r="AA35" s="116">
        <f t="shared" si="30"/>
        <v>0</v>
      </c>
      <c r="AB35" s="76"/>
    </row>
    <row r="36" spans="1:28" ht="13">
      <c r="A36" s="3"/>
      <c r="B36" s="3"/>
      <c r="C36" s="12" t="s">
        <v>102</v>
      </c>
      <c r="D36" s="111"/>
      <c r="E36" s="547" t="s">
        <v>684</v>
      </c>
      <c r="F36" s="3" t="s">
        <v>344</v>
      </c>
      <c r="G36" s="76">
        <v>3.4</v>
      </c>
      <c r="H36" s="3" t="s">
        <v>344</v>
      </c>
      <c r="I36" s="248">
        <f>'Paso 2-Energía'!C25</f>
        <v>0</v>
      </c>
      <c r="J36" t="s">
        <v>324</v>
      </c>
      <c r="K36" s="234">
        <f>G36/1000000*I36</f>
        <v>0</v>
      </c>
      <c r="L36" s="3" t="s">
        <v>36</v>
      </c>
      <c r="M36" s="15"/>
      <c r="N36" s="248">
        <f>K36</f>
        <v>0</v>
      </c>
      <c r="O36" s="3"/>
      <c r="P36" s="362">
        <v>0.25</v>
      </c>
      <c r="Q36" s="362">
        <v>0.01</v>
      </c>
      <c r="R36" s="362"/>
      <c r="S36" s="362"/>
      <c r="T36" s="362"/>
      <c r="U36" s="362">
        <v>0.15</v>
      </c>
      <c r="V36" s="116">
        <f t="shared" ref="V36:AA36" si="31">$N36*P36</f>
        <v>0</v>
      </c>
      <c r="W36" s="116">
        <f t="shared" si="31"/>
        <v>0</v>
      </c>
      <c r="X36" s="116">
        <f t="shared" si="31"/>
        <v>0</v>
      </c>
      <c r="Y36" s="116">
        <f t="shared" si="31"/>
        <v>0</v>
      </c>
      <c r="Z36" s="116">
        <f t="shared" si="31"/>
        <v>0</v>
      </c>
      <c r="AA36" s="116">
        <f t="shared" si="31"/>
        <v>0</v>
      </c>
      <c r="AB36" s="76"/>
    </row>
    <row r="37" spans="1:28" ht="26">
      <c r="A37" s="3"/>
      <c r="B37" s="3"/>
      <c r="C37" s="12" t="s">
        <v>408</v>
      </c>
      <c r="D37" s="111"/>
      <c r="E37" s="11"/>
      <c r="F37" s="3"/>
      <c r="G37" s="76"/>
      <c r="H37" s="3"/>
      <c r="I37" s="248"/>
      <c r="K37" s="234"/>
      <c r="L37" s="3"/>
      <c r="M37" s="15"/>
      <c r="N37" s="248"/>
      <c r="O37" s="3"/>
      <c r="P37" s="117"/>
      <c r="Q37" s="117"/>
      <c r="R37" s="118"/>
      <c r="S37" s="118"/>
      <c r="T37" s="117"/>
      <c r="U37" s="117"/>
      <c r="V37" s="116"/>
      <c r="W37" s="116"/>
      <c r="X37" s="116"/>
      <c r="Y37" s="116"/>
      <c r="Z37" s="116"/>
      <c r="AA37" s="116"/>
      <c r="AB37" s="76"/>
    </row>
    <row r="38" spans="1:28" ht="13">
      <c r="A38" s="3"/>
      <c r="B38" s="3"/>
      <c r="C38" s="9" t="s">
        <v>66</v>
      </c>
      <c r="D38" s="76"/>
      <c r="E38" s="11" t="s">
        <v>409</v>
      </c>
      <c r="F38" s="3" t="s">
        <v>344</v>
      </c>
      <c r="G38" s="76">
        <v>20</v>
      </c>
      <c r="H38" s="3" t="s">
        <v>344</v>
      </c>
      <c r="I38" s="248"/>
      <c r="J38" t="s">
        <v>324</v>
      </c>
      <c r="K38" s="234">
        <f>G38/1000000*I38</f>
        <v>0</v>
      </c>
      <c r="L38" s="3" t="s">
        <v>36</v>
      </c>
      <c r="M38" s="15"/>
      <c r="N38" s="248"/>
      <c r="O38" s="3"/>
      <c r="P38" s="117">
        <v>1</v>
      </c>
      <c r="Q38" s="117"/>
      <c r="R38" s="118"/>
      <c r="S38" s="118"/>
      <c r="T38" s="117"/>
      <c r="U38" s="117"/>
      <c r="V38" s="116">
        <f t="shared" ref="V38:AA40" si="32">$N38*P38</f>
        <v>0</v>
      </c>
      <c r="W38" s="116">
        <f t="shared" si="32"/>
        <v>0</v>
      </c>
      <c r="X38" s="116">
        <f t="shared" si="32"/>
        <v>0</v>
      </c>
      <c r="Y38" s="116">
        <f t="shared" si="32"/>
        <v>0</v>
      </c>
      <c r="Z38" s="116">
        <f t="shared" si="32"/>
        <v>0</v>
      </c>
      <c r="AA38" s="116">
        <f t="shared" si="32"/>
        <v>0</v>
      </c>
      <c r="AB38" s="76"/>
    </row>
    <row r="39" spans="1:28" ht="13">
      <c r="A39" s="3"/>
      <c r="B39" s="3"/>
      <c r="C39" s="9" t="s">
        <v>411</v>
      </c>
      <c r="D39" s="76"/>
      <c r="E39" s="6" t="s">
        <v>409</v>
      </c>
      <c r="F39" s="3" t="s">
        <v>344</v>
      </c>
      <c r="G39" s="76">
        <v>20</v>
      </c>
      <c r="H39" s="3" t="s">
        <v>344</v>
      </c>
      <c r="I39" s="248">
        <f>'Paso 2-Energía'!C12</f>
        <v>0</v>
      </c>
      <c r="J39" t="s">
        <v>324</v>
      </c>
      <c r="K39" s="238">
        <f>G39/1000000*I39</f>
        <v>0</v>
      </c>
      <c r="L39" s="3" t="s">
        <v>36</v>
      </c>
      <c r="M39" s="33" t="s">
        <v>774</v>
      </c>
      <c r="N39" s="248">
        <f>$K$39*'Paso 2-Energía'!$G$14/100</f>
        <v>0</v>
      </c>
      <c r="O39" s="3"/>
      <c r="P39" s="117">
        <v>1</v>
      </c>
      <c r="Q39" s="117"/>
      <c r="R39" s="118"/>
      <c r="S39" s="118"/>
      <c r="T39" s="117"/>
      <c r="U39" s="117"/>
      <c r="V39" s="116">
        <f t="shared" si="32"/>
        <v>0</v>
      </c>
      <c r="W39" s="116">
        <f t="shared" si="32"/>
        <v>0</v>
      </c>
      <c r="X39" s="116">
        <f t="shared" si="32"/>
        <v>0</v>
      </c>
      <c r="Y39" s="116">
        <f t="shared" si="32"/>
        <v>0</v>
      </c>
      <c r="Z39" s="116">
        <f t="shared" si="32"/>
        <v>0</v>
      </c>
      <c r="AA39" s="116">
        <f t="shared" si="32"/>
        <v>0</v>
      </c>
      <c r="AB39" s="76"/>
    </row>
    <row r="40" spans="1:28" ht="37.5">
      <c r="A40" s="3"/>
      <c r="B40" s="3"/>
      <c r="C40" s="548"/>
      <c r="D40" s="76"/>
      <c r="E40" s="6"/>
      <c r="F40" s="3"/>
      <c r="G40" s="76"/>
      <c r="H40" s="3"/>
      <c r="I40" s="248"/>
      <c r="K40" s="234"/>
      <c r="L40" s="3"/>
      <c r="M40" s="631" t="s">
        <v>69</v>
      </c>
      <c r="N40" s="248">
        <f>$K$39*'Paso 2-Energía'!$H$14/100</f>
        <v>0</v>
      </c>
      <c r="O40" s="3"/>
      <c r="P40" s="117">
        <v>0.9</v>
      </c>
      <c r="Q40" s="117"/>
      <c r="R40" s="118"/>
      <c r="S40" s="118"/>
      <c r="T40" s="117"/>
      <c r="U40" s="117">
        <v>0.1</v>
      </c>
      <c r="V40" s="116">
        <f t="shared" si="32"/>
        <v>0</v>
      </c>
      <c r="W40" s="116">
        <f t="shared" si="32"/>
        <v>0</v>
      </c>
      <c r="X40" s="116">
        <f t="shared" si="32"/>
        <v>0</v>
      </c>
      <c r="Y40" s="116">
        <f t="shared" si="32"/>
        <v>0</v>
      </c>
      <c r="Z40" s="116">
        <f t="shared" si="32"/>
        <v>0</v>
      </c>
      <c r="AA40" s="116">
        <f t="shared" si="32"/>
        <v>0</v>
      </c>
      <c r="AB40" s="76"/>
    </row>
    <row r="41" spans="1:28" ht="25">
      <c r="A41" s="3"/>
      <c r="B41" s="3"/>
      <c r="C41" s="548"/>
      <c r="D41" s="76"/>
      <c r="E41" s="6"/>
      <c r="F41" s="3"/>
      <c r="G41" s="76"/>
      <c r="H41" s="3"/>
      <c r="I41" s="248"/>
      <c r="K41" s="234"/>
      <c r="L41" s="3"/>
      <c r="M41" s="631" t="s">
        <v>728</v>
      </c>
      <c r="N41" s="248">
        <f>$K$39*'Paso 2-Energía'!$I$14/100</f>
        <v>0</v>
      </c>
      <c r="O41" s="3"/>
      <c r="P41" s="117">
        <v>0.5</v>
      </c>
      <c r="Q41" s="117"/>
      <c r="R41" s="118"/>
      <c r="S41" s="118"/>
      <c r="T41" s="117"/>
      <c r="U41" s="117">
        <v>0.5</v>
      </c>
      <c r="V41" s="116">
        <f t="shared" ref="V41" si="33">$N41*P41</f>
        <v>0</v>
      </c>
      <c r="W41" s="116">
        <f t="shared" ref="W41" si="34">$N41*Q41</f>
        <v>0</v>
      </c>
      <c r="X41" s="116">
        <f t="shared" ref="X41" si="35">$N41*R41</f>
        <v>0</v>
      </c>
      <c r="Y41" s="116">
        <f>$N41*S41</f>
        <v>0</v>
      </c>
      <c r="Z41" s="116">
        <f t="shared" ref="Z41" si="36">$N41*T41</f>
        <v>0</v>
      </c>
      <c r="AA41" s="116">
        <f>$N41*U41</f>
        <v>0</v>
      </c>
      <c r="AB41" s="76"/>
    </row>
    <row r="42" spans="1:28" ht="26">
      <c r="A42" s="3"/>
      <c r="B42" s="3"/>
      <c r="C42" s="12" t="s">
        <v>406</v>
      </c>
      <c r="D42" s="112"/>
      <c r="E42" s="6"/>
      <c r="F42" s="3"/>
      <c r="G42" s="76"/>
      <c r="H42" s="3"/>
      <c r="I42" s="248"/>
      <c r="K42" s="234"/>
      <c r="L42" s="3"/>
      <c r="M42" s="15"/>
      <c r="N42" s="248"/>
      <c r="O42" s="3"/>
      <c r="P42" s="117"/>
      <c r="Q42" s="117"/>
      <c r="R42" s="118"/>
      <c r="S42" s="118"/>
      <c r="T42" s="117"/>
      <c r="U42" s="76"/>
      <c r="V42" s="116"/>
      <c r="W42" s="116"/>
      <c r="X42" s="116"/>
      <c r="Y42" s="116"/>
      <c r="Z42" s="116"/>
      <c r="AA42" s="116"/>
      <c r="AB42" s="76"/>
    </row>
    <row r="43" spans="1:28" ht="25.5">
      <c r="A43" s="3"/>
      <c r="B43" s="3"/>
      <c r="C43" s="9" t="s">
        <v>407</v>
      </c>
      <c r="D43" s="76"/>
      <c r="E43" s="6" t="s">
        <v>410</v>
      </c>
      <c r="F43" s="3" t="s">
        <v>344</v>
      </c>
      <c r="G43" s="76">
        <v>2</v>
      </c>
      <c r="H43" s="3" t="s">
        <v>344</v>
      </c>
      <c r="I43" s="248">
        <f>'Paso 2-Energía'!C15</f>
        <v>0</v>
      </c>
      <c r="J43" t="s">
        <v>324</v>
      </c>
      <c r="K43" s="234">
        <f>G43/1000000*I43</f>
        <v>0</v>
      </c>
      <c r="L43" s="3" t="s">
        <v>36</v>
      </c>
      <c r="M43" s="32"/>
      <c r="N43" s="248"/>
      <c r="O43" s="3"/>
      <c r="P43" s="117">
        <v>1</v>
      </c>
      <c r="Q43" s="117"/>
      <c r="R43" s="118"/>
      <c r="S43" s="118"/>
      <c r="T43" s="117"/>
      <c r="U43" s="76"/>
      <c r="V43" s="116">
        <f t="shared" ref="V43:AA46" si="37">$N43*P43</f>
        <v>0</v>
      </c>
      <c r="W43" s="116">
        <f t="shared" si="37"/>
        <v>0</v>
      </c>
      <c r="X43" s="116">
        <f t="shared" si="37"/>
        <v>0</v>
      </c>
      <c r="Y43" s="116">
        <f t="shared" si="37"/>
        <v>0</v>
      </c>
      <c r="Z43" s="116">
        <f t="shared" si="37"/>
        <v>0</v>
      </c>
      <c r="AA43" s="116">
        <f t="shared" si="37"/>
        <v>0</v>
      </c>
      <c r="AB43" s="76"/>
    </row>
    <row r="44" spans="1:28" ht="25.5">
      <c r="A44" s="3"/>
      <c r="B44" s="3"/>
      <c r="C44" s="9" t="s">
        <v>67</v>
      </c>
      <c r="D44" s="76"/>
      <c r="E44" s="6" t="s">
        <v>410</v>
      </c>
      <c r="F44" s="3" t="s">
        <v>344</v>
      </c>
      <c r="G44" s="76">
        <v>2</v>
      </c>
      <c r="H44" s="3" t="s">
        <v>344</v>
      </c>
      <c r="I44" s="248"/>
      <c r="J44" t="s">
        <v>324</v>
      </c>
      <c r="K44" s="238">
        <f>G44/1000000*I44</f>
        <v>0</v>
      </c>
      <c r="L44" s="3" t="s">
        <v>36</v>
      </c>
      <c r="M44" s="32"/>
      <c r="N44" s="248"/>
      <c r="O44" s="3"/>
      <c r="P44" s="117">
        <v>1</v>
      </c>
      <c r="Q44" s="117"/>
      <c r="R44" s="118"/>
      <c r="S44" s="118"/>
      <c r="T44" s="117"/>
      <c r="U44" s="76"/>
      <c r="V44" s="116">
        <f t="shared" si="37"/>
        <v>0</v>
      </c>
      <c r="W44" s="116">
        <f t="shared" si="37"/>
        <v>0</v>
      </c>
      <c r="X44" s="116">
        <f t="shared" si="37"/>
        <v>0</v>
      </c>
      <c r="Y44" s="116">
        <f t="shared" si="37"/>
        <v>0</v>
      </c>
      <c r="Z44" s="116">
        <f t="shared" si="37"/>
        <v>0</v>
      </c>
      <c r="AA44" s="116">
        <f t="shared" si="37"/>
        <v>0</v>
      </c>
      <c r="AB44" s="76"/>
    </row>
    <row r="45" spans="1:28" ht="25">
      <c r="A45" s="3"/>
      <c r="B45" s="3"/>
      <c r="C45" s="9" t="s">
        <v>155</v>
      </c>
      <c r="D45" s="76"/>
      <c r="E45" s="6" t="s">
        <v>410</v>
      </c>
      <c r="F45" s="3" t="s">
        <v>344</v>
      </c>
      <c r="G45" s="76">
        <v>2</v>
      </c>
      <c r="H45" s="3" t="s">
        <v>344</v>
      </c>
      <c r="I45" s="248"/>
      <c r="J45" t="s">
        <v>324</v>
      </c>
      <c r="K45" s="238">
        <f>G45/1000000*I45</f>
        <v>0</v>
      </c>
      <c r="L45" s="3" t="s">
        <v>36</v>
      </c>
      <c r="M45" s="33" t="s">
        <v>68</v>
      </c>
      <c r="N45" s="248">
        <f>SUM($K$43:$K$45)*'Paso 2-Energía'!$G$17/100</f>
        <v>0</v>
      </c>
      <c r="O45" s="3"/>
      <c r="P45" s="117">
        <v>1</v>
      </c>
      <c r="Q45" s="117"/>
      <c r="R45" s="118"/>
      <c r="S45" s="118"/>
      <c r="T45" s="117"/>
      <c r="U45" s="76"/>
      <c r="V45" s="116">
        <f t="shared" si="37"/>
        <v>0</v>
      </c>
      <c r="W45" s="116">
        <f t="shared" si="37"/>
        <v>0</v>
      </c>
      <c r="X45" s="116">
        <f t="shared" si="37"/>
        <v>0</v>
      </c>
      <c r="Y45" s="116">
        <f t="shared" si="37"/>
        <v>0</v>
      </c>
      <c r="Z45" s="116">
        <f t="shared" si="37"/>
        <v>0</v>
      </c>
      <c r="AA45" s="116">
        <f t="shared" si="37"/>
        <v>0</v>
      </c>
      <c r="AB45" s="76"/>
    </row>
    <row r="46" spans="1:28" ht="37.5">
      <c r="A46" s="3"/>
      <c r="B46" s="3"/>
      <c r="C46" s="548"/>
      <c r="D46" s="76"/>
      <c r="E46" s="6"/>
      <c r="F46" s="3"/>
      <c r="G46" s="76"/>
      <c r="H46" s="3"/>
      <c r="I46" s="248"/>
      <c r="K46" s="234"/>
      <c r="L46" s="3"/>
      <c r="M46" s="33" t="s">
        <v>69</v>
      </c>
      <c r="N46" s="248">
        <f>SUM($K$43:$K$45)*'Paso 2-Energía'!$H$17/100</f>
        <v>0</v>
      </c>
      <c r="O46" s="3"/>
      <c r="P46" s="117">
        <v>0.9</v>
      </c>
      <c r="Q46" s="117"/>
      <c r="R46" s="118"/>
      <c r="S46" s="118"/>
      <c r="T46" s="117"/>
      <c r="U46" s="117">
        <v>0.1</v>
      </c>
      <c r="V46" s="116">
        <f t="shared" si="37"/>
        <v>0</v>
      </c>
      <c r="W46" s="116">
        <f t="shared" si="37"/>
        <v>0</v>
      </c>
      <c r="X46" s="116">
        <f t="shared" si="37"/>
        <v>0</v>
      </c>
      <c r="Y46" s="116">
        <f t="shared" si="37"/>
        <v>0</v>
      </c>
      <c r="Z46" s="116">
        <f t="shared" si="37"/>
        <v>0</v>
      </c>
      <c r="AA46" s="116">
        <f t="shared" si="37"/>
        <v>0</v>
      </c>
      <c r="AB46" s="76"/>
    </row>
    <row r="47" spans="1:28" ht="25">
      <c r="A47" s="3"/>
      <c r="B47" s="3"/>
      <c r="C47" s="548"/>
      <c r="D47" s="76"/>
      <c r="E47" s="6"/>
      <c r="F47" s="3"/>
      <c r="G47" s="76"/>
      <c r="H47" s="3"/>
      <c r="I47" s="248"/>
      <c r="K47" s="234"/>
      <c r="L47" s="3"/>
      <c r="M47" s="631" t="s">
        <v>728</v>
      </c>
      <c r="N47" s="248">
        <f>SUM($K$43:$K$45)*'Paso 2-Energía'!$I$17/100</f>
        <v>0</v>
      </c>
      <c r="O47" s="3"/>
      <c r="P47" s="117">
        <v>0.5</v>
      </c>
      <c r="Q47" s="117"/>
      <c r="R47" s="118"/>
      <c r="S47" s="118"/>
      <c r="T47" s="117"/>
      <c r="U47" s="117">
        <v>0.5</v>
      </c>
      <c r="V47" s="116">
        <f t="shared" ref="V47" si="38">$N47*P47</f>
        <v>0</v>
      </c>
      <c r="W47" s="116">
        <f t="shared" ref="W47" si="39">$N47*Q47</f>
        <v>0</v>
      </c>
      <c r="X47" s="116">
        <f t="shared" ref="X47" si="40">$N47*R47</f>
        <v>0</v>
      </c>
      <c r="Y47" s="116">
        <f t="shared" ref="Y47" si="41">$N47*S47</f>
        <v>0</v>
      </c>
      <c r="Z47" s="116">
        <f t="shared" ref="Z47" si="42">$N47*T47</f>
        <v>0</v>
      </c>
      <c r="AA47" s="116">
        <f t="shared" ref="AA47" si="43">$N47*U47</f>
        <v>0</v>
      </c>
      <c r="AB47" s="76"/>
    </row>
    <row r="48" spans="1:28" s="55" customFormat="1" ht="13">
      <c r="A48" s="104"/>
      <c r="B48" s="104"/>
      <c r="C48" s="105"/>
      <c r="D48" s="76"/>
      <c r="E48" s="106"/>
      <c r="F48" s="104"/>
      <c r="G48" s="76"/>
      <c r="H48" s="104"/>
      <c r="I48" s="248"/>
      <c r="K48" s="234"/>
      <c r="L48" s="104"/>
      <c r="M48" s="107"/>
      <c r="N48" s="248"/>
      <c r="O48" s="104"/>
      <c r="P48" s="117"/>
      <c r="Q48" s="117"/>
      <c r="R48" s="118"/>
      <c r="S48" s="118"/>
      <c r="T48" s="117"/>
      <c r="U48" s="76"/>
      <c r="V48" s="116"/>
      <c r="W48" s="116"/>
      <c r="X48" s="116"/>
      <c r="Y48" s="116"/>
      <c r="Z48" s="116"/>
      <c r="AA48" s="116"/>
      <c r="AB48" s="76"/>
    </row>
    <row r="49" spans="1:28" ht="26">
      <c r="A49" s="3"/>
      <c r="B49" s="3" t="s">
        <v>71</v>
      </c>
      <c r="C49" s="12" t="s">
        <v>72</v>
      </c>
      <c r="D49" s="111"/>
      <c r="E49" s="6"/>
      <c r="F49" s="3"/>
      <c r="G49" s="76"/>
      <c r="H49" s="3"/>
      <c r="I49" s="248"/>
      <c r="K49" s="364"/>
      <c r="L49" s="3"/>
      <c r="M49" s="33"/>
      <c r="N49" s="248"/>
      <c r="O49" s="3"/>
      <c r="P49" s="117"/>
      <c r="Q49" s="117"/>
      <c r="R49" s="118"/>
      <c r="S49" s="118"/>
      <c r="T49" s="117"/>
      <c r="U49" s="76"/>
      <c r="V49" s="114">
        <f t="shared" ref="V49:AA49" si="44">SUM(V50,V51)</f>
        <v>0</v>
      </c>
      <c r="W49" s="114">
        <f t="shared" si="44"/>
        <v>0</v>
      </c>
      <c r="X49" s="114">
        <f t="shared" si="44"/>
        <v>0</v>
      </c>
      <c r="Y49" s="114">
        <f t="shared" si="44"/>
        <v>0</v>
      </c>
      <c r="Z49" s="114">
        <f t="shared" si="44"/>
        <v>0</v>
      </c>
      <c r="AA49" s="114">
        <f t="shared" si="44"/>
        <v>0</v>
      </c>
      <c r="AB49" s="76"/>
    </row>
    <row r="50" spans="1:28" ht="25.5">
      <c r="A50" s="3"/>
      <c r="B50" s="3"/>
      <c r="C50" s="12" t="s">
        <v>103</v>
      </c>
      <c r="D50" s="111"/>
      <c r="E50" s="6" t="s">
        <v>75</v>
      </c>
      <c r="F50" s="3" t="s">
        <v>76</v>
      </c>
      <c r="G50" s="76">
        <v>100</v>
      </c>
      <c r="H50" s="3" t="s">
        <v>76</v>
      </c>
      <c r="I50" s="248">
        <f>'Paso 2-Energía'!C26</f>
        <v>0</v>
      </c>
      <c r="J50" t="s">
        <v>73</v>
      </c>
      <c r="K50" s="237">
        <f>G50*I50/1000000000</f>
        <v>0</v>
      </c>
      <c r="L50" s="3" t="s">
        <v>36</v>
      </c>
      <c r="M50" s="33" t="s">
        <v>415</v>
      </c>
      <c r="N50" s="248">
        <f>$K$50*'Paso 2-Energía'!$G$28/100</f>
        <v>0</v>
      </c>
      <c r="O50" s="3"/>
      <c r="P50" s="117">
        <v>0.2</v>
      </c>
      <c r="Q50" s="117">
        <v>0.2</v>
      </c>
      <c r="R50" s="117"/>
      <c r="S50" s="117">
        <v>0.5</v>
      </c>
      <c r="T50" s="117"/>
      <c r="U50" s="117">
        <v>0.1</v>
      </c>
      <c r="V50" s="116">
        <f>$N50*P50</f>
        <v>0</v>
      </c>
      <c r="W50" s="116">
        <f t="shared" ref="V50:AA53" si="45">$N50*Q50</f>
        <v>0</v>
      </c>
      <c r="X50" s="116">
        <f t="shared" si="45"/>
        <v>0</v>
      </c>
      <c r="Y50" s="116">
        <f t="shared" si="45"/>
        <v>0</v>
      </c>
      <c r="Z50" s="116">
        <f t="shared" si="45"/>
        <v>0</v>
      </c>
      <c r="AA50" s="116">
        <f t="shared" si="45"/>
        <v>0</v>
      </c>
      <c r="AB50" s="76"/>
    </row>
    <row r="51" spans="1:28" ht="25.5">
      <c r="A51" s="3"/>
      <c r="B51" s="3"/>
      <c r="C51" s="12"/>
      <c r="D51" s="111"/>
      <c r="E51" s="6"/>
      <c r="F51" s="3"/>
      <c r="G51" s="76"/>
      <c r="H51" s="3"/>
      <c r="I51" s="248"/>
      <c r="K51" s="237"/>
      <c r="L51" s="3"/>
      <c r="M51" s="33" t="s">
        <v>414</v>
      </c>
      <c r="N51" s="248">
        <f>$K$50*'Paso 2-Energía'!$H$28/100</f>
        <v>0</v>
      </c>
      <c r="O51" s="3"/>
      <c r="P51" s="117">
        <v>0.1</v>
      </c>
      <c r="Q51" s="117">
        <v>0.2</v>
      </c>
      <c r="R51" s="117"/>
      <c r="S51" s="117">
        <v>0.1</v>
      </c>
      <c r="T51" s="117"/>
      <c r="U51" s="117">
        <v>0.6</v>
      </c>
      <c r="V51" s="116">
        <f t="shared" ref="V51:AA51" si="46">$N51*P51</f>
        <v>0</v>
      </c>
      <c r="W51" s="116">
        <f t="shared" si="46"/>
        <v>0</v>
      </c>
      <c r="X51" s="116">
        <f t="shared" si="46"/>
        <v>0</v>
      </c>
      <c r="Y51" s="116">
        <f t="shared" si="46"/>
        <v>0</v>
      </c>
      <c r="Z51" s="116">
        <f t="shared" si="46"/>
        <v>0</v>
      </c>
      <c r="AA51" s="116">
        <f t="shared" si="46"/>
        <v>0</v>
      </c>
      <c r="AB51" s="76"/>
    </row>
    <row r="52" spans="1:28" ht="26">
      <c r="A52" s="3"/>
      <c r="B52" s="3"/>
      <c r="C52" s="12" t="s">
        <v>104</v>
      </c>
      <c r="D52" s="111"/>
      <c r="E52" s="6" t="s">
        <v>75</v>
      </c>
      <c r="F52" s="3" t="s">
        <v>76</v>
      </c>
      <c r="G52" s="76">
        <v>100</v>
      </c>
      <c r="H52" s="3" t="s">
        <v>76</v>
      </c>
      <c r="I52" s="248">
        <f>'Paso 2-Energía'!C18</f>
        <v>0</v>
      </c>
      <c r="J52" t="s">
        <v>73</v>
      </c>
      <c r="K52" s="237">
        <f>G52/1000000000*I52</f>
        <v>0</v>
      </c>
      <c r="L52" s="3" t="s">
        <v>36</v>
      </c>
      <c r="M52" s="34"/>
      <c r="N52" s="248">
        <f>K52</f>
        <v>0</v>
      </c>
      <c r="O52" s="3"/>
      <c r="P52" s="117">
        <v>1</v>
      </c>
      <c r="Q52" s="117"/>
      <c r="R52" s="118"/>
      <c r="S52" s="118"/>
      <c r="T52" s="117"/>
      <c r="U52" s="76"/>
      <c r="V52" s="116">
        <f t="shared" si="45"/>
        <v>0</v>
      </c>
      <c r="W52" s="116">
        <f t="shared" si="45"/>
        <v>0</v>
      </c>
      <c r="X52" s="116">
        <f t="shared" si="45"/>
        <v>0</v>
      </c>
      <c r="Y52" s="116">
        <f t="shared" si="45"/>
        <v>0</v>
      </c>
      <c r="Z52" s="116">
        <f t="shared" si="45"/>
        <v>0</v>
      </c>
      <c r="AA52" s="116">
        <f t="shared" si="45"/>
        <v>0</v>
      </c>
      <c r="AB52" s="76"/>
    </row>
    <row r="53" spans="1:28" ht="26">
      <c r="A53" s="3"/>
      <c r="B53" s="3"/>
      <c r="C53" s="12" t="s">
        <v>105</v>
      </c>
      <c r="D53" s="111"/>
      <c r="E53" s="6" t="s">
        <v>74</v>
      </c>
      <c r="F53" s="3" t="s">
        <v>76</v>
      </c>
      <c r="G53" s="76">
        <v>0.22</v>
      </c>
      <c r="H53" s="3" t="s">
        <v>76</v>
      </c>
      <c r="I53" s="248">
        <f>'Paso 2-Energía'!C19</f>
        <v>0</v>
      </c>
      <c r="J53" t="s">
        <v>73</v>
      </c>
      <c r="K53" s="237">
        <f>G53/1000000000*I53</f>
        <v>0</v>
      </c>
      <c r="L53" s="3" t="s">
        <v>36</v>
      </c>
      <c r="M53" s="15"/>
      <c r="N53" s="451">
        <f>K53</f>
        <v>0</v>
      </c>
      <c r="O53" s="3"/>
      <c r="P53" s="117">
        <v>1</v>
      </c>
      <c r="Q53" s="117"/>
      <c r="R53" s="118"/>
      <c r="S53" s="118"/>
      <c r="T53" s="117"/>
      <c r="U53" s="76"/>
      <c r="V53" s="116">
        <f t="shared" si="45"/>
        <v>0</v>
      </c>
      <c r="W53" s="116">
        <f t="shared" si="45"/>
        <v>0</v>
      </c>
      <c r="X53" s="116">
        <f t="shared" si="45"/>
        <v>0</v>
      </c>
      <c r="Y53" s="116">
        <f t="shared" si="45"/>
        <v>0</v>
      </c>
      <c r="Z53" s="116">
        <f t="shared" si="45"/>
        <v>0</v>
      </c>
      <c r="AA53" s="116">
        <f t="shared" si="45"/>
        <v>0</v>
      </c>
      <c r="AB53" s="76"/>
    </row>
    <row r="54" spans="1:28" ht="13">
      <c r="A54" s="3"/>
      <c r="B54" s="3"/>
      <c r="C54" s="9"/>
      <c r="D54" s="76"/>
      <c r="E54" s="6"/>
      <c r="F54" s="3"/>
      <c r="G54" s="76"/>
      <c r="H54" s="3"/>
      <c r="I54" s="248"/>
      <c r="K54" s="238"/>
      <c r="L54" s="3"/>
      <c r="M54" s="15"/>
      <c r="N54" s="248"/>
      <c r="O54" s="3"/>
      <c r="P54" s="117"/>
      <c r="Q54" s="117"/>
      <c r="R54" s="118"/>
      <c r="S54" s="118"/>
      <c r="T54" s="117"/>
      <c r="U54" s="76"/>
      <c r="V54" s="116"/>
      <c r="W54" s="116"/>
      <c r="X54" s="116"/>
      <c r="Y54" s="116"/>
      <c r="Z54" s="116"/>
      <c r="AA54" s="116"/>
      <c r="AB54" s="76"/>
    </row>
    <row r="55" spans="1:28" s="55" customFormat="1" ht="13">
      <c r="A55" s="104"/>
      <c r="B55" s="104"/>
      <c r="C55" s="105"/>
      <c r="D55" s="76"/>
      <c r="E55" s="106"/>
      <c r="F55" s="104"/>
      <c r="G55" s="76"/>
      <c r="H55" s="104"/>
      <c r="I55" s="248"/>
      <c r="K55" s="238"/>
      <c r="L55" s="104"/>
      <c r="M55" s="107"/>
      <c r="N55" s="248"/>
      <c r="O55" s="104"/>
      <c r="P55" s="117"/>
      <c r="Q55" s="117"/>
      <c r="R55" s="118"/>
      <c r="S55" s="118"/>
      <c r="T55" s="117"/>
      <c r="U55" s="76"/>
      <c r="V55" s="116"/>
      <c r="W55" s="116"/>
      <c r="X55" s="116"/>
      <c r="Y55" s="116"/>
      <c r="Z55" s="116"/>
      <c r="AA55" s="116"/>
      <c r="AB55" s="76"/>
    </row>
    <row r="56" spans="1:28" ht="26">
      <c r="A56" s="3"/>
      <c r="B56" s="3" t="s">
        <v>77</v>
      </c>
      <c r="C56" s="12" t="s">
        <v>78</v>
      </c>
      <c r="D56" s="111"/>
      <c r="E56" s="6"/>
      <c r="F56" s="3"/>
      <c r="G56" s="76"/>
      <c r="H56" s="3"/>
      <c r="I56" s="248"/>
      <c r="K56" s="236"/>
      <c r="L56" s="3"/>
      <c r="M56" s="33"/>
      <c r="N56" s="248"/>
      <c r="O56" s="3"/>
      <c r="P56" s="117"/>
      <c r="Q56" s="117"/>
      <c r="R56" s="118"/>
      <c r="S56" s="118"/>
      <c r="T56" s="117"/>
      <c r="U56" s="76"/>
      <c r="V56" s="114">
        <f t="shared" ref="V56:AA56" si="47">SUM(V57:V58)</f>
        <v>0</v>
      </c>
      <c r="W56" s="114">
        <f t="shared" si="47"/>
        <v>0</v>
      </c>
      <c r="X56" s="114">
        <f t="shared" si="47"/>
        <v>0</v>
      </c>
      <c r="Y56" s="114">
        <f t="shared" si="47"/>
        <v>0</v>
      </c>
      <c r="Z56" s="114">
        <f t="shared" si="47"/>
        <v>0</v>
      </c>
      <c r="AA56" s="114">
        <f t="shared" si="47"/>
        <v>0</v>
      </c>
      <c r="AB56" s="76"/>
    </row>
    <row r="57" spans="1:28" ht="13">
      <c r="A57" s="3"/>
      <c r="B57" s="3"/>
      <c r="C57" s="12" t="s">
        <v>85</v>
      </c>
      <c r="D57" s="111"/>
      <c r="E57" s="11" t="s">
        <v>84</v>
      </c>
      <c r="F57" s="3" t="s">
        <v>346</v>
      </c>
      <c r="G57" s="76">
        <v>117</v>
      </c>
      <c r="H57" s="3" t="s">
        <v>346</v>
      </c>
      <c r="I57" s="248"/>
      <c r="J57" t="s">
        <v>325</v>
      </c>
      <c r="K57" s="238">
        <f>G57/1000*I57</f>
        <v>0</v>
      </c>
      <c r="L57" s="3" t="s">
        <v>36</v>
      </c>
      <c r="M57" s="33"/>
      <c r="N57" s="248"/>
      <c r="O57" s="3"/>
      <c r="P57" s="117">
        <v>1</v>
      </c>
      <c r="Q57" s="117"/>
      <c r="R57" s="118"/>
      <c r="S57" s="118"/>
      <c r="T57" s="117"/>
      <c r="U57" s="76"/>
      <c r="V57" s="116">
        <f t="shared" ref="V57:AA58" si="48">$N57*P57</f>
        <v>0</v>
      </c>
      <c r="W57" s="116">
        <f t="shared" si="48"/>
        <v>0</v>
      </c>
      <c r="X57" s="116">
        <f t="shared" si="48"/>
        <v>0</v>
      </c>
      <c r="Y57" s="116">
        <f t="shared" si="48"/>
        <v>0</v>
      </c>
      <c r="Z57" s="116">
        <f t="shared" si="48"/>
        <v>0</v>
      </c>
      <c r="AA57" s="116">
        <f t="shared" si="48"/>
        <v>0</v>
      </c>
      <c r="AB57" s="76"/>
    </row>
    <row r="58" spans="1:28" ht="13">
      <c r="C58" s="26" t="s">
        <v>79</v>
      </c>
      <c r="D58" s="111"/>
      <c r="F58" s="3"/>
      <c r="G58" s="76" t="s">
        <v>43</v>
      </c>
      <c r="H58" t="s">
        <v>43</v>
      </c>
      <c r="I58" s="247"/>
      <c r="J58" t="s">
        <v>326</v>
      </c>
      <c r="K58" s="234" t="s">
        <v>43</v>
      </c>
      <c r="L58" s="3" t="s">
        <v>36</v>
      </c>
      <c r="M58" s="33"/>
      <c r="N58" s="248"/>
      <c r="O58" s="3"/>
      <c r="P58" s="117">
        <v>1</v>
      </c>
      <c r="Q58" s="117"/>
      <c r="R58" s="118"/>
      <c r="S58" s="118"/>
      <c r="T58" s="117"/>
      <c r="U58" s="76"/>
      <c r="V58" s="116">
        <f t="shared" si="48"/>
        <v>0</v>
      </c>
      <c r="W58" s="116">
        <f t="shared" si="48"/>
        <v>0</v>
      </c>
      <c r="X58" s="116">
        <f t="shared" si="48"/>
        <v>0</v>
      </c>
      <c r="Y58" s="116">
        <f t="shared" si="48"/>
        <v>0</v>
      </c>
      <c r="Z58" s="116">
        <f t="shared" si="48"/>
        <v>0</v>
      </c>
      <c r="AA58" s="116">
        <f t="shared" si="48"/>
        <v>0</v>
      </c>
      <c r="AB58" s="76"/>
    </row>
    <row r="59" spans="1:28" ht="26">
      <c r="C59" s="26" t="s">
        <v>86</v>
      </c>
      <c r="D59" s="111"/>
      <c r="G59" s="76"/>
      <c r="I59" s="247"/>
      <c r="K59" s="234"/>
      <c r="M59" s="32"/>
      <c r="N59" s="248"/>
      <c r="O59" s="3"/>
      <c r="P59" s="76">
        <v>1</v>
      </c>
      <c r="Q59" s="76"/>
      <c r="R59" s="76"/>
      <c r="S59" s="76"/>
      <c r="T59" s="76"/>
      <c r="U59" s="76"/>
      <c r="V59" s="58"/>
      <c r="W59" s="58"/>
      <c r="X59" s="58"/>
      <c r="Y59" s="58"/>
      <c r="Z59" s="58"/>
      <c r="AA59" s="58"/>
      <c r="AB59" s="76"/>
    </row>
    <row r="60" spans="1:28" ht="13">
      <c r="C60" s="334"/>
      <c r="D60" s="76"/>
      <c r="G60" s="76"/>
      <c r="I60" s="247"/>
      <c r="K60" s="234"/>
      <c r="M60" s="32"/>
      <c r="N60" s="248"/>
      <c r="O60" s="3"/>
      <c r="P60" s="76"/>
      <c r="Q60" s="76"/>
      <c r="R60" s="76"/>
      <c r="S60" s="76"/>
      <c r="T60" s="76"/>
      <c r="U60" s="76"/>
      <c r="V60" s="58"/>
      <c r="W60" s="58"/>
      <c r="X60" s="58"/>
      <c r="Y60" s="58"/>
      <c r="Z60" s="58"/>
      <c r="AA60" s="58"/>
      <c r="AB60" s="76"/>
    </row>
    <row r="61" spans="1:28" s="55" customFormat="1" ht="13">
      <c r="C61" s="105"/>
      <c r="D61" s="76"/>
      <c r="G61" s="76"/>
      <c r="I61" s="247"/>
      <c r="K61" s="234"/>
      <c r="M61" s="108"/>
      <c r="N61" s="248"/>
      <c r="O61" s="104"/>
      <c r="P61" s="76"/>
      <c r="Q61" s="76"/>
      <c r="R61" s="76"/>
      <c r="S61" s="76"/>
      <c r="T61" s="76"/>
      <c r="U61" s="76"/>
      <c r="V61" s="58"/>
      <c r="W61" s="58"/>
      <c r="X61" s="58"/>
      <c r="Y61" s="58"/>
      <c r="Z61" s="58"/>
      <c r="AA61" s="58"/>
      <c r="AB61" s="76"/>
    </row>
    <row r="62" spans="1:28" ht="26">
      <c r="B62" t="s">
        <v>80</v>
      </c>
      <c r="C62" s="12" t="s">
        <v>81</v>
      </c>
      <c r="D62" s="111"/>
      <c r="E62" s="3" t="s">
        <v>413</v>
      </c>
      <c r="F62" s="3" t="s">
        <v>412</v>
      </c>
      <c r="G62" s="283">
        <v>0.03</v>
      </c>
      <c r="H62" s="3" t="s">
        <v>412</v>
      </c>
      <c r="I62" s="248">
        <f>'Paso 2-Energía'!C20</f>
        <v>0</v>
      </c>
      <c r="J62" s="3" t="s">
        <v>377</v>
      </c>
      <c r="K62" s="234">
        <f>I62*G62/1000</f>
        <v>0</v>
      </c>
      <c r="L62" s="3" t="s">
        <v>36</v>
      </c>
      <c r="M62" s="32"/>
      <c r="N62" s="248">
        <f>K62</f>
        <v>0</v>
      </c>
      <c r="O62" s="3"/>
      <c r="P62" s="76">
        <v>1</v>
      </c>
      <c r="Q62" s="76"/>
      <c r="R62" s="76"/>
      <c r="S62" s="76"/>
      <c r="T62" s="76"/>
      <c r="U62" s="76"/>
      <c r="V62" s="114">
        <f t="shared" ref="V62:AA62" si="49">$N62*P62</f>
        <v>0</v>
      </c>
      <c r="W62" s="114">
        <f t="shared" si="49"/>
        <v>0</v>
      </c>
      <c r="X62" s="114">
        <f t="shared" si="49"/>
        <v>0</v>
      </c>
      <c r="Y62" s="114">
        <f t="shared" si="49"/>
        <v>0</v>
      </c>
      <c r="Z62" s="114">
        <f t="shared" si="49"/>
        <v>0</v>
      </c>
      <c r="AA62" s="114">
        <f t="shared" si="49"/>
        <v>0</v>
      </c>
      <c r="AB62" s="76"/>
    </row>
    <row r="63" spans="1:28" ht="13">
      <c r="C63" s="334" t="s">
        <v>375</v>
      </c>
      <c r="D63" s="76"/>
      <c r="E63" s="363" t="s">
        <v>427</v>
      </c>
      <c r="F63" s="3" t="s">
        <v>412</v>
      </c>
      <c r="G63" s="283">
        <v>0.12</v>
      </c>
      <c r="H63" s="3" t="s">
        <v>412</v>
      </c>
      <c r="I63" s="248">
        <f>'Paso 2-Energía'!C21</f>
        <v>0</v>
      </c>
      <c r="J63" t="s">
        <v>378</v>
      </c>
      <c r="K63" s="234">
        <f>I63*G63/1000</f>
        <v>0</v>
      </c>
      <c r="L63" s="3" t="s">
        <v>36</v>
      </c>
      <c r="M63" s="32"/>
      <c r="N63" s="248">
        <f>K63</f>
        <v>0</v>
      </c>
      <c r="O63" s="3"/>
      <c r="P63" s="76">
        <v>1</v>
      </c>
      <c r="Q63" s="76"/>
      <c r="R63" s="76"/>
      <c r="S63" s="76"/>
      <c r="T63" s="76"/>
      <c r="U63" s="76"/>
      <c r="V63" s="114">
        <f t="shared" ref="V63:AA63" si="50">$N63*P63</f>
        <v>0</v>
      </c>
      <c r="W63" s="114">
        <f t="shared" si="50"/>
        <v>0</v>
      </c>
      <c r="X63" s="114">
        <f t="shared" si="50"/>
        <v>0</v>
      </c>
      <c r="Y63" s="114">
        <f t="shared" si="50"/>
        <v>0</v>
      </c>
      <c r="Z63" s="114">
        <f t="shared" si="50"/>
        <v>0</v>
      </c>
      <c r="AA63" s="114">
        <f t="shared" si="50"/>
        <v>0</v>
      </c>
      <c r="AB63" s="76"/>
    </row>
    <row r="64" spans="1:28" s="55" customFormat="1" ht="13">
      <c r="C64" s="105"/>
      <c r="D64" s="76"/>
      <c r="G64" s="76"/>
      <c r="I64" s="247"/>
      <c r="K64" s="234"/>
      <c r="M64" s="108"/>
      <c r="N64" s="248"/>
      <c r="O64" s="109"/>
      <c r="P64" s="76"/>
      <c r="Q64" s="76"/>
      <c r="R64" s="76"/>
      <c r="S64" s="76"/>
      <c r="T64" s="76"/>
      <c r="U64" s="76"/>
      <c r="V64" s="191"/>
      <c r="W64" s="191"/>
      <c r="X64" s="191"/>
      <c r="Y64" s="191"/>
      <c r="Z64" s="191"/>
      <c r="AA64" s="191"/>
      <c r="AB64" s="76"/>
    </row>
    <row r="65" spans="2:28" ht="26">
      <c r="B65" t="s">
        <v>82</v>
      </c>
      <c r="C65" s="26" t="s">
        <v>83</v>
      </c>
      <c r="D65" s="111"/>
      <c r="E65" t="s">
        <v>43</v>
      </c>
      <c r="F65" t="s">
        <v>43</v>
      </c>
      <c r="G65" s="76" t="s">
        <v>43</v>
      </c>
      <c r="H65" t="s">
        <v>43</v>
      </c>
      <c r="I65" s="247" t="s">
        <v>43</v>
      </c>
      <c r="J65" t="s">
        <v>43</v>
      </c>
      <c r="K65" s="234" t="s">
        <v>43</v>
      </c>
      <c r="L65" s="3" t="s">
        <v>36</v>
      </c>
      <c r="M65" s="32"/>
      <c r="N65" s="248"/>
      <c r="O65" s="3"/>
      <c r="P65" s="76">
        <v>1</v>
      </c>
      <c r="Q65" s="76"/>
      <c r="R65" s="76"/>
      <c r="S65" s="76"/>
      <c r="T65" s="76"/>
      <c r="U65" s="76"/>
      <c r="V65" s="114">
        <f t="shared" ref="V65:AA65" si="51">$N65*P65</f>
        <v>0</v>
      </c>
      <c r="W65" s="114">
        <f t="shared" si="51"/>
        <v>0</v>
      </c>
      <c r="X65" s="114">
        <f t="shared" si="51"/>
        <v>0</v>
      </c>
      <c r="Y65" s="114">
        <f t="shared" si="51"/>
        <v>0</v>
      </c>
      <c r="Z65" s="114">
        <f t="shared" si="51"/>
        <v>0</v>
      </c>
      <c r="AA65" s="114">
        <f t="shared" si="51"/>
        <v>0</v>
      </c>
      <c r="AB65" s="76"/>
    </row>
    <row r="66" spans="2:28" s="55" customFormat="1" ht="13">
      <c r="C66" s="105"/>
      <c r="D66" s="76"/>
      <c r="G66" s="76"/>
      <c r="I66" s="247"/>
      <c r="K66" s="235"/>
      <c r="M66" s="110"/>
      <c r="N66" s="248"/>
      <c r="O66" s="104"/>
      <c r="P66" s="76"/>
      <c r="Q66" s="76"/>
      <c r="R66" s="76"/>
      <c r="S66" s="76"/>
      <c r="T66" s="76"/>
      <c r="U66" s="76"/>
      <c r="V66" s="58"/>
      <c r="W66" s="58"/>
      <c r="X66" s="58"/>
      <c r="Y66" s="58"/>
      <c r="Z66" s="58"/>
      <c r="AA66" s="58"/>
      <c r="AB66" s="76"/>
    </row>
    <row r="67" spans="2:28" s="3" customFormat="1">
      <c r="I67" s="239"/>
      <c r="K67" s="239"/>
      <c r="M67" s="63"/>
      <c r="N67" s="239"/>
    </row>
    <row r="68" spans="2:28" s="3" customFormat="1" ht="13">
      <c r="I68" s="239"/>
      <c r="K68" s="239"/>
      <c r="M68" s="64"/>
      <c r="N68" s="239"/>
    </row>
    <row r="69" spans="2:28" s="3" customFormat="1" ht="13">
      <c r="C69" s="7" t="s">
        <v>56</v>
      </c>
      <c r="D69" s="3" t="s">
        <v>356</v>
      </c>
      <c r="I69" s="239"/>
      <c r="K69" s="239"/>
      <c r="M69" s="64"/>
      <c r="N69" s="249"/>
    </row>
    <row r="70" spans="2:28" s="3" customFormat="1" ht="13">
      <c r="C70" s="7"/>
      <c r="D70" s="36" t="s">
        <v>345</v>
      </c>
      <c r="I70" s="239"/>
      <c r="K70" s="239"/>
      <c r="M70" s="63"/>
      <c r="N70" s="239"/>
    </row>
    <row r="88" spans="10:10">
      <c r="J88">
        <f>16/127</f>
        <v>0.12598425196850394</v>
      </c>
    </row>
  </sheetData>
  <phoneticPr fontId="2" type="noConversion"/>
  <pageMargins left="0.39370078740157483" right="0.39370078740157483" top="0.74803149606299213" bottom="0.74803149606299213" header="0.31496062992125984" footer="0.31496062992125984"/>
  <pageSetup paperSize="9" orientation="landscape" r:id="rId1"/>
  <headerFooter>
    <oddFooter>&amp;L&amp;A
Printed &amp;D</oddFooter>
  </headerFooter>
  <legacy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B4E826-70F8-E440-A02D-BE4D1CA36925}">
  <sheetPr codeName="Sheet28"/>
  <dimension ref="A1:I130"/>
  <sheetViews>
    <sheetView zoomScaleNormal="100" workbookViewId="0">
      <selection activeCell="G19" sqref="G19"/>
    </sheetView>
  </sheetViews>
  <sheetFormatPr defaultColWidth="9.1796875" defaultRowHeight="12.5"/>
  <cols>
    <col min="1" max="1" width="34.1796875" style="783" customWidth="1"/>
    <col min="2" max="2" width="56" style="782" customWidth="1"/>
    <col min="3" max="3" width="27.453125" style="781" customWidth="1"/>
    <col min="4" max="4" width="28" style="781" customWidth="1"/>
    <col min="5" max="6" width="27.453125" style="781" customWidth="1"/>
    <col min="7" max="7" width="27.81640625" style="781" customWidth="1"/>
    <col min="8" max="8" width="27.6328125" style="781" customWidth="1"/>
    <col min="9" max="9" width="9.1796875" style="781"/>
    <col min="10" max="16384" width="9.1796875" style="763"/>
  </cols>
  <sheetData>
    <row r="1" spans="1:9" ht="14.5">
      <c r="A1" s="792" t="s">
        <v>1171</v>
      </c>
      <c r="B1" s="763"/>
    </row>
    <row r="2" spans="1:9" ht="14.5">
      <c r="A2" s="793" t="s">
        <v>1170</v>
      </c>
      <c r="B2" s="763"/>
    </row>
    <row r="3" spans="1:9" ht="14.5">
      <c r="A3" s="792"/>
      <c r="B3" s="763"/>
    </row>
    <row r="4" spans="1:9" ht="14.5">
      <c r="A4" s="792"/>
      <c r="B4" s="763"/>
    </row>
    <row r="5" spans="1:9" ht="25">
      <c r="A5" s="784" t="str">
        <f>'Paso 2-Energía'!A5</f>
        <v>Combustión de carbón en centrales eléctricas</v>
      </c>
      <c r="B5" s="787" t="s">
        <v>1231</v>
      </c>
      <c r="C5" s="788" t="str">
        <f>'Paso 2-Energía'!G6</f>
        <v>0: Ninguno</v>
      </c>
      <c r="D5" s="788" t="str">
        <f>'Paso 2-Energía'!H6</f>
        <v>1: CCA simple para material particulado</v>
      </c>
      <c r="E5" s="788" t="str">
        <f>'Paso 2-Energía'!I6</f>
        <v>2: Filtros de tela (FT; o "filtros de bolsa")</v>
      </c>
      <c r="F5" s="788" t="str">
        <f>'Paso 2-Energía'!J6</f>
        <v>3: CCA eficiente</v>
      </c>
      <c r="G5" s="788" t="str">
        <f>'Paso 2-Energía'!K6</f>
        <v>4: CCA muy eficiente</v>
      </c>
      <c r="H5" s="788" t="str">
        <f>'Paso 2-Energía'!L6</f>
        <v>5: Específico del mercurio</v>
      </c>
      <c r="I5" s="784" t="s">
        <v>45</v>
      </c>
    </row>
    <row r="6" spans="1:9" ht="13">
      <c r="A6" s="784"/>
      <c r="B6" s="787" t="s">
        <v>1175</v>
      </c>
      <c r="C6" s="785">
        <v>0</v>
      </c>
      <c r="D6" s="785">
        <v>100</v>
      </c>
      <c r="E6" s="785">
        <v>0</v>
      </c>
      <c r="F6" s="785">
        <v>0</v>
      </c>
      <c r="G6" s="785">
        <v>0</v>
      </c>
      <c r="H6" s="785">
        <v>0</v>
      </c>
      <c r="I6" s="784"/>
    </row>
    <row r="7" spans="1:9">
      <c r="A7" s="763"/>
      <c r="B7" s="791"/>
      <c r="C7" s="790"/>
      <c r="D7" s="790"/>
      <c r="E7" s="790"/>
      <c r="F7" s="790"/>
      <c r="G7" s="790"/>
      <c r="H7" s="790"/>
      <c r="I7" s="763"/>
    </row>
    <row r="8" spans="1:9" ht="25">
      <c r="A8" s="784" t="str">
        <f>'Paso 2-Energía'!A8</f>
        <v>Combustión de carbón en calderas industriales de carbón</v>
      </c>
      <c r="B8" s="787" t="s">
        <v>1231</v>
      </c>
      <c r="C8" s="788" t="str">
        <f>'Paso 2-Energía'!G9</f>
        <v>0: Ninguno</v>
      </c>
      <c r="D8" s="788" t="str">
        <f>'Paso 2-Energía'!H9</f>
        <v>1: CCA simple para material particulado</v>
      </c>
      <c r="E8" s="788" t="str">
        <f>'Paso 2-Energía'!I9</f>
        <v>2: Filtros de tela (FT; o "filtros de bolsa")</v>
      </c>
      <c r="F8" s="788" t="str">
        <f>'Paso 2-Energía'!J9</f>
        <v>3: CCA eficiente</v>
      </c>
      <c r="G8" s="788" t="str">
        <f>'Paso 2-Energía'!K9</f>
        <v>4: CCA muy eficiente</v>
      </c>
      <c r="H8" s="788" t="str">
        <f>'Paso 2-Energía'!L9</f>
        <v>5: Específico del mercurio</v>
      </c>
      <c r="I8" s="784" t="s">
        <v>725</v>
      </c>
    </row>
    <row r="9" spans="1:9" ht="13">
      <c r="A9" s="784"/>
      <c r="B9" s="787" t="s">
        <v>1175</v>
      </c>
      <c r="C9" s="785">
        <v>100</v>
      </c>
      <c r="D9" s="785">
        <v>0</v>
      </c>
      <c r="E9" s="785">
        <v>0</v>
      </c>
      <c r="F9" s="785">
        <v>0</v>
      </c>
      <c r="G9" s="785">
        <v>0</v>
      </c>
      <c r="H9" s="785">
        <v>0</v>
      </c>
      <c r="I9" s="784"/>
    </row>
    <row r="10" spans="1:9">
      <c r="A10" s="763"/>
      <c r="B10" s="791"/>
      <c r="C10" s="790"/>
      <c r="D10" s="790"/>
      <c r="E10" s="790"/>
      <c r="F10" s="790"/>
      <c r="G10" s="790"/>
      <c r="H10" s="790"/>
      <c r="I10" s="763"/>
    </row>
    <row r="11" spans="1:9" ht="37.5">
      <c r="A11" s="784" t="str">
        <f>'Paso 2-Energía'!A12</f>
        <v>Combustión/uso de coque de petróleo y petróleo pesado</v>
      </c>
      <c r="B11" s="787" t="s">
        <v>1231</v>
      </c>
      <c r="C11" s="788" t="str">
        <f>'Paso 2-Energía'!G13</f>
        <v>Ninguno</v>
      </c>
      <c r="D11" s="788" t="str">
        <f>'Paso 2-Energía'!H13</f>
        <v>Precipitadores electrostáticos (PES) o depurador de partículas (DP)</v>
      </c>
      <c r="E11" s="788" t="str">
        <f>'Paso 2-Energía'!I13</f>
        <v>PES-LC y DGE</v>
      </c>
      <c r="F11" s="784"/>
      <c r="G11" s="784"/>
      <c r="H11" s="784"/>
      <c r="I11" s="784" t="s">
        <v>65</v>
      </c>
    </row>
    <row r="12" spans="1:9" ht="13">
      <c r="A12" s="784"/>
      <c r="B12" s="787" t="s">
        <v>1175</v>
      </c>
      <c r="C12" s="785">
        <v>100</v>
      </c>
      <c r="D12" s="785">
        <v>0</v>
      </c>
      <c r="E12" s="785">
        <v>0</v>
      </c>
      <c r="F12" s="784"/>
      <c r="G12" s="784"/>
      <c r="H12" s="784"/>
      <c r="I12" s="784"/>
    </row>
    <row r="13" spans="1:9">
      <c r="A13" s="763"/>
      <c r="B13" s="791"/>
      <c r="C13" s="790"/>
      <c r="D13" s="790"/>
      <c r="E13" s="790"/>
      <c r="F13" s="790"/>
      <c r="G13" s="790"/>
      <c r="H13" s="790"/>
      <c r="I13" s="763"/>
    </row>
    <row r="14" spans="1:9" ht="37.5">
      <c r="A14" s="784" t="str">
        <f>'Paso 2-Energía'!A15</f>
        <v>Combustión/uso de diesel, gasoil, petróleo, querosén, GLP y otros destilados livianos a medios</v>
      </c>
      <c r="B14" s="787" t="s">
        <v>1231</v>
      </c>
      <c r="C14" s="788" t="str">
        <f>'Paso 2-Energía'!G16</f>
        <v>Ninguno</v>
      </c>
      <c r="D14" s="788" t="str">
        <f>'Paso 2-Energía'!H16</f>
        <v>Precipitadores electrostáticos (PES) o depurador de partículas (DP)</v>
      </c>
      <c r="E14" s="788" t="str">
        <f>'Paso 2-Energía'!I16</f>
        <v>PES-LC y DGE</v>
      </c>
      <c r="F14" s="784"/>
      <c r="G14" s="784"/>
      <c r="H14" s="784"/>
      <c r="I14" s="784" t="s">
        <v>65</v>
      </c>
    </row>
    <row r="15" spans="1:9" ht="13">
      <c r="A15" s="784"/>
      <c r="B15" s="787" t="s">
        <v>1175</v>
      </c>
      <c r="C15" s="785">
        <v>100</v>
      </c>
      <c r="D15" s="785">
        <v>0</v>
      </c>
      <c r="E15" s="785">
        <v>0</v>
      </c>
      <c r="F15" s="784"/>
      <c r="G15" s="784"/>
      <c r="H15" s="784"/>
      <c r="I15" s="784"/>
    </row>
    <row r="16" spans="1:9">
      <c r="A16" s="763"/>
      <c r="B16" s="791"/>
      <c r="C16" s="790"/>
      <c r="D16" s="790"/>
      <c r="E16" s="790"/>
      <c r="F16" s="790"/>
      <c r="G16" s="790"/>
      <c r="H16" s="790"/>
      <c r="I16" s="763"/>
    </row>
    <row r="17" spans="1:9" ht="25">
      <c r="A17" s="784" t="str">
        <f>'Paso 2-Energía'!A26</f>
        <v>Extracción y procesamiento de gas natural</v>
      </c>
      <c r="B17" s="787" t="s">
        <v>1231</v>
      </c>
      <c r="C17" s="788" t="str">
        <f>'Paso 2-Energía'!G27</f>
        <v>Procesamiento de gas sin eliminación de mercurio</v>
      </c>
      <c r="D17" s="788" t="str">
        <f>'Paso 2-Energía'!H27</f>
        <v>Procesamiento de gas con eliminación de mercurio</v>
      </c>
      <c r="E17" s="784"/>
      <c r="F17" s="784"/>
      <c r="G17" s="784"/>
      <c r="H17" s="784"/>
      <c r="I17" s="784" t="s">
        <v>71</v>
      </c>
    </row>
    <row r="18" spans="1:9" ht="13">
      <c r="A18" s="784"/>
      <c r="B18" s="787" t="s">
        <v>1175</v>
      </c>
      <c r="C18" s="785">
        <v>50</v>
      </c>
      <c r="D18" s="785">
        <v>50</v>
      </c>
      <c r="E18" s="784"/>
      <c r="F18" s="784"/>
      <c r="G18" s="784"/>
      <c r="H18" s="784"/>
      <c r="I18" s="784"/>
    </row>
    <row r="19" spans="1:9">
      <c r="A19" s="763"/>
      <c r="B19" s="791"/>
      <c r="C19" s="790"/>
      <c r="D19" s="790"/>
      <c r="E19" s="790"/>
      <c r="F19" s="790"/>
      <c r="G19" s="790"/>
      <c r="H19" s="790"/>
      <c r="I19" s="763"/>
    </row>
    <row r="20" spans="1:9" ht="37.5">
      <c r="A20" s="784" t="str">
        <f>'Paso 3-Metales-Materias primas'!A7</f>
        <v>Producción de zinc a partir de concentrados</v>
      </c>
      <c r="B20" s="787" t="s">
        <v>1231</v>
      </c>
      <c r="C20" s="788" t="str">
        <f>'Paso 3-Metales-Materias primas'!G8</f>
        <v>Sin uso de filtros con retención de MP seco y grueso</v>
      </c>
      <c r="D20" s="788" t="str">
        <f>'Paso 3-Metales-Materias primas'!H8</f>
        <v>Limpieza húmeda del gas</v>
      </c>
      <c r="E20" s="788" t="str">
        <f>'Paso 3-Metales-Materias primas'!I8</f>
        <v>Limpieza húmeda del gas y planta de ácido</v>
      </c>
      <c r="F20" s="788" t="str">
        <f>'Paso 3-Metales-Materias primas'!J8</f>
        <v>Limpieza húmeda del gas, planta de ácido y filtro específicos para mercurio</v>
      </c>
      <c r="G20" s="784"/>
      <c r="H20" s="784"/>
      <c r="I20" s="784" t="s">
        <v>361</v>
      </c>
    </row>
    <row r="21" spans="1:9" ht="13">
      <c r="A21" s="784"/>
      <c r="B21" s="787" t="s">
        <v>1175</v>
      </c>
      <c r="C21" s="785">
        <v>0</v>
      </c>
      <c r="D21" s="785">
        <v>0</v>
      </c>
      <c r="E21" s="785">
        <v>100</v>
      </c>
      <c r="F21" s="785">
        <v>0</v>
      </c>
      <c r="G21" s="784"/>
      <c r="H21" s="784"/>
      <c r="I21" s="784"/>
    </row>
    <row r="22" spans="1:9">
      <c r="A22" s="763"/>
      <c r="B22" s="791"/>
      <c r="C22" s="790"/>
      <c r="D22" s="790"/>
      <c r="E22" s="790"/>
      <c r="F22" s="790"/>
      <c r="G22" s="790"/>
      <c r="H22" s="790"/>
      <c r="I22" s="763"/>
    </row>
    <row r="23" spans="1:9" ht="37.5">
      <c r="A23" s="784" t="str">
        <f>'Paso 3-Metales-Materias primas'!A10</f>
        <v>Producción de cobre a partir de concentrados</v>
      </c>
      <c r="B23" s="787" t="s">
        <v>1231</v>
      </c>
      <c r="C23" s="788" t="str">
        <f>'Paso 3-Metales-Materias primas'!G11</f>
        <v>Sin uso de filtros con retención de MP seco y grueso</v>
      </c>
      <c r="D23" s="788" t="str">
        <f>'Paso 3-Metales-Materias primas'!H11</f>
        <v>Limpieza húmeda del gas</v>
      </c>
      <c r="E23" s="788" t="str">
        <f>'Paso 3-Metales-Materias primas'!I11</f>
        <v>Limpieza húmeda del gas y planta de ácido</v>
      </c>
      <c r="F23" s="788" t="str">
        <f>'Paso 3-Metales-Materias primas'!J11</f>
        <v>Limpieza húmeda del gas, planta de ácido y filtro específicos para mercurio</v>
      </c>
      <c r="G23" s="784"/>
      <c r="H23" s="784"/>
      <c r="I23" s="784" t="s">
        <v>362</v>
      </c>
    </row>
    <row r="24" spans="1:9" ht="13">
      <c r="A24" s="784"/>
      <c r="B24" s="787" t="s">
        <v>1175</v>
      </c>
      <c r="C24" s="785">
        <v>0</v>
      </c>
      <c r="D24" s="785">
        <v>0</v>
      </c>
      <c r="E24" s="785">
        <v>100</v>
      </c>
      <c r="F24" s="785">
        <v>0</v>
      </c>
      <c r="G24" s="784"/>
      <c r="H24" s="784"/>
      <c r="I24" s="784"/>
    </row>
    <row r="25" spans="1:9">
      <c r="A25" s="763"/>
      <c r="B25" s="791"/>
      <c r="C25" s="790"/>
      <c r="D25" s="790"/>
      <c r="E25" s="790"/>
      <c r="F25" s="790"/>
      <c r="G25" s="790"/>
      <c r="H25" s="790"/>
      <c r="I25" s="763"/>
    </row>
    <row r="26" spans="1:9" ht="37.5">
      <c r="A26" s="784" t="str">
        <f>'Paso 3-Metales-Materias primas'!A13</f>
        <v>Producción de plomo a partir de concentrados</v>
      </c>
      <c r="B26" s="787" t="s">
        <v>1231</v>
      </c>
      <c r="C26" s="788" t="str">
        <f>'Paso 3-Metales-Materias primas'!G14</f>
        <v>Sin uso de filtros con retención de MP seco y grueso</v>
      </c>
      <c r="D26" s="788" t="str">
        <f>'Paso 3-Metales-Materias primas'!H14</f>
        <v>Limpieza húmeda del gas</v>
      </c>
      <c r="E26" s="788" t="str">
        <f>'Paso 3-Metales-Materias primas'!I14</f>
        <v>Limpieza húmeda del gas y planta de ácido</v>
      </c>
      <c r="F26" s="788" t="str">
        <f>'Paso 3-Metales-Materias primas'!J14</f>
        <v>Limpieza húmeda del gas, planta de ácido y filtro específicos para mercurio</v>
      </c>
      <c r="G26" s="784"/>
      <c r="H26" s="784"/>
      <c r="I26" s="784" t="s">
        <v>363</v>
      </c>
    </row>
    <row r="27" spans="1:9" ht="13">
      <c r="A27" s="784"/>
      <c r="B27" s="787" t="s">
        <v>1175</v>
      </c>
      <c r="C27" s="785">
        <v>0</v>
      </c>
      <c r="D27" s="785">
        <v>0</v>
      </c>
      <c r="E27" s="785">
        <v>100</v>
      </c>
      <c r="F27" s="785">
        <v>0</v>
      </c>
      <c r="G27" s="784"/>
      <c r="H27" s="784"/>
      <c r="I27" s="784"/>
    </row>
    <row r="28" spans="1:9">
      <c r="A28" s="763"/>
      <c r="B28" s="791"/>
      <c r="C28" s="790"/>
      <c r="D28" s="790"/>
      <c r="E28" s="790"/>
      <c r="F28" s="790"/>
      <c r="G28" s="790"/>
      <c r="H28" s="790"/>
      <c r="I28" s="763"/>
    </row>
    <row r="29" spans="1:9" ht="37.5">
      <c r="A29" s="784" t="str">
        <f>'Paso 3-Metales-Materias primas'!A19</f>
        <v>Extracción de oro con amalgamación de mercurio -  a partir del mineral entero (mineral en bruto)</v>
      </c>
      <c r="B29" s="787" t="s">
        <v>1231</v>
      </c>
      <c r="C29" s="788" t="str">
        <f>'Paso 3-Metales-Materias primas'!G20</f>
        <v>Sin uso de retortas</v>
      </c>
      <c r="D29" s="788" t="str">
        <f>'Paso 3-Metales-Materias primas'!H20</f>
        <v>Con uso de retortas</v>
      </c>
      <c r="E29" s="784"/>
      <c r="F29" s="784"/>
      <c r="G29" s="784"/>
      <c r="H29" s="784"/>
      <c r="I29" s="784" t="s">
        <v>158</v>
      </c>
    </row>
    <row r="30" spans="1:9" ht="13">
      <c r="A30" s="784"/>
      <c r="B30" s="787" t="s">
        <v>1175</v>
      </c>
      <c r="C30" s="785">
        <v>100</v>
      </c>
      <c r="D30" s="785">
        <v>0</v>
      </c>
      <c r="E30" s="784"/>
      <c r="F30" s="784"/>
      <c r="G30" s="784"/>
      <c r="H30" s="784"/>
      <c r="I30" s="784"/>
    </row>
    <row r="31" spans="1:9">
      <c r="A31" s="763"/>
      <c r="B31" s="791"/>
      <c r="C31" s="790"/>
      <c r="D31" s="790"/>
      <c r="E31" s="790"/>
      <c r="F31" s="790"/>
      <c r="G31" s="790"/>
      <c r="H31" s="790"/>
      <c r="I31" s="763"/>
    </row>
    <row r="32" spans="1:9" ht="25">
      <c r="A32" s="784" t="str">
        <f>'Paso 3-Metales-Materias primas'!A22</f>
        <v>Extracción de oro con amalgamación de mercurio - a partir de concentrados</v>
      </c>
      <c r="B32" s="787" t="s">
        <v>1231</v>
      </c>
      <c r="C32" s="788" t="str">
        <f>'Paso 3-Metales-Materias primas'!G23</f>
        <v>Sin uso de retortas</v>
      </c>
      <c r="D32" s="788" t="str">
        <f>'Paso 3-Metales-Materias primas'!H23</f>
        <v>Con uso de retortas</v>
      </c>
      <c r="E32" s="784"/>
      <c r="F32" s="784"/>
      <c r="G32" s="784"/>
      <c r="H32" s="784"/>
      <c r="I32" s="784" t="s">
        <v>158</v>
      </c>
    </row>
    <row r="33" spans="1:9" ht="13">
      <c r="A33" s="784"/>
      <c r="B33" s="787" t="s">
        <v>1175</v>
      </c>
      <c r="C33" s="785">
        <v>100</v>
      </c>
      <c r="D33" s="785">
        <v>0</v>
      </c>
      <c r="E33" s="784"/>
      <c r="F33" s="784"/>
      <c r="G33" s="784"/>
      <c r="H33" s="784"/>
      <c r="I33" s="784"/>
    </row>
    <row r="34" spans="1:9">
      <c r="A34" s="763"/>
      <c r="B34" s="791"/>
      <c r="C34" s="790"/>
      <c r="D34" s="790"/>
      <c r="E34" s="790"/>
      <c r="F34" s="790"/>
      <c r="G34" s="790"/>
      <c r="H34" s="790"/>
      <c r="I34" s="763"/>
    </row>
    <row r="35" spans="1:9" ht="50">
      <c r="A35" s="784" t="str">
        <f>'Paso 3-Metales-Materias primas'!A26</f>
        <v>Producción de cemento</v>
      </c>
      <c r="B35" s="788" t="str">
        <f>'Paso 3-Metales-Materias primas'!E27</f>
        <v>1) CON RESIDUOS USADOS como combustible (&gt;3% de la energía); opciones de abatimiento de  la contaminación relevante)</v>
      </c>
      <c r="C35" s="788" t="str">
        <f>'Paso 3-Metales-Materias primas'!G27</f>
        <v>Ninguno</v>
      </c>
      <c r="D35" s="788" t="str">
        <f>'Paso 3-Metales-Materias primas'!H27</f>
        <v>Control simple de partículas (PES/DP/FT)</v>
      </c>
      <c r="E35" s="788" t="str">
        <f>'Paso 3-Metales-Materias primas'!I27</f>
        <v>Controles de partícula optimizados (FT+RNCS / FT+DH / PES+DGC / FT optimizado)</v>
      </c>
      <c r="F35" s="788" t="str">
        <f>'Paso 3-Metales-Materias primas'!J27</f>
        <v>Control eficiente de la contaminación por Hg (FT+DS / PES+DS / PES+DH / PES+RNCS)</v>
      </c>
      <c r="G35" s="788" t="str">
        <f>'Paso 3-Metales-Materias primas'!K27</f>
        <v>Control muy eficiente de la contaminación por Hg (DGChúm+ICA / FT+depurador +RNCS)</v>
      </c>
      <c r="H35" s="784"/>
      <c r="I35" s="784" t="s">
        <v>188</v>
      </c>
    </row>
    <row r="36" spans="1:9" ht="13">
      <c r="A36" s="784"/>
      <c r="B36" s="787" t="s">
        <v>1175</v>
      </c>
      <c r="C36" s="785">
        <v>25</v>
      </c>
      <c r="D36" s="785">
        <v>25</v>
      </c>
      <c r="E36" s="785">
        <v>0</v>
      </c>
      <c r="F36" s="785">
        <v>0</v>
      </c>
      <c r="G36" s="788">
        <v>0</v>
      </c>
      <c r="H36" s="784"/>
      <c r="I36" s="784"/>
    </row>
    <row r="37" spans="1:9" ht="50">
      <c r="A37" s="784"/>
      <c r="B37" s="788" t="str">
        <f>'Paso 3-Metales-Materias primas'!E29</f>
        <v>2) NO/RESIDUOS BAJOS empleados como combustible; opciones de abatimiento de la contaminación relevantes</v>
      </c>
      <c r="C37" s="788" t="str">
        <f>'Paso 3-Metales-Materias primas'!G29</f>
        <v>Ninguno</v>
      </c>
      <c r="D37" s="788" t="str">
        <f>'Paso 3-Metales-Materias primas'!H29</f>
        <v>Control simple de partículas (PES/DP/FT)</v>
      </c>
      <c r="E37" s="788" t="str">
        <f>'Paso 3-Metales-Materias primas'!I29</f>
        <v>Controles de partícula optimizados (FT+RNCS / FT+DH / PES+DGC / FT optimizado)</v>
      </c>
      <c r="F37" s="788" t="str">
        <f>'Paso 3-Metales-Materias primas'!J29</f>
        <v>Control eficiente de la contaminación por Hg (FT+DS / PES+DS / PES+DH / PES+RNCS)</v>
      </c>
      <c r="G37" s="788" t="str">
        <f>'Paso 3-Metales-Materias primas'!K29</f>
        <v>Control muy eficiente de la contaminación por Hg (DGChúm+ICA / FT+depurador +RNCS)</v>
      </c>
      <c r="H37" s="784"/>
      <c r="I37" s="784"/>
    </row>
    <row r="38" spans="1:9" ht="13">
      <c r="A38" s="784"/>
      <c r="B38" s="787" t="s">
        <v>1175</v>
      </c>
      <c r="C38" s="785">
        <v>25</v>
      </c>
      <c r="D38" s="785">
        <v>25</v>
      </c>
      <c r="E38" s="785">
        <v>0</v>
      </c>
      <c r="F38" s="785">
        <v>0</v>
      </c>
      <c r="G38" s="788">
        <v>0</v>
      </c>
      <c r="H38" s="784"/>
      <c r="I38" s="784"/>
    </row>
    <row r="39" spans="1:9">
      <c r="A39" s="763"/>
      <c r="B39" s="791"/>
      <c r="C39" s="790"/>
      <c r="D39" s="790"/>
      <c r="E39" s="790"/>
      <c r="F39" s="790"/>
      <c r="G39" s="790"/>
      <c r="H39" s="790"/>
      <c r="I39" s="763"/>
    </row>
    <row r="40" spans="1:9">
      <c r="A40" s="784" t="str">
        <f>'Paso 3-Metales-Materias primas'!A31</f>
        <v>Producción de pasta y papel</v>
      </c>
      <c r="B40" s="787" t="s">
        <v>1231</v>
      </c>
      <c r="C40" s="788" t="str">
        <f>'Paso 3-Metales-Materias primas'!G32</f>
        <v>Ninguno</v>
      </c>
      <c r="D40" s="788" t="str">
        <f>'Paso 3-Metales-Materias primas'!H32</f>
        <v>Control MP  con PES, o DP</v>
      </c>
      <c r="E40" s="784"/>
      <c r="F40" s="784"/>
      <c r="G40" s="784"/>
      <c r="H40" s="784"/>
      <c r="I40" s="784" t="s">
        <v>189</v>
      </c>
    </row>
    <row r="41" spans="1:9" ht="13">
      <c r="A41" s="784"/>
      <c r="B41" s="787" t="s">
        <v>1175</v>
      </c>
      <c r="C41" s="785">
        <v>100</v>
      </c>
      <c r="D41" s="785">
        <v>0</v>
      </c>
      <c r="E41" s="784"/>
      <c r="F41" s="784"/>
      <c r="G41" s="784"/>
      <c r="H41" s="784"/>
      <c r="I41" s="784"/>
    </row>
    <row r="42" spans="1:9">
      <c r="A42" s="763"/>
      <c r="B42" s="791"/>
      <c r="C42" s="790"/>
      <c r="D42" s="790"/>
      <c r="E42" s="790"/>
      <c r="F42" s="790"/>
      <c r="G42" s="790"/>
      <c r="H42" s="790"/>
      <c r="I42" s="763"/>
    </row>
    <row r="43" spans="1:9" ht="37.5">
      <c r="A43" s="784" t="str">
        <f>'Paso 5-Trat.+recicl. desechos'!A13</f>
        <v>Incineración de desechos municipales o generales</v>
      </c>
      <c r="B43" s="787" t="s">
        <v>1231</v>
      </c>
      <c r="C43" s="788" t="str">
        <f>'Paso 5-Trat.+recicl. desechos'!G14</f>
        <v>Sin dispositivos de reducción de emisión</v>
      </c>
      <c r="D43" s="788" t="str">
        <f>'Paso 5-Trat.+recicl. desechos'!H14</f>
        <v>Reducción de MP con PES simple o similar</v>
      </c>
      <c r="E43" s="788" t="str">
        <f>'Paso 5-Trat.+recicl. desechos'!I14</f>
        <v>Control de gases ácidos + retención de MP con FT o PES en dirección del flujo</v>
      </c>
      <c r="F43" s="788" t="str">
        <f>'Paso 5-Trat.+recicl. desechos'!J14</f>
        <v>Absorbentes específicos para mercurio + FT en dirección del flujo</v>
      </c>
      <c r="G43" s="784"/>
      <c r="H43" s="784"/>
      <c r="I43" s="784" t="s">
        <v>196</v>
      </c>
    </row>
    <row r="44" spans="1:9" ht="13">
      <c r="A44" s="784"/>
      <c r="B44" s="787" t="s">
        <v>1175</v>
      </c>
      <c r="C44" s="785">
        <v>0</v>
      </c>
      <c r="D44" s="785">
        <v>100</v>
      </c>
      <c r="E44" s="785">
        <v>0</v>
      </c>
      <c r="F44" s="785">
        <v>0</v>
      </c>
      <c r="G44" s="784"/>
      <c r="H44" s="784"/>
      <c r="I44" s="784"/>
    </row>
    <row r="45" spans="1:9">
      <c r="A45" s="763"/>
      <c r="B45" s="791"/>
      <c r="C45" s="790"/>
      <c r="D45" s="790"/>
      <c r="E45" s="790"/>
      <c r="F45" s="790"/>
      <c r="G45" s="790"/>
      <c r="H45" s="790"/>
      <c r="I45" s="763"/>
    </row>
    <row r="46" spans="1:9" ht="37.5">
      <c r="A46" s="784" t="str">
        <f>'Paso 5-Trat.+recicl. desechos'!A16</f>
        <v>Incineración residuos peligrosos</v>
      </c>
      <c r="B46" s="787" t="s">
        <v>1231</v>
      </c>
      <c r="C46" s="788" t="str">
        <f>'Paso 5-Trat.+recicl. desechos'!G17</f>
        <v>Sin dispositivos de reducción de emisión</v>
      </c>
      <c r="D46" s="788" t="str">
        <f>'Paso 5-Trat.+recicl. desechos'!H17</f>
        <v>Reducción de MP con PES simple o similar</v>
      </c>
      <c r="E46" s="788" t="str">
        <f>'Paso 5-Trat.+recicl. desechos'!I17</f>
        <v>Control de gases ácidos + retención de MP con FT o PES en dirección del flujo</v>
      </c>
      <c r="F46" s="788" t="str">
        <f>'Paso 5-Trat.+recicl. desechos'!J17</f>
        <v>Absorbentes específicos para mercurio + FT en dirección del flujo</v>
      </c>
      <c r="G46" s="784"/>
      <c r="H46" s="784"/>
      <c r="I46" s="784" t="s">
        <v>200</v>
      </c>
    </row>
    <row r="47" spans="1:9" ht="13">
      <c r="A47" s="784"/>
      <c r="B47" s="787" t="s">
        <v>1175</v>
      </c>
      <c r="C47" s="785">
        <v>0</v>
      </c>
      <c r="D47" s="785">
        <v>100</v>
      </c>
      <c r="E47" s="785">
        <v>0</v>
      </c>
      <c r="F47" s="785">
        <v>0</v>
      </c>
      <c r="G47" s="784"/>
      <c r="H47" s="784"/>
      <c r="I47" s="784"/>
    </row>
    <row r="48" spans="1:9">
      <c r="A48" s="763"/>
      <c r="B48" s="791"/>
      <c r="C48" s="790"/>
      <c r="D48" s="790"/>
      <c r="E48" s="790"/>
      <c r="F48" s="790"/>
      <c r="G48" s="790"/>
      <c r="H48" s="790"/>
      <c r="I48" s="763"/>
    </row>
    <row r="49" spans="1:9" ht="37.5">
      <c r="A49" s="784" t="str">
        <f>'Paso 5-Trat.+recicl. desechos'!A19</f>
        <v>Incineración y quema al aire libre de desechos médicos</v>
      </c>
      <c r="B49" s="787" t="s">
        <v>1231</v>
      </c>
      <c r="C49" s="788" t="str">
        <f>'Paso 5-Trat.+recicl. desechos'!G20</f>
        <v>Sin dispositivos de reducción de emisión</v>
      </c>
      <c r="D49" s="788" t="str">
        <f>'Paso 5-Trat.+recicl. desechos'!H20</f>
        <v>Reducción de MP con PES simple o similar</v>
      </c>
      <c r="E49" s="788" t="str">
        <f>'Paso 5-Trat.+recicl. desechos'!I20</f>
        <v>Control de gases ácidos + retención de MP con FT o PES en dirección del flujo</v>
      </c>
      <c r="F49" s="788" t="str">
        <f>'Paso 5-Trat.+recicl. desechos'!J20</f>
        <v>Absorbentes específicos para mercurio + FT en dirección del flujo</v>
      </c>
      <c r="G49" s="784"/>
      <c r="H49" s="784"/>
      <c r="I49" s="784" t="s">
        <v>205</v>
      </c>
    </row>
    <row r="50" spans="1:9" ht="13">
      <c r="A50" s="784"/>
      <c r="B50" s="787" t="s">
        <v>1175</v>
      </c>
      <c r="C50" s="785">
        <v>100</v>
      </c>
      <c r="D50" s="785">
        <v>0</v>
      </c>
      <c r="E50" s="785">
        <v>0</v>
      </c>
      <c r="F50" s="785">
        <v>0</v>
      </c>
      <c r="G50" s="784"/>
      <c r="H50" s="784"/>
      <c r="I50" s="784"/>
    </row>
    <row r="51" spans="1:9">
      <c r="A51" s="763"/>
      <c r="B51" s="791"/>
      <c r="C51" s="790"/>
      <c r="D51" s="790"/>
      <c r="E51" s="790"/>
      <c r="F51" s="790"/>
      <c r="G51" s="790"/>
      <c r="H51" s="790"/>
      <c r="I51" s="763"/>
    </row>
    <row r="52" spans="1:9" ht="50">
      <c r="A52" s="784" t="str">
        <f>'Paso 5-Trat.+recicl. desechos'!A29</f>
        <v>Sistema/tratamiento de aguas residuales</v>
      </c>
      <c r="B52" s="787" t="s">
        <v>1231</v>
      </c>
      <c r="C52" s="788" t="str">
        <f>'Paso 5-Trat.+recicl. desechos'!G30</f>
        <v>Sin tratamiento</v>
      </c>
      <c r="D52" s="788" t="str">
        <f>'Paso 5-Trat.+recicl. desechos'!H30</f>
        <v>Solo tratamiento mecánico</v>
      </c>
      <c r="E52" s="788" t="str">
        <f>'Paso 5-Trat.+recicl. desechos'!I30</f>
        <v>Tratamiento mecánico y biológico (lodos activados), sin aplicación de los lodos al suelo</v>
      </c>
      <c r="F52" s="788" t="str">
        <f>'Paso 5-Trat.+recicl. desechos'!J30</f>
        <v>Tratamiento mecánico y biológico (lodos activados), &gt;40 % de los lodos utilizados para aplicación al suelo</v>
      </c>
      <c r="G52" s="784"/>
      <c r="H52" s="784"/>
      <c r="I52" s="784" t="s">
        <v>295</v>
      </c>
    </row>
    <row r="53" spans="1:9" ht="13">
      <c r="A53" s="784"/>
      <c r="B53" s="787" t="s">
        <v>1175</v>
      </c>
      <c r="C53" s="785">
        <v>0</v>
      </c>
      <c r="D53" s="785">
        <v>100</v>
      </c>
      <c r="E53" s="785">
        <v>0</v>
      </c>
      <c r="F53" s="785">
        <v>0</v>
      </c>
      <c r="G53" s="784"/>
      <c r="H53" s="784"/>
      <c r="I53" s="784"/>
    </row>
    <row r="54" spans="1:9">
      <c r="A54" s="763"/>
      <c r="B54" s="791"/>
      <c r="C54" s="790"/>
      <c r="D54" s="790"/>
      <c r="E54" s="790"/>
      <c r="F54" s="790"/>
      <c r="G54" s="790"/>
      <c r="H54" s="790"/>
      <c r="I54" s="763"/>
    </row>
    <row r="55" spans="1:9" ht="37.5">
      <c r="A55" s="784" t="str">
        <f>'Paso 6-Prod. y sust. con Hg'!A7</f>
        <v>Empastes de amalgamas dentales (empastes de "plata")</v>
      </c>
      <c r="B55" s="789" t="s">
        <v>1231</v>
      </c>
      <c r="C55" s="788" t="str">
        <f>'Paso 6-Prod. y sust. con Hg'!G12</f>
        <v>Clínicas donde sólo coladores de rejilla simple/filtros son empleados</v>
      </c>
      <c r="D55" s="788" t="str">
        <f>'Paso 6-Prod. y sust. con Hg'!H12</f>
        <v>Clínicas donde separadores de amalgama de alta eficiencia son empleados</v>
      </c>
      <c r="E55" s="784"/>
      <c r="F55" s="784"/>
      <c r="G55" s="784"/>
      <c r="H55" s="784"/>
      <c r="I55" s="787" t="s">
        <v>212</v>
      </c>
    </row>
    <row r="56" spans="1:9" ht="13">
      <c r="A56" s="784"/>
      <c r="B56" s="786" t="s">
        <v>1175</v>
      </c>
      <c r="C56" s="785">
        <v>100</v>
      </c>
      <c r="D56" s="785">
        <v>0</v>
      </c>
      <c r="E56" s="784"/>
      <c r="F56" s="784"/>
      <c r="G56" s="784"/>
      <c r="H56" s="784"/>
      <c r="I56" s="784"/>
    </row>
    <row r="57" spans="1:9">
      <c r="A57" s="781"/>
      <c r="B57" s="763"/>
      <c r="C57" s="763"/>
      <c r="D57" s="763"/>
      <c r="E57" s="763"/>
      <c r="F57" s="763"/>
      <c r="G57" s="763"/>
      <c r="H57" s="763"/>
      <c r="I57" s="763"/>
    </row>
    <row r="58" spans="1:9">
      <c r="A58" s="781"/>
      <c r="B58" s="763"/>
      <c r="C58" s="763"/>
      <c r="D58" s="763"/>
      <c r="E58" s="763"/>
      <c r="F58" s="763"/>
      <c r="G58" s="763"/>
      <c r="H58" s="763"/>
      <c r="I58" s="763"/>
    </row>
    <row r="59" spans="1:9">
      <c r="A59" s="781"/>
      <c r="B59" s="763"/>
      <c r="C59" s="763"/>
      <c r="D59" s="763"/>
      <c r="E59" s="763"/>
      <c r="F59" s="763"/>
      <c r="G59" s="763"/>
      <c r="H59" s="763"/>
      <c r="I59" s="763"/>
    </row>
    <row r="60" spans="1:9">
      <c r="A60" s="781"/>
      <c r="B60" s="763"/>
      <c r="C60" s="763"/>
      <c r="D60" s="763"/>
      <c r="E60" s="763"/>
      <c r="F60" s="763"/>
      <c r="G60" s="763"/>
      <c r="H60" s="763"/>
      <c r="I60" s="763"/>
    </row>
    <row r="61" spans="1:9">
      <c r="A61" s="781"/>
      <c r="B61" s="763"/>
      <c r="C61" s="763"/>
      <c r="D61" s="763"/>
      <c r="E61" s="763"/>
      <c r="F61" s="763"/>
      <c r="G61" s="763"/>
      <c r="H61" s="763"/>
      <c r="I61" s="763"/>
    </row>
    <row r="62" spans="1:9">
      <c r="A62" s="781"/>
      <c r="B62" s="763"/>
      <c r="C62" s="763"/>
      <c r="D62" s="763"/>
      <c r="E62" s="763"/>
      <c r="F62" s="763"/>
      <c r="G62" s="763"/>
      <c r="H62" s="763"/>
      <c r="I62" s="763"/>
    </row>
    <row r="63" spans="1:9">
      <c r="A63" s="781"/>
      <c r="B63" s="763"/>
      <c r="C63" s="763"/>
      <c r="D63" s="763"/>
      <c r="E63" s="763"/>
      <c r="F63" s="763"/>
      <c r="G63" s="763"/>
      <c r="H63" s="763"/>
      <c r="I63" s="763"/>
    </row>
    <row r="64" spans="1:9">
      <c r="A64" s="781"/>
      <c r="B64" s="763"/>
      <c r="C64" s="763"/>
      <c r="D64" s="763"/>
      <c r="E64" s="763"/>
      <c r="F64" s="763"/>
      <c r="G64" s="763"/>
      <c r="H64" s="763"/>
      <c r="I64" s="763"/>
    </row>
    <row r="65" spans="1:9">
      <c r="A65" s="781"/>
      <c r="B65" s="763"/>
      <c r="C65" s="763"/>
      <c r="D65" s="763"/>
      <c r="E65" s="763"/>
      <c r="F65" s="763"/>
      <c r="G65" s="763"/>
      <c r="H65" s="763"/>
      <c r="I65" s="763"/>
    </row>
    <row r="66" spans="1:9">
      <c r="A66" s="781"/>
      <c r="B66" s="763"/>
      <c r="C66" s="763"/>
      <c r="D66" s="763"/>
      <c r="E66" s="763"/>
      <c r="F66" s="763"/>
      <c r="G66" s="763"/>
      <c r="H66" s="763"/>
      <c r="I66" s="763"/>
    </row>
    <row r="67" spans="1:9">
      <c r="A67" s="781"/>
      <c r="B67" s="763"/>
      <c r="C67" s="763"/>
      <c r="D67" s="763"/>
      <c r="E67" s="763"/>
      <c r="F67" s="763"/>
      <c r="G67" s="763"/>
      <c r="H67" s="763"/>
      <c r="I67" s="763"/>
    </row>
    <row r="68" spans="1:9">
      <c r="A68" s="781"/>
      <c r="B68" s="763"/>
      <c r="C68" s="763"/>
      <c r="D68" s="763"/>
      <c r="E68" s="763"/>
      <c r="F68" s="763"/>
      <c r="G68" s="763"/>
      <c r="H68" s="763"/>
      <c r="I68" s="763"/>
    </row>
    <row r="69" spans="1:9">
      <c r="A69" s="781"/>
      <c r="B69" s="763"/>
      <c r="C69" s="763"/>
      <c r="D69" s="763"/>
      <c r="E69" s="763"/>
      <c r="F69" s="763"/>
      <c r="G69" s="763"/>
      <c r="H69" s="763"/>
      <c r="I69" s="763"/>
    </row>
    <row r="70" spans="1:9">
      <c r="A70" s="781"/>
      <c r="B70" s="763"/>
      <c r="C70" s="763"/>
      <c r="D70" s="763"/>
      <c r="E70" s="763"/>
      <c r="F70" s="763"/>
      <c r="G70" s="763"/>
      <c r="H70" s="763"/>
      <c r="I70" s="763"/>
    </row>
    <row r="71" spans="1:9">
      <c r="A71" s="781"/>
      <c r="B71" s="763"/>
      <c r="C71" s="763"/>
      <c r="D71" s="763"/>
      <c r="E71" s="763"/>
      <c r="F71" s="763"/>
      <c r="G71" s="763"/>
      <c r="H71" s="763"/>
      <c r="I71" s="763"/>
    </row>
    <row r="72" spans="1:9">
      <c r="A72" s="781"/>
      <c r="B72" s="763"/>
      <c r="C72" s="763"/>
      <c r="D72" s="763"/>
      <c r="E72" s="763"/>
      <c r="F72" s="763"/>
      <c r="G72" s="763"/>
      <c r="H72" s="763"/>
      <c r="I72" s="763"/>
    </row>
    <row r="73" spans="1:9">
      <c r="A73" s="781"/>
      <c r="B73" s="763"/>
      <c r="C73" s="763"/>
      <c r="D73" s="763"/>
      <c r="E73" s="763"/>
      <c r="F73" s="763"/>
      <c r="G73" s="763"/>
      <c r="H73" s="763"/>
      <c r="I73" s="763"/>
    </row>
    <row r="74" spans="1:9">
      <c r="A74" s="781"/>
      <c r="B74" s="763"/>
      <c r="C74" s="763"/>
      <c r="D74" s="763"/>
      <c r="E74" s="763"/>
      <c r="F74" s="763"/>
      <c r="G74" s="763"/>
      <c r="H74" s="763"/>
      <c r="I74" s="763"/>
    </row>
    <row r="75" spans="1:9">
      <c r="A75" s="781"/>
      <c r="B75" s="763"/>
      <c r="C75" s="763"/>
      <c r="D75" s="763"/>
      <c r="E75" s="763"/>
      <c r="F75" s="763"/>
      <c r="G75" s="763"/>
      <c r="H75" s="763"/>
      <c r="I75" s="763"/>
    </row>
    <row r="76" spans="1:9">
      <c r="A76" s="781"/>
      <c r="B76" s="763"/>
      <c r="C76" s="763"/>
      <c r="D76" s="763"/>
      <c r="E76" s="763"/>
      <c r="F76" s="763"/>
      <c r="G76" s="763"/>
      <c r="H76" s="763"/>
      <c r="I76" s="763"/>
    </row>
    <row r="77" spans="1:9">
      <c r="A77" s="781"/>
      <c r="B77" s="763"/>
      <c r="C77" s="763"/>
      <c r="D77" s="763"/>
      <c r="E77" s="763"/>
      <c r="F77" s="763"/>
      <c r="G77" s="763"/>
      <c r="H77" s="763"/>
      <c r="I77" s="763"/>
    </row>
    <row r="78" spans="1:9">
      <c r="A78" s="781"/>
      <c r="B78" s="763"/>
      <c r="C78" s="763"/>
      <c r="D78" s="763"/>
      <c r="E78" s="763"/>
      <c r="F78" s="763"/>
      <c r="G78" s="763"/>
      <c r="H78" s="763"/>
      <c r="I78" s="763"/>
    </row>
    <row r="79" spans="1:9">
      <c r="A79" s="781"/>
      <c r="B79" s="763"/>
      <c r="C79" s="763"/>
      <c r="D79" s="763"/>
      <c r="E79" s="763"/>
      <c r="F79" s="763"/>
      <c r="G79" s="763"/>
      <c r="H79" s="763"/>
      <c r="I79" s="763"/>
    </row>
    <row r="80" spans="1:9">
      <c r="A80" s="781"/>
      <c r="B80" s="763"/>
      <c r="C80" s="763"/>
      <c r="D80" s="763"/>
      <c r="E80" s="763"/>
      <c r="F80" s="763"/>
      <c r="G80" s="763"/>
      <c r="H80" s="763"/>
      <c r="I80" s="763"/>
    </row>
    <row r="81" spans="1:9">
      <c r="A81" s="781"/>
      <c r="B81" s="763"/>
      <c r="C81" s="763"/>
      <c r="D81" s="763"/>
      <c r="E81" s="763"/>
      <c r="F81" s="763"/>
      <c r="G81" s="763"/>
      <c r="H81" s="763"/>
      <c r="I81" s="763"/>
    </row>
    <row r="82" spans="1:9">
      <c r="A82" s="781"/>
      <c r="B82" s="763"/>
      <c r="C82" s="763"/>
      <c r="D82" s="763"/>
      <c r="E82" s="763"/>
      <c r="F82" s="763"/>
      <c r="G82" s="763"/>
      <c r="H82" s="763"/>
      <c r="I82" s="763"/>
    </row>
    <row r="83" spans="1:9">
      <c r="A83" s="781"/>
      <c r="B83" s="763"/>
      <c r="C83" s="763"/>
      <c r="D83" s="763"/>
      <c r="E83" s="763"/>
      <c r="F83" s="763"/>
      <c r="G83" s="763"/>
      <c r="H83" s="763"/>
      <c r="I83" s="763"/>
    </row>
    <row r="84" spans="1:9">
      <c r="A84" s="781"/>
      <c r="B84" s="763"/>
      <c r="C84" s="763"/>
      <c r="D84" s="763"/>
      <c r="E84" s="763"/>
      <c r="F84" s="763"/>
      <c r="G84" s="763"/>
      <c r="H84" s="763"/>
      <c r="I84" s="763"/>
    </row>
    <row r="85" spans="1:9">
      <c r="A85" s="781"/>
      <c r="B85" s="763"/>
      <c r="C85" s="763"/>
      <c r="D85" s="763"/>
      <c r="E85" s="763"/>
      <c r="F85" s="763"/>
      <c r="G85" s="763"/>
      <c r="H85" s="763"/>
      <c r="I85" s="763"/>
    </row>
    <row r="86" spans="1:9">
      <c r="A86" s="781"/>
      <c r="B86" s="763"/>
      <c r="C86" s="763"/>
      <c r="D86" s="763"/>
      <c r="E86" s="763"/>
      <c r="F86" s="763"/>
      <c r="G86" s="763"/>
      <c r="H86" s="763"/>
      <c r="I86" s="763"/>
    </row>
    <row r="87" spans="1:9">
      <c r="A87" s="781"/>
      <c r="B87" s="763"/>
      <c r="C87" s="763"/>
      <c r="D87" s="763"/>
      <c r="E87" s="763"/>
      <c r="F87" s="763"/>
      <c r="G87" s="763"/>
      <c r="H87" s="763"/>
      <c r="I87" s="763"/>
    </row>
    <row r="88" spans="1:9">
      <c r="A88" s="781"/>
      <c r="B88" s="763"/>
      <c r="C88" s="763"/>
      <c r="D88" s="763"/>
      <c r="E88" s="763"/>
      <c r="F88" s="763"/>
      <c r="G88" s="763"/>
      <c r="H88" s="763"/>
      <c r="I88" s="763"/>
    </row>
    <row r="89" spans="1:9">
      <c r="A89" s="781"/>
      <c r="B89" s="763"/>
      <c r="C89" s="763"/>
      <c r="D89" s="763"/>
      <c r="E89" s="763"/>
      <c r="F89" s="763"/>
      <c r="G89" s="763"/>
      <c r="H89" s="763"/>
      <c r="I89" s="763"/>
    </row>
    <row r="90" spans="1:9">
      <c r="A90" s="781"/>
      <c r="B90" s="763"/>
      <c r="C90" s="763"/>
      <c r="D90" s="763"/>
      <c r="E90" s="763"/>
      <c r="F90" s="763"/>
      <c r="G90" s="763"/>
      <c r="H90" s="763"/>
      <c r="I90" s="763"/>
    </row>
    <row r="91" spans="1:9">
      <c r="A91" s="781"/>
      <c r="B91" s="763"/>
      <c r="C91" s="763"/>
      <c r="D91" s="763"/>
      <c r="E91" s="763"/>
      <c r="F91" s="763"/>
      <c r="G91" s="763"/>
      <c r="H91" s="763"/>
      <c r="I91" s="763"/>
    </row>
    <row r="92" spans="1:9">
      <c r="A92" s="781"/>
      <c r="B92" s="763"/>
    </row>
    <row r="93" spans="1:9">
      <c r="A93" s="781"/>
      <c r="B93" s="763"/>
    </row>
    <row r="94" spans="1:9">
      <c r="A94" s="781"/>
      <c r="B94" s="763"/>
    </row>
    <row r="95" spans="1:9">
      <c r="A95" s="781"/>
      <c r="B95" s="763"/>
    </row>
    <row r="96" spans="1:9">
      <c r="A96" s="781"/>
      <c r="B96" s="763"/>
    </row>
    <row r="97" spans="1:2">
      <c r="A97" s="781"/>
      <c r="B97" s="763"/>
    </row>
    <row r="98" spans="1:2">
      <c r="A98" s="781"/>
      <c r="B98" s="763"/>
    </row>
    <row r="99" spans="1:2">
      <c r="A99" s="781"/>
      <c r="B99" s="763"/>
    </row>
    <row r="100" spans="1:2">
      <c r="A100" s="781"/>
      <c r="B100" s="763"/>
    </row>
    <row r="101" spans="1:2">
      <c r="A101" s="781"/>
      <c r="B101" s="763"/>
    </row>
    <row r="102" spans="1:2">
      <c r="A102" s="781"/>
      <c r="B102" s="763"/>
    </row>
    <row r="103" spans="1:2">
      <c r="A103" s="781"/>
      <c r="B103" s="763"/>
    </row>
    <row r="104" spans="1:2">
      <c r="A104" s="781"/>
      <c r="B104" s="763"/>
    </row>
    <row r="105" spans="1:2">
      <c r="A105" s="781"/>
      <c r="B105" s="763"/>
    </row>
    <row r="106" spans="1:2">
      <c r="A106" s="781"/>
      <c r="B106" s="763"/>
    </row>
    <row r="107" spans="1:2">
      <c r="A107" s="781"/>
      <c r="B107" s="763"/>
    </row>
    <row r="108" spans="1:2">
      <c r="A108" s="781"/>
      <c r="B108" s="763"/>
    </row>
    <row r="109" spans="1:2">
      <c r="A109" s="781"/>
      <c r="B109" s="763"/>
    </row>
    <row r="110" spans="1:2">
      <c r="A110" s="781"/>
      <c r="B110" s="763"/>
    </row>
    <row r="111" spans="1:2">
      <c r="A111" s="781"/>
      <c r="B111" s="763"/>
    </row>
    <row r="112" spans="1:2">
      <c r="A112" s="781"/>
      <c r="B112" s="763"/>
    </row>
    <row r="113" spans="1:2">
      <c r="A113" s="781"/>
      <c r="B113" s="763"/>
    </row>
    <row r="114" spans="1:2">
      <c r="A114" s="781"/>
      <c r="B114" s="763"/>
    </row>
    <row r="115" spans="1:2">
      <c r="A115" s="781"/>
      <c r="B115" s="763"/>
    </row>
    <row r="116" spans="1:2">
      <c r="A116" s="781"/>
      <c r="B116" s="763"/>
    </row>
    <row r="117" spans="1:2">
      <c r="A117" s="781"/>
      <c r="B117" s="763"/>
    </row>
    <row r="118" spans="1:2">
      <c r="A118" s="781"/>
      <c r="B118" s="763"/>
    </row>
    <row r="119" spans="1:2">
      <c r="A119" s="781"/>
      <c r="B119" s="763"/>
    </row>
    <row r="120" spans="1:2">
      <c r="A120" s="781"/>
      <c r="B120" s="763"/>
    </row>
    <row r="121" spans="1:2">
      <c r="A121" s="781"/>
      <c r="B121" s="763"/>
    </row>
    <row r="122" spans="1:2">
      <c r="A122" s="781"/>
      <c r="B122" s="763"/>
    </row>
    <row r="123" spans="1:2">
      <c r="A123" s="781"/>
      <c r="B123" s="763"/>
    </row>
    <row r="124" spans="1:2">
      <c r="A124" s="781"/>
      <c r="B124" s="763"/>
    </row>
    <row r="125" spans="1:2">
      <c r="A125" s="781"/>
      <c r="B125" s="763"/>
    </row>
    <row r="126" spans="1:2">
      <c r="A126" s="781"/>
      <c r="B126" s="763"/>
    </row>
    <row r="127" spans="1:2">
      <c r="A127" s="781"/>
      <c r="B127" s="763"/>
    </row>
    <row r="128" spans="1:2">
      <c r="A128" s="781"/>
      <c r="B128" s="763"/>
    </row>
    <row r="129" spans="1:2">
      <c r="A129" s="781"/>
      <c r="B129" s="763"/>
    </row>
    <row r="130" spans="1:2">
      <c r="A130" s="781"/>
      <c r="B130" s="763"/>
    </row>
  </sheetData>
  <sheetProtection algorithmName="SHA-512" hashValue="9SpePpEukBf1DSPHZRcVAb8NYVSQ5SirZtDg7n2HnE7EUsZYbbLsCf0uUR6BRAycJPuOgGnDkFkXG94F8GuUBg==" saltValue="gpx9JnQsbv6JX3rtUzidXA==" spinCount="100000" sheet="1" objects="1" scenarios="1"/>
  <conditionalFormatting sqref="B55:B56">
    <cfRule type="expression" dxfId="2" priority="1">
      <formula>$E$7="y"</formula>
    </cfRule>
  </conditionalFormatting>
  <dataValidations count="1">
    <dataValidation allowBlank="1" showInputMessage="1" showErrorMessage="1" promptTitle="Controls" sqref="C56:D56" xr:uid="{00000000-0002-0000-1D00-000000000000}"/>
  </dataValidation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3"/>
  <dimension ref="A1:L24"/>
  <sheetViews>
    <sheetView workbookViewId="0">
      <selection activeCell="B14" sqref="B14"/>
    </sheetView>
  </sheetViews>
  <sheetFormatPr defaultColWidth="8.81640625" defaultRowHeight="12.5"/>
  <cols>
    <col min="1" max="1" width="40" style="9" customWidth="1"/>
    <col min="2" max="2" width="40.453125" style="9" customWidth="1"/>
    <col min="8" max="8" width="10.453125" customWidth="1"/>
  </cols>
  <sheetData>
    <row r="1" spans="1:12">
      <c r="A1" s="453"/>
      <c r="B1" s="453"/>
    </row>
    <row r="2" spans="1:12">
      <c r="A2" s="454" t="s">
        <v>434</v>
      </c>
      <c r="B2" s="454" t="s">
        <v>440</v>
      </c>
    </row>
    <row r="3" spans="1:12">
      <c r="A3" s="455" t="s">
        <v>439</v>
      </c>
      <c r="B3" s="699" t="s">
        <v>829</v>
      </c>
    </row>
    <row r="4" spans="1:12" ht="12.75" customHeight="1">
      <c r="A4" s="455" t="s">
        <v>433</v>
      </c>
      <c r="B4" s="699" t="s">
        <v>830</v>
      </c>
      <c r="C4" s="837" t="s">
        <v>800</v>
      </c>
      <c r="D4" s="838"/>
      <c r="E4" s="838"/>
      <c r="F4" s="838"/>
      <c r="G4" s="838"/>
      <c r="H4" s="838"/>
      <c r="I4" s="838"/>
      <c r="J4" s="838"/>
      <c r="K4" s="838"/>
      <c r="L4" s="838"/>
    </row>
    <row r="5" spans="1:12">
      <c r="A5" s="455" t="s">
        <v>435</v>
      </c>
      <c r="B5" s="699" t="s">
        <v>831</v>
      </c>
      <c r="C5" s="837"/>
      <c r="D5" s="838"/>
      <c r="E5" s="838"/>
      <c r="F5" s="838"/>
      <c r="G5" s="838"/>
      <c r="H5" s="838"/>
      <c r="I5" s="838"/>
      <c r="J5" s="838"/>
      <c r="K5" s="838"/>
      <c r="L5" s="838"/>
    </row>
    <row r="6" spans="1:12">
      <c r="A6" s="455" t="s">
        <v>43</v>
      </c>
      <c r="B6" s="699" t="s">
        <v>832</v>
      </c>
    </row>
    <row r="7" spans="1:12">
      <c r="A7" s="455" t="s">
        <v>359</v>
      </c>
      <c r="B7" s="454" t="str">
        <f>yes&amp;"/"&amp;no&amp;"/"&amp;que</f>
        <v>S/N/?</v>
      </c>
    </row>
    <row r="8" spans="1:12">
      <c r="A8" s="455" t="s">
        <v>441</v>
      </c>
      <c r="B8" s="454" t="str">
        <f>yes&amp;"/"&amp;no</f>
        <v>S/N</v>
      </c>
    </row>
    <row r="9" spans="1:12">
      <c r="A9" s="454"/>
      <c r="B9" s="454"/>
    </row>
    <row r="10" spans="1:12" ht="50">
      <c r="A10" s="455" t="s">
        <v>681</v>
      </c>
      <c r="B10" s="699" t="s">
        <v>833</v>
      </c>
      <c r="E10" s="8"/>
      <c r="F10">
        <v>0</v>
      </c>
    </row>
    <row r="11" spans="1:12" ht="50">
      <c r="A11" s="455" t="s">
        <v>682</v>
      </c>
      <c r="B11" s="699" t="s">
        <v>834</v>
      </c>
      <c r="E11" s="8"/>
    </row>
    <row r="12" spans="1:12" ht="25">
      <c r="A12" s="698" t="s">
        <v>778</v>
      </c>
      <c r="B12" s="699" t="s">
        <v>835</v>
      </c>
    </row>
    <row r="13" spans="1:12" ht="50">
      <c r="A13" s="698" t="s">
        <v>776</v>
      </c>
      <c r="B13" s="734" t="s">
        <v>1173</v>
      </c>
      <c r="E13" s="8"/>
    </row>
    <row r="14" spans="1:12" ht="50">
      <c r="A14" s="698" t="s">
        <v>777</v>
      </c>
      <c r="B14" s="734" t="s">
        <v>1174</v>
      </c>
      <c r="E14" s="8"/>
    </row>
    <row r="15" spans="1:12" ht="81" customHeight="1">
      <c r="A15" s="698" t="s">
        <v>799</v>
      </c>
      <c r="B15" s="765" t="s">
        <v>1172</v>
      </c>
      <c r="E15" s="8"/>
    </row>
    <row r="16" spans="1:12">
      <c r="A16" s="698" t="s">
        <v>779</v>
      </c>
      <c r="B16" s="699" t="s">
        <v>836</v>
      </c>
    </row>
    <row r="18" spans="1:2" ht="13">
      <c r="A18" s="12" t="s">
        <v>444</v>
      </c>
    </row>
    <row r="19" spans="1:2">
      <c r="A19" s="740" t="s">
        <v>442</v>
      </c>
      <c r="B19" s="9" t="s">
        <v>436</v>
      </c>
    </row>
    <row r="20" spans="1:2">
      <c r="A20" s="740" t="s">
        <v>443</v>
      </c>
      <c r="B20" s="9" t="s">
        <v>437</v>
      </c>
    </row>
    <row r="22" spans="1:2" ht="25.5" customHeight="1">
      <c r="A22" s="836" t="s">
        <v>438</v>
      </c>
      <c r="B22" s="836"/>
    </row>
    <row r="24" spans="1:2" ht="63">
      <c r="A24" s="764" t="s">
        <v>1160</v>
      </c>
    </row>
  </sheetData>
  <sheetProtection algorithmName="SHA-512" hashValue="Ye0HSUb7G9ja82L//lpt3I9peu8KweUPvxN1/LlC6y1p8xNXTlSFTzdzD9RwioZgwP9vnGolL65d7MIp6ztsOA==" saltValue="OT+Jk+VMVWMgEVxrtqrptA==" spinCount="100000" sheet="1" objects="1" scenarios="1"/>
  <mergeCells count="2">
    <mergeCell ref="A22:B22"/>
    <mergeCell ref="C4:L5"/>
  </mergeCells>
  <conditionalFormatting sqref="F11">
    <cfRule type="expression" dxfId="1" priority="2">
      <formula>$F$11=1</formula>
    </cfRule>
  </conditionalFormatting>
  <conditionalFormatting sqref="F12">
    <cfRule type="expression" dxfId="0" priority="1">
      <formula>$F$12=0</formula>
    </cfRule>
  </conditionalFormatting>
  <dataValidations count="1">
    <dataValidation type="list" showInputMessage="1" showErrorMessage="1" sqref="F10" xr:uid="{00000000-0002-0000-2000-000000000000}">
      <formula1>$F$11:$F$12</formula1>
    </dataValidation>
  </dataValidation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35"/>
  <dimension ref="A1:AB12"/>
  <sheetViews>
    <sheetView topLeftCell="A2" zoomScaleNormal="70" workbookViewId="0">
      <selection activeCell="K9" sqref="K9"/>
    </sheetView>
  </sheetViews>
  <sheetFormatPr defaultColWidth="8.81640625" defaultRowHeight="12.5"/>
  <cols>
    <col min="1" max="1" width="3" customWidth="1"/>
    <col min="2" max="2" width="6.1796875" customWidth="1"/>
    <col min="3" max="3" width="23.36328125" customWidth="1"/>
    <col min="4" max="4" width="8.453125" customWidth="1"/>
    <col min="5" max="5" width="10.453125" customWidth="1"/>
    <col min="6" max="6" width="12" customWidth="1"/>
    <col min="7" max="7" width="8.36328125" customWidth="1"/>
    <col min="8" max="8" width="13.453125" customWidth="1"/>
    <col min="9" max="9" width="18.453125" customWidth="1"/>
    <col min="10" max="10" width="19" customWidth="1"/>
    <col min="11" max="11" width="11.36328125" customWidth="1"/>
    <col min="12" max="12" width="11.453125" customWidth="1"/>
    <col min="13" max="13" width="15" style="13" customWidth="1"/>
    <col min="15" max="15" width="10.81640625" customWidth="1"/>
    <col min="16" max="16" width="4.453125" customWidth="1"/>
    <col min="17" max="17" width="5.36328125" customWidth="1"/>
    <col min="18" max="18" width="5" customWidth="1"/>
    <col min="19" max="19" width="8.453125" customWidth="1"/>
    <col min="21" max="21" width="15.453125" customWidth="1"/>
    <col min="22" max="22" width="12.453125" customWidth="1"/>
    <col min="24" max="24" width="9.6328125" customWidth="1"/>
    <col min="25" max="25" width="11.1796875" customWidth="1"/>
    <col min="26" max="26" width="11.453125" customWidth="1"/>
    <col min="27" max="27" width="17" customWidth="1"/>
    <col min="28" max="28" width="49.81640625" customWidth="1"/>
  </cols>
  <sheetData>
    <row r="1" spans="1:28" ht="18">
      <c r="A1" s="1" t="s">
        <v>34</v>
      </c>
    </row>
    <row r="2" spans="1:28" ht="14">
      <c r="A2" s="54" t="s">
        <v>313</v>
      </c>
    </row>
    <row r="3" spans="1:28" s="5" customFormat="1" ht="13">
      <c r="C3" s="7"/>
      <c r="D3" s="7"/>
      <c r="E3" s="7"/>
      <c r="F3" s="7"/>
      <c r="G3" s="7"/>
      <c r="H3" s="7"/>
      <c r="I3" s="7"/>
      <c r="J3" s="7"/>
      <c r="K3" s="7"/>
      <c r="L3" s="7"/>
      <c r="M3" s="64"/>
      <c r="N3" s="7"/>
      <c r="O3" s="7"/>
      <c r="P3" s="111" t="s">
        <v>55</v>
      </c>
      <c r="Q3" s="111"/>
      <c r="R3" s="111"/>
      <c r="S3" s="111"/>
      <c r="T3" s="111"/>
      <c r="U3" s="111"/>
      <c r="V3" s="191" t="s">
        <v>54</v>
      </c>
      <c r="W3" s="56"/>
      <c r="X3" s="56"/>
      <c r="Y3" s="56"/>
      <c r="Z3" s="56"/>
      <c r="AA3" s="56"/>
      <c r="AB3" s="111"/>
    </row>
    <row r="4" spans="1:28" s="144" customFormat="1" ht="39">
      <c r="A4" s="144" t="s">
        <v>52</v>
      </c>
      <c r="B4" s="144" t="s">
        <v>50</v>
      </c>
      <c r="C4" s="134" t="s">
        <v>59</v>
      </c>
      <c r="D4" s="112" t="s">
        <v>153</v>
      </c>
      <c r="E4" s="134" t="s">
        <v>49</v>
      </c>
      <c r="F4" s="143" t="s">
        <v>35</v>
      </c>
      <c r="G4" s="112" t="s">
        <v>37</v>
      </c>
      <c r="H4" s="143" t="s">
        <v>35</v>
      </c>
      <c r="I4" s="112" t="s">
        <v>51</v>
      </c>
      <c r="J4" s="144" t="s">
        <v>35</v>
      </c>
      <c r="K4" s="84" t="s">
        <v>61</v>
      </c>
      <c r="L4" s="143" t="s">
        <v>35</v>
      </c>
      <c r="M4" s="146" t="s">
        <v>280</v>
      </c>
      <c r="N4" s="112" t="s">
        <v>92</v>
      </c>
      <c r="O4" s="143" t="s">
        <v>35</v>
      </c>
      <c r="P4" s="147" t="s">
        <v>38</v>
      </c>
      <c r="Q4" s="147" t="s">
        <v>39</v>
      </c>
      <c r="R4" s="147" t="s">
        <v>40</v>
      </c>
      <c r="S4" s="147" t="s">
        <v>392</v>
      </c>
      <c r="T4" s="148" t="s">
        <v>42</v>
      </c>
      <c r="U4" s="148" t="s">
        <v>228</v>
      </c>
      <c r="V4" s="56" t="s">
        <v>38</v>
      </c>
      <c r="W4" s="56" t="s">
        <v>39</v>
      </c>
      <c r="X4" s="56" t="s">
        <v>40</v>
      </c>
      <c r="Y4" s="56" t="s">
        <v>392</v>
      </c>
      <c r="Z4" s="57" t="s">
        <v>42</v>
      </c>
      <c r="AA4" s="57" t="s">
        <v>228</v>
      </c>
      <c r="AB4" s="111" t="s">
        <v>87</v>
      </c>
    </row>
    <row r="5" spans="1:28" s="129" customFormat="1" ht="39">
      <c r="A5" s="129" t="s">
        <v>310</v>
      </c>
      <c r="C5" s="134" t="s">
        <v>304</v>
      </c>
      <c r="D5" s="111"/>
      <c r="F5" s="128"/>
      <c r="G5" s="76"/>
      <c r="H5" s="128"/>
      <c r="I5" s="253"/>
      <c r="K5" s="113"/>
      <c r="L5" s="128"/>
      <c r="M5" s="135"/>
      <c r="N5" s="253"/>
      <c r="O5" s="128"/>
      <c r="P5" s="127"/>
      <c r="Q5" s="127"/>
      <c r="R5" s="127"/>
      <c r="S5" s="127"/>
      <c r="T5" s="127"/>
      <c r="U5" s="127"/>
      <c r="V5" s="58"/>
      <c r="W5" s="58"/>
      <c r="X5" s="58"/>
      <c r="Y5" s="58"/>
      <c r="Z5" s="58"/>
      <c r="AA5" s="58"/>
      <c r="AB5" s="76"/>
    </row>
    <row r="6" spans="1:28" ht="13">
      <c r="B6" s="3" t="s">
        <v>311</v>
      </c>
      <c r="C6" s="26" t="s">
        <v>305</v>
      </c>
      <c r="D6" s="111"/>
      <c r="E6" s="11" t="s">
        <v>306</v>
      </c>
      <c r="F6" s="3" t="s">
        <v>307</v>
      </c>
      <c r="G6" s="76">
        <v>4</v>
      </c>
      <c r="H6" s="3" t="s">
        <v>307</v>
      </c>
      <c r="I6" s="254">
        <f>'Paso 7-Crematorios-cementerios'!C5</f>
        <v>0</v>
      </c>
      <c r="J6" s="3" t="s">
        <v>308</v>
      </c>
      <c r="K6" s="113">
        <f>G6*I6/1000*('Paso 6-Prod. y sust. con Hg'!C11/Countrydata!$D$57)</f>
        <v>0</v>
      </c>
      <c r="L6" s="3" t="s">
        <v>36</v>
      </c>
      <c r="M6" s="33"/>
      <c r="N6" s="253">
        <f>K6</f>
        <v>0</v>
      </c>
      <c r="O6" s="3" t="s">
        <v>36</v>
      </c>
      <c r="P6" s="76">
        <v>1</v>
      </c>
      <c r="Q6" s="76"/>
      <c r="R6" s="76"/>
      <c r="S6" s="277"/>
      <c r="T6" s="76"/>
      <c r="U6" s="76"/>
      <c r="V6" s="114">
        <f t="shared" ref="V6:AA6" si="0">$N6*P6</f>
        <v>0</v>
      </c>
      <c r="W6" s="114">
        <f t="shared" si="0"/>
        <v>0</v>
      </c>
      <c r="X6" s="114">
        <f t="shared" si="0"/>
        <v>0</v>
      </c>
      <c r="Y6" s="244" t="s">
        <v>273</v>
      </c>
      <c r="Z6" s="114">
        <f t="shared" si="0"/>
        <v>0</v>
      </c>
      <c r="AA6" s="114">
        <f t="shared" si="0"/>
        <v>0</v>
      </c>
      <c r="AB6" s="76"/>
    </row>
    <row r="7" spans="1:28" s="55" customFormat="1" ht="13">
      <c r="B7" s="104"/>
      <c r="C7" s="137"/>
      <c r="D7" s="76"/>
      <c r="E7" s="106"/>
      <c r="F7" s="104"/>
      <c r="G7" s="76"/>
      <c r="H7" s="104"/>
      <c r="I7" s="254"/>
      <c r="K7" s="169"/>
      <c r="L7" s="104"/>
      <c r="M7" s="138"/>
      <c r="N7" s="254"/>
      <c r="O7" s="104"/>
      <c r="P7" s="130"/>
      <c r="Q7" s="130"/>
      <c r="R7" s="130"/>
      <c r="S7" s="130"/>
      <c r="T7" s="130"/>
      <c r="U7" s="127"/>
      <c r="V7" s="116"/>
      <c r="W7" s="116"/>
      <c r="X7" s="116"/>
      <c r="Y7" s="116"/>
      <c r="Z7" s="116"/>
      <c r="AA7" s="116"/>
      <c r="AB7" s="76"/>
    </row>
    <row r="8" spans="1:28" ht="13">
      <c r="B8" s="3" t="s">
        <v>312</v>
      </c>
      <c r="C8" s="26" t="s">
        <v>376</v>
      </c>
      <c r="D8" s="111"/>
      <c r="E8" s="11" t="s">
        <v>306</v>
      </c>
      <c r="F8" s="3" t="s">
        <v>307</v>
      </c>
      <c r="G8" s="76">
        <v>4</v>
      </c>
      <c r="H8" s="3" t="s">
        <v>307</v>
      </c>
      <c r="I8" s="254">
        <f>'Paso 7-Crematorios-cementerios'!C6</f>
        <v>0</v>
      </c>
      <c r="J8" s="3" t="s">
        <v>309</v>
      </c>
      <c r="K8" s="113">
        <f>G8*I8/1000*('Paso 6-Prod. y sust. con Hg'!C11/Countrydata!$D$57)</f>
        <v>0</v>
      </c>
      <c r="L8" s="3" t="s">
        <v>36</v>
      </c>
      <c r="M8" s="33"/>
      <c r="N8" s="253">
        <f>K8</f>
        <v>0</v>
      </c>
      <c r="O8" s="3" t="s">
        <v>36</v>
      </c>
      <c r="P8" s="76"/>
      <c r="Q8" s="76"/>
      <c r="R8" s="76">
        <v>1</v>
      </c>
      <c r="S8" s="277"/>
      <c r="T8" s="76"/>
      <c r="U8" s="76"/>
      <c r="V8" s="114">
        <f t="shared" ref="V8:AA8" si="1">$N8*P8</f>
        <v>0</v>
      </c>
      <c r="W8" s="114">
        <f t="shared" si="1"/>
        <v>0</v>
      </c>
      <c r="X8" s="114">
        <f t="shared" si="1"/>
        <v>0</v>
      </c>
      <c r="Y8" s="244" t="s">
        <v>273</v>
      </c>
      <c r="Z8" s="114">
        <f t="shared" si="1"/>
        <v>0</v>
      </c>
      <c r="AA8" s="114">
        <f t="shared" si="1"/>
        <v>0</v>
      </c>
      <c r="AB8" s="76"/>
    </row>
    <row r="9" spans="1:28" s="55" customFormat="1">
      <c r="D9" s="76"/>
      <c r="G9" s="76"/>
      <c r="I9" s="253"/>
      <c r="K9" s="113"/>
      <c r="M9" s="162"/>
      <c r="N9" s="253"/>
      <c r="O9" s="104"/>
      <c r="P9" s="76"/>
      <c r="Q9" s="76"/>
      <c r="R9" s="76"/>
      <c r="S9" s="76"/>
      <c r="T9" s="76"/>
      <c r="U9" s="76"/>
      <c r="V9" s="58"/>
      <c r="W9" s="58"/>
      <c r="X9" s="58"/>
      <c r="Y9" s="58"/>
      <c r="Z9" s="58"/>
      <c r="AA9" s="58"/>
      <c r="AB9" s="76"/>
    </row>
    <row r="10" spans="1:28">
      <c r="D10" s="3"/>
      <c r="E10" s="3"/>
      <c r="F10" s="3"/>
      <c r="G10" s="3"/>
      <c r="H10" s="3"/>
      <c r="I10" s="3"/>
      <c r="J10" s="3"/>
      <c r="K10" s="36"/>
      <c r="L10" s="3"/>
      <c r="M10" s="63"/>
      <c r="N10" s="3"/>
      <c r="O10" s="3"/>
      <c r="P10" s="3"/>
      <c r="Q10" s="3"/>
      <c r="R10" s="3"/>
      <c r="S10" s="3"/>
      <c r="T10" s="3"/>
      <c r="U10" s="3"/>
      <c r="V10" s="3"/>
      <c r="W10" s="3"/>
      <c r="X10" s="3"/>
      <c r="Y10" s="3"/>
      <c r="Z10" s="3"/>
      <c r="AA10" s="3"/>
      <c r="AB10" s="3"/>
    </row>
    <row r="11" spans="1:28" ht="13">
      <c r="C11" s="5"/>
      <c r="D11" s="8"/>
    </row>
    <row r="12" spans="1:28">
      <c r="D12" s="6"/>
    </row>
  </sheetData>
  <sheetProtection algorithmName="SHA-512" hashValue="WVWAUl0rXg2UBfGghbZVn/8GBKYopCM8ekiFdie9MBhaigrRrK2Ya2rYP11nMofSgf7fiRdw5dNZHYMVnBItKw==" saltValue="V9A/aJTTCBCaonW5ob0UYw==" spinCount="100000" sheet="1"/>
  <phoneticPr fontId="2" type="noConversion"/>
  <pageMargins left="0.39370078740157483" right="0.39370078740157483" top="0.74803149606299213" bottom="0.74803149606299213" header="0.31496062992125984" footer="0.31496062992125984"/>
  <pageSetup paperSize="9" orientation="landscape" r:id="rId1"/>
  <headerFooter>
    <oddFooter>&amp;L&amp;A
Printed &amp;D</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R37"/>
  <sheetViews>
    <sheetView topLeftCell="A13" zoomScale="90" zoomScaleNormal="90" workbookViewId="0">
      <selection activeCell="B32" sqref="B32"/>
    </sheetView>
  </sheetViews>
  <sheetFormatPr defaultColWidth="9.1796875" defaultRowHeight="12.5"/>
  <cols>
    <col min="1" max="1" width="38" style="339" customWidth="1"/>
    <col min="2" max="2" width="10" style="360" customWidth="1"/>
    <col min="3" max="3" width="14.1796875" style="339" customWidth="1"/>
    <col min="4" max="4" width="21.453125" style="339" customWidth="1"/>
    <col min="5" max="5" width="22.6328125" style="339" customWidth="1"/>
    <col min="6" max="6" width="14.81640625" style="339" customWidth="1"/>
    <col min="7" max="7" width="12.36328125" style="339" customWidth="1"/>
    <col min="8" max="8" width="10.6328125" style="339" customWidth="1"/>
    <col min="9" max="9" width="16.81640625" style="339" customWidth="1"/>
    <col min="10" max="10" width="16.453125" style="339" customWidth="1"/>
    <col min="11" max="11" width="14.81640625" style="339" customWidth="1"/>
    <col min="12" max="12" width="15.453125" style="339" customWidth="1"/>
    <col min="13" max="13" width="5.36328125" style="339" customWidth="1"/>
    <col min="14" max="14" width="9.1796875" style="339"/>
    <col min="15" max="15" width="0" style="339" hidden="1" customWidth="1"/>
    <col min="16" max="16" width="28.81640625" style="339" customWidth="1"/>
    <col min="17" max="16384" width="9.1796875" style="339"/>
  </cols>
  <sheetData>
    <row r="1" spans="1:16" ht="13">
      <c r="A1" s="356" t="s">
        <v>886</v>
      </c>
      <c r="B1" s="357"/>
    </row>
    <row r="2" spans="1:16" ht="30" customHeight="1">
      <c r="A2" s="807" t="str">
        <f>IF(ISNA(MATCH("n",O5:O31,0)),"","
The Estimated Hg input (or equivalent inserted IL2 results) marked in red colour is very high compared to previous observations. Data may be correct, but please confirm your activity rate data (or inserted IL2 data).")</f>
        <v/>
      </c>
      <c r="B2" s="808"/>
      <c r="C2" s="808"/>
      <c r="D2" s="808"/>
      <c r="E2" s="808"/>
      <c r="F2" s="808"/>
      <c r="G2" s="808"/>
      <c r="H2" s="808"/>
      <c r="I2" s="808"/>
      <c r="J2" s="808"/>
      <c r="K2" s="808"/>
      <c r="L2" s="808"/>
      <c r="M2" s="809"/>
    </row>
    <row r="3" spans="1:16" s="361" customFormat="1" ht="25.5" customHeight="1">
      <c r="A3" s="721" t="s">
        <v>837</v>
      </c>
      <c r="B3" s="722" t="s">
        <v>840</v>
      </c>
      <c r="C3" s="723" t="s">
        <v>839</v>
      </c>
      <c r="D3" s="721"/>
      <c r="E3" s="724"/>
      <c r="F3" s="735" t="s">
        <v>854</v>
      </c>
      <c r="G3" s="804" t="s">
        <v>855</v>
      </c>
      <c r="H3" s="805"/>
      <c r="I3" s="805"/>
      <c r="J3" s="805"/>
      <c r="K3" s="805"/>
      <c r="L3" s="806"/>
      <c r="M3" s="721"/>
    </row>
    <row r="4" spans="1:16" ht="65">
      <c r="A4" s="719"/>
      <c r="B4" s="720" t="str">
        <f>quest</f>
        <v>S/N/?</v>
      </c>
      <c r="C4" s="723" t="s">
        <v>842</v>
      </c>
      <c r="D4" s="723" t="s">
        <v>843</v>
      </c>
      <c r="E4" s="726" t="s">
        <v>768</v>
      </c>
      <c r="F4" s="736" t="s">
        <v>856</v>
      </c>
      <c r="G4" s="727" t="s">
        <v>857</v>
      </c>
      <c r="H4" s="727" t="s">
        <v>858</v>
      </c>
      <c r="I4" s="727" t="s">
        <v>859</v>
      </c>
      <c r="J4" s="736" t="s">
        <v>860</v>
      </c>
      <c r="K4" s="736" t="s">
        <v>861</v>
      </c>
      <c r="L4" s="736" t="s">
        <v>862</v>
      </c>
      <c r="M4" s="721" t="s">
        <v>863</v>
      </c>
      <c r="N4" s="323" t="s">
        <v>864</v>
      </c>
    </row>
    <row r="5" spans="1:16" ht="13.5" thickBot="1">
      <c r="A5" s="265" t="s">
        <v>889</v>
      </c>
      <c r="B5" s="481"/>
      <c r="C5" s="267"/>
      <c r="D5" s="272"/>
      <c r="E5" s="272"/>
      <c r="F5" s="351"/>
      <c r="G5" s="352"/>
      <c r="H5" s="352"/>
      <c r="I5" s="352"/>
      <c r="J5" s="353"/>
      <c r="K5" s="353"/>
      <c r="L5" s="353"/>
      <c r="M5" s="263"/>
      <c r="N5" s="463"/>
    </row>
    <row r="6" spans="1:16" ht="25.5" thickBot="1">
      <c r="A6" s="270" t="s">
        <v>887</v>
      </c>
      <c r="B6" s="626"/>
      <c r="C6" s="378"/>
      <c r="D6" s="345" t="s">
        <v>890</v>
      </c>
      <c r="E6" s="345"/>
      <c r="F6" s="461" t="str">
        <f>IF(OR($B6=yes,$B6=yes),'5-2 Prim metal'!K6, IF(OR($B6=no,$B6=no),"-", IF($B6=que,que, pres)))</f>
        <v>¿Presente?</v>
      </c>
      <c r="G6" s="280" t="str">
        <f>IF(OR($B6=yes,$B6=yes),'5-2 Prim metal'!V6, IF(OR($B6=no,$B6=no),"-", IF($B6=que,que, pres)))</f>
        <v>¿Presente?</v>
      </c>
      <c r="H6" s="280" t="str">
        <f>IF(OR($B6=yes,$B6=yes),'5-2 Prim metal'!W6, IF(OR($B6=no,$B6=no),"-", IF($B6=que,que, pres)))</f>
        <v>¿Presente?</v>
      </c>
      <c r="I6" s="280" t="str">
        <f>IF(OR($B6=yes,$B6=yes),'5-2 Prim metal'!X6, IF(OR($B6=no,$B6=no),"-", IF($B6=que,que, pres)))</f>
        <v>¿Presente?</v>
      </c>
      <c r="J6" s="280" t="str">
        <f>IF(OR($B6=yes,$B6=yes),'5-2 Prim metal'!Y6, IF(OR($B6=no,$B6=no),"-", IF($B6=que,que, pres)))</f>
        <v>¿Presente?</v>
      </c>
      <c r="K6" s="280" t="str">
        <f>IF(OR($B6=yes,$B6=yes),'5-2 Prim metal'!Z6, IF(OR($B6=no,$B6=no),"-", IF($B6=que,que, pres)))</f>
        <v>¿Presente?</v>
      </c>
      <c r="L6" s="280" t="str">
        <f>IF(OR($B6=yes,$B6=yes),'5-2 Prim metal'!AA6, IF(OR($B6=no,$B6=no),"-", IF($B6=que,que, pres)))</f>
        <v>¿Presente?</v>
      </c>
      <c r="M6" s="273" t="s">
        <v>157</v>
      </c>
      <c r="N6" s="463"/>
    </row>
    <row r="7" spans="1:16" ht="13" thickBot="1">
      <c r="A7" s="270" t="s">
        <v>888</v>
      </c>
      <c r="B7" s="628"/>
      <c r="C7" s="401"/>
      <c r="D7" s="655" t="s">
        <v>891</v>
      </c>
      <c r="E7" s="677"/>
      <c r="F7" s="461" t="str">
        <f>IF(OR($B7=yes,$B7=yes),'5-2 Prim metal'!K16, IF(OR($B7=no,$B7=no),"-", IF($B7=que,que, pres)))</f>
        <v>¿Presente?</v>
      </c>
      <c r="G7" s="280" t="str">
        <f>IF(OR($B7=yes,$B7=yes),SUM('5-2 Prim metal'!V16:V19), IF(OR($B7=no,$B7=no),"-", IF($B7=que,que, pres)))</f>
        <v>¿Presente?</v>
      </c>
      <c r="H7" s="280" t="str">
        <f>IF(OR($B7=yes,$B7=yes),SUM('5-2 Prim metal'!W16:W19), IF(OR($B7=no,$B7=no),"-", IF($B7=que,que, pres)))</f>
        <v>¿Presente?</v>
      </c>
      <c r="I7" s="280" t="str">
        <f>IF(OR($B7=yes,$B7=yes),SUM('5-2 Prim metal'!X16:X19), IF(OR($B7=no,$B7=no),"-", IF($B7=que,que, pres)))</f>
        <v>¿Presente?</v>
      </c>
      <c r="J7" s="280" t="str">
        <f>IF(OR($B7=yes,$B7=yes),SUM('5-2 Prim metal'!Y16:Y19), IF(OR($B7=no,$B7=no),"-", IF($B7=que,que, pres)))</f>
        <v>¿Presente?</v>
      </c>
      <c r="K7" s="280" t="str">
        <f>IF(OR($B7=yes,$B7=yes),SUM('5-2 Prim metal'!Z16:Z19), IF(OR($B7=no,$B7=no),"-", IF($B7=que,que, pres)))</f>
        <v>¿Presente?</v>
      </c>
      <c r="L7" s="280" t="str">
        <f>IF(OR($B7=yes,$B7=yes),SUM('5-2 Prim metal'!AA16:AA19), IF(OR($B7=no,$B7=no),"-", IF($B7=que,que, pres)))</f>
        <v>¿Presente?</v>
      </c>
      <c r="M7" s="273" t="s">
        <v>361</v>
      </c>
      <c r="N7" s="463"/>
    </row>
    <row r="8" spans="1:16" ht="62.5">
      <c r="A8" s="270"/>
      <c r="B8" s="713"/>
      <c r="C8" s="717"/>
      <c r="D8" s="273"/>
      <c r="E8" s="685" t="s">
        <v>1176</v>
      </c>
      <c r="F8" s="664"/>
      <c r="G8" s="664" t="s">
        <v>1188</v>
      </c>
      <c r="H8" s="664" t="s">
        <v>1189</v>
      </c>
      <c r="I8" s="664" t="s">
        <v>1190</v>
      </c>
      <c r="J8" s="664" t="s">
        <v>1191</v>
      </c>
      <c r="K8" s="280"/>
      <c r="L8" s="280"/>
      <c r="M8" s="273"/>
      <c r="N8" s="463"/>
    </row>
    <row r="9" spans="1:16" ht="38" thickBot="1">
      <c r="A9" s="270"/>
      <c r="B9" s="714"/>
      <c r="C9" s="714"/>
      <c r="D9" s="665" t="s">
        <v>766</v>
      </c>
      <c r="E9" s="664" t="s">
        <v>1175</v>
      </c>
      <c r="F9" s="664"/>
      <c r="G9" s="666">
        <f>100-H9-I9-J9-K9-L9</f>
        <v>0</v>
      </c>
      <c r="H9" s="671"/>
      <c r="I9" s="671">
        <v>100</v>
      </c>
      <c r="J9" s="671"/>
      <c r="K9" s="280"/>
      <c r="L9" s="280"/>
      <c r="M9" s="708" t="s">
        <v>1169</v>
      </c>
      <c r="N9" s="464"/>
      <c r="P9" s="709"/>
    </row>
    <row r="10" spans="1:16" ht="13" thickBot="1">
      <c r="A10" s="270" t="s">
        <v>892</v>
      </c>
      <c r="B10" s="715"/>
      <c r="C10" s="404"/>
      <c r="D10" s="345" t="s">
        <v>891</v>
      </c>
      <c r="E10" s="677"/>
      <c r="F10" s="461" t="str">
        <f>IF(OR($B10=yes,$B10=yes),'5-2 Prim metal'!K23, IF(OR($B10=no,$B10=no),"-", IF($B10=que,que, pres)))</f>
        <v>¿Presente?</v>
      </c>
      <c r="G10" s="280" t="str">
        <f>IF(OR($B10=yes,$B10=yes),SUM('5-2 Prim metal'!V23:V26), IF(OR($B10=no,$B10=no),"-", IF($B10=que,que, pres)))</f>
        <v>¿Presente?</v>
      </c>
      <c r="H10" s="280" t="str">
        <f>IF(OR($B10=yes,$B10=yes),SUM('5-2 Prim metal'!W23:W26), IF(OR($B10=no,$B10=no),"-", IF($B10=que,que, pres)))</f>
        <v>¿Presente?</v>
      </c>
      <c r="I10" s="280" t="str">
        <f>IF(OR($B10=yes,$B10=yes),SUM('5-2 Prim metal'!X23:X26), IF(OR($B10=no,$B10=no),"-", IF($B10=que,que, pres)))</f>
        <v>¿Presente?</v>
      </c>
      <c r="J10" s="280" t="str">
        <f>IF(OR($B10=yes,$B10=yes),SUM('5-2 Prim metal'!Y23:Y26), IF(OR($B10=no,$B10=no),"-", IF($B10=que,que, pres)))</f>
        <v>¿Presente?</v>
      </c>
      <c r="K10" s="280" t="str">
        <f>IF(OR($B10=yes,$B10=yes),SUM('5-2 Prim metal'!Z23:Z26), IF(OR($B10=no,$B10=no),"-", IF($B10=que,que, pres)))</f>
        <v>¿Presente?</v>
      </c>
      <c r="L10" s="280" t="str">
        <f>IF(OR($B10=yes,$B10=yes),SUM('5-2 Prim metal'!AA23:AA26), IF(OR($B10=no,$B10=no),"-", IF($B10=que,que, pres)))</f>
        <v>¿Presente?</v>
      </c>
      <c r="M10" s="273" t="s">
        <v>362</v>
      </c>
      <c r="N10" s="463"/>
    </row>
    <row r="11" spans="1:16" ht="62.5">
      <c r="A11" s="270"/>
      <c r="B11" s="713"/>
      <c r="C11" s="713"/>
      <c r="D11" s="273"/>
      <c r="E11" s="685" t="s">
        <v>1176</v>
      </c>
      <c r="F11" s="664"/>
      <c r="G11" s="664" t="s">
        <v>1188</v>
      </c>
      <c r="H11" s="664" t="s">
        <v>1189</v>
      </c>
      <c r="I11" s="664" t="s">
        <v>1190</v>
      </c>
      <c r="J11" s="664" t="s">
        <v>1191</v>
      </c>
      <c r="K11" s="280"/>
      <c r="L11" s="280"/>
      <c r="M11" s="273"/>
      <c r="N11" s="463"/>
    </row>
    <row r="12" spans="1:16" ht="38" thickBot="1">
      <c r="A12" s="270"/>
      <c r="B12" s="714"/>
      <c r="C12" s="714"/>
      <c r="D12" s="665" t="s">
        <v>766</v>
      </c>
      <c r="E12" s="664" t="s">
        <v>1175</v>
      </c>
      <c r="F12" s="664"/>
      <c r="G12" s="666">
        <f>100-H12-I12-J12-K12-L12</f>
        <v>0</v>
      </c>
      <c r="H12" s="671"/>
      <c r="I12" s="671">
        <v>100</v>
      </c>
      <c r="J12" s="671"/>
      <c r="K12" s="280"/>
      <c r="L12" s="280"/>
      <c r="M12" s="708" t="s">
        <v>1169</v>
      </c>
      <c r="N12" s="464"/>
    </row>
    <row r="13" spans="1:16" ht="25.5" thickBot="1">
      <c r="A13" s="270" t="s">
        <v>893</v>
      </c>
      <c r="B13" s="715"/>
      <c r="C13" s="404"/>
      <c r="D13" s="345" t="s">
        <v>891</v>
      </c>
      <c r="E13" s="677"/>
      <c r="F13" s="461" t="str">
        <f>IF(OR($B13=yes,$B13=yes),'5-2 Prim metal'!K30, IF(OR($B13=no,$B13=no),"-", IF($B13=que,que, pres)))</f>
        <v>¿Presente?</v>
      </c>
      <c r="G13" s="280" t="str">
        <f>IF(OR($B13=yes,$B13=yes),'5-2 Prim metal'!V28, IF(OR($B13=no,$B13=no),"-", IF($B13=que,que, pres)))</f>
        <v>¿Presente?</v>
      </c>
      <c r="H13" s="280" t="str">
        <f>IF(OR($B13=yes,$B13=yes),'5-2 Prim metal'!W28, IF(OR($B13=no,$B13=no),"-", IF($B13=que,que, pres)))</f>
        <v>¿Presente?</v>
      </c>
      <c r="I13" s="280" t="str">
        <f>IF(OR($B13=yes,$B13=yes),'5-2 Prim metal'!X28, IF(OR($B13=no,$B13=no),"-", IF($B13=que,que, pres)))</f>
        <v>¿Presente?</v>
      </c>
      <c r="J13" s="280" t="str">
        <f>IF(OR($B13=yes,$B13=yes),'5-2 Prim metal'!Y28, IF(OR($B13=no,$B13=no),"-", IF($B13=que,que, pres)))</f>
        <v>¿Presente?</v>
      </c>
      <c r="K13" s="280" t="str">
        <f>IF(OR($B13=yes,$B13=yes),'5-2 Prim metal'!Z28, IF(OR($B13=no,$B13=no),"-", IF($B13=que,que, pres)))</f>
        <v>¿Presente?</v>
      </c>
      <c r="L13" s="280" t="str">
        <f>IF(OR($B13=yes,$B13=yes),'5-2 Prim metal'!AA28, IF(OR($B13=no,$B13=no),"-", IF($B13=que,que, pres)))</f>
        <v>¿Presente?</v>
      </c>
      <c r="M13" s="273" t="s">
        <v>363</v>
      </c>
      <c r="N13" s="463"/>
    </row>
    <row r="14" spans="1:16" ht="62.5">
      <c r="A14" s="270"/>
      <c r="B14" s="713"/>
      <c r="C14" s="713"/>
      <c r="D14" s="273"/>
      <c r="E14" s="685" t="s">
        <v>1176</v>
      </c>
      <c r="F14" s="664"/>
      <c r="G14" s="664" t="s">
        <v>1188</v>
      </c>
      <c r="H14" s="664" t="s">
        <v>1189</v>
      </c>
      <c r="I14" s="664" t="s">
        <v>1190</v>
      </c>
      <c r="J14" s="664" t="s">
        <v>1191</v>
      </c>
      <c r="K14" s="280"/>
      <c r="L14" s="280"/>
      <c r="M14" s="273"/>
      <c r="N14" s="463"/>
    </row>
    <row r="15" spans="1:16" ht="38" thickBot="1">
      <c r="A15" s="270"/>
      <c r="B15" s="714"/>
      <c r="C15" s="714"/>
      <c r="D15" s="665" t="s">
        <v>766</v>
      </c>
      <c r="E15" s="664" t="s">
        <v>1175</v>
      </c>
      <c r="F15" s="664"/>
      <c r="G15" s="666">
        <f>100-H15-I15-J15-K15-L15</f>
        <v>0</v>
      </c>
      <c r="H15" s="671"/>
      <c r="I15" s="671">
        <v>100</v>
      </c>
      <c r="J15" s="671"/>
      <c r="K15" s="280"/>
      <c r="L15" s="280"/>
      <c r="M15" s="708" t="s">
        <v>1169</v>
      </c>
      <c r="N15" s="464"/>
    </row>
    <row r="16" spans="1:16" ht="25">
      <c r="A16" s="270" t="s">
        <v>894</v>
      </c>
      <c r="B16" s="366"/>
      <c r="C16" s="378"/>
      <c r="D16" s="345" t="s">
        <v>897</v>
      </c>
      <c r="E16" s="345"/>
      <c r="F16" s="461" t="str">
        <f>IF(OR($B16=yes,$B16=yes),'5-2 Prim metal'!K35, IF(OR($B16=no,$B16=no),"-", IF($B16=que,que, pres)))</f>
        <v>¿Presente?</v>
      </c>
      <c r="G16" s="280" t="str">
        <f>IF(OR($B16=yes,$B16=yes),'5-2 Prim metal'!V35, IF(OR($B16=no,$B16=no),"-", IF($B16=que,que, pres)))</f>
        <v>¿Presente?</v>
      </c>
      <c r="H16" s="280" t="str">
        <f>IF(OR($B16=yes,$B16=yes),'5-2 Prim metal'!W35, IF(OR($B16=no,$B16=no),"-", IF($B16=que,que, pres)))</f>
        <v>¿Presente?</v>
      </c>
      <c r="I16" s="280" t="str">
        <f>IF(OR($B16=yes,$B16=yes),'5-2 Prim metal'!X35, IF(OR($B16=no,$B16=no),"-", IF($B16=que,que, pres)))</f>
        <v>¿Presente?</v>
      </c>
      <c r="J16" s="280" t="str">
        <f>IF(OR($B16=yes,$B16=yes),'5-2 Prim metal'!Y35, IF(OR($B16=no,$B16=no),"-", IF($B16=que,que, pres)))</f>
        <v>¿Presente?</v>
      </c>
      <c r="K16" s="280" t="str">
        <f>IF(OR($B16=yes,$B16=yes),'5-2 Prim metal'!Z35, IF(OR($B16=no,$B16=no),"-", IF($B16=que,que, pres)))</f>
        <v>¿Presente?</v>
      </c>
      <c r="L16" s="280" t="str">
        <f>IF(OR($B16=yes,$B16=yes),'5-2 Prim metal'!AA35, IF(OR($B16=no,$B16=no),"-", IF($B16=que,que, pres)))</f>
        <v>¿Presente?</v>
      </c>
      <c r="M16" s="273" t="s">
        <v>364</v>
      </c>
      <c r="N16" s="463"/>
    </row>
    <row r="17" spans="1:18" ht="25">
      <c r="A17" s="275" t="s">
        <v>898</v>
      </c>
      <c r="B17" s="627"/>
      <c r="C17" s="379"/>
      <c r="D17" s="345" t="s">
        <v>899</v>
      </c>
      <c r="E17" s="345"/>
      <c r="F17" s="461" t="str">
        <f>IF(OR($B17=yes,$B17=yes),'5-2 Prim metal'!K38, IF(OR($B17=no,$B17=no),"-", IF($B17=que,que, pres)))</f>
        <v>¿Presente?</v>
      </c>
      <c r="G17" s="280" t="str">
        <f>IF(OR($B17=yes,$B17=yes),'5-2 Prim metal'!V38, IF(OR($B17=no,$B17=no),"-", IF($B17=que,que, pres)))</f>
        <v>¿Presente?</v>
      </c>
      <c r="H17" s="280" t="str">
        <f>IF(OR($B17=yes,$B17=yes),'5-2 Prim metal'!W38, IF(OR($B17=no,$B17=no),"-", IF($B17=que,que, pres)))</f>
        <v>¿Presente?</v>
      </c>
      <c r="I17" s="280" t="str">
        <f>IF(OR($B17=yes,$B17=yes),'5-2 Prim metal'!X38, IF(OR($B17=no,$B17=no),"-", IF($B17=que,que, pres)))</f>
        <v>¿Presente?</v>
      </c>
      <c r="J17" s="280" t="str">
        <f>IF(OR($B17=yes,$B17=yes),'5-2 Prim metal'!Y38, IF(OR($B17=no,$B17=no),"-", IF($B17=que,que, pres)))</f>
        <v>¿Presente?</v>
      </c>
      <c r="K17" s="280" t="str">
        <f>IF(OR($B17=yes,$B17=yes),'5-2 Prim metal'!Z38, IF(OR($B17=no,$B17=no),"-", IF($B17=que,que, pres)))</f>
        <v>¿Presente?</v>
      </c>
      <c r="L17" s="280" t="str">
        <f>IF(OR($B17=yes,$B17=yes),'5-2 Prim metal'!AA38, IF(OR($B17=no,$B17=no),"-", IF($B17=que,que, pres)))</f>
        <v>¿Presente?</v>
      </c>
      <c r="M17" s="273" t="s">
        <v>365</v>
      </c>
      <c r="N17" s="463"/>
    </row>
    <row r="18" spans="1:18" ht="25.5" thickBot="1">
      <c r="A18" s="275" t="s">
        <v>900</v>
      </c>
      <c r="B18" s="627"/>
      <c r="C18" s="379"/>
      <c r="D18" s="355" t="s">
        <v>896</v>
      </c>
      <c r="E18" s="355"/>
      <c r="F18" s="461" t="str">
        <f>IF(OR($B18=yes,$B18=yes),'5-2 Prim metal'!K43, IF(OR($B18=no,$B18=no),"-", IF($B18=que,que, pres)))</f>
        <v>¿Presente?</v>
      </c>
      <c r="G18" s="280" t="str">
        <f>IF(OR($B18=yes,$B18=yes),'5-2 Prim metal'!V43, IF(OR($B18=no,$B18=no),"-", IF($B18=que,que, pres)))</f>
        <v>¿Presente?</v>
      </c>
      <c r="H18" s="280" t="str">
        <f>IF(OR($B18=yes,$B18=yes),'5-2 Prim metal'!W43, IF(OR($B18=no,$B18=no),"-", IF($B18=que,que, pres)))</f>
        <v>¿Presente?</v>
      </c>
      <c r="I18" s="280" t="str">
        <f>IF(OR($B18=yes,$B18=yes),'5-2 Prim metal'!X43, IF(OR($B18=no,$B18=no),"-", IF($B18=que,que, pres)))</f>
        <v>¿Presente?</v>
      </c>
      <c r="J18" s="280" t="str">
        <f>IF(OR($B18=yes,$B18=yes),'5-2 Prim metal'!Y43, IF(OR($B18=no,$B18=no),"-", IF($B18=que,que, pres)))</f>
        <v>¿Presente?</v>
      </c>
      <c r="K18" s="280" t="str">
        <f>IF(OR($B18=yes,$B18=yes),'5-2 Prim metal'!Z43, IF(OR($B18=no,$B18=no),"-", IF($B18=que,que, pres)))</f>
        <v>¿Presente?</v>
      </c>
      <c r="L18" s="280" t="str">
        <f>IF(OR($B18=yes,$B18=yes),'5-2 Prim metal'!AA43, IF(OR($B18=no,$B18=no),"-", IF($B18=que,que, pres)))</f>
        <v>¿Presente?</v>
      </c>
      <c r="M18" s="273" t="s">
        <v>366</v>
      </c>
      <c r="N18" s="463"/>
    </row>
    <row r="19" spans="1:18" ht="38" thickBot="1">
      <c r="A19" s="603" t="s">
        <v>1241</v>
      </c>
      <c r="B19" s="628"/>
      <c r="C19" s="401"/>
      <c r="D19" s="355" t="s">
        <v>1072</v>
      </c>
      <c r="E19" s="677"/>
      <c r="F19" s="461" t="str">
        <f>IF(OR($B19=yes,$B19=yes),SUM('5-2 Prim metal'!K9:K10), IF(OR($B19=no,$B19=no),"-", IF($B19=que,que, pres)))</f>
        <v>¿Presente?</v>
      </c>
      <c r="G19" s="280" t="str">
        <f>IF(OR($B19=yes,$B19=yes),SUM('5-2 Prim metal'!V9:V10), IF(OR($B19=no,$B19=no),"-", IF($B19=que,que, pres)))</f>
        <v>¿Presente?</v>
      </c>
      <c r="H19" s="280" t="str">
        <f>IF(OR($B19=yes,$B19=yes),SUM('5-2 Prim metal'!W9:W10), IF(OR($B19=no,$B19=no),"-", IF($B19=que,que, pres)))</f>
        <v>¿Presente?</v>
      </c>
      <c r="I19" s="280" t="str">
        <f>IF(OR($B19=yes,$B19=yes),SUM('5-2 Prim metal'!X9:X10), IF(OR($B19=no,$B19=no),"-", IF($B19=que,que, pres)))</f>
        <v>¿Presente?</v>
      </c>
      <c r="J19" s="280" t="str">
        <f>IF(OR($B19=yes,$B19=yes),SUM('5-2 Prim metal'!Y9:Y10), IF(OR($B19=no,$B19=no),"-", IF($B19=que,que, pres)))</f>
        <v>¿Presente?</v>
      </c>
      <c r="K19" s="280" t="str">
        <f>IF(OR($B19=yes,$B19=yes),SUM('5-2 Prim metal'!Z9:Z10), IF(OR($B19=no,$B19=no),"-", IF($B19=que,que, pres)))</f>
        <v>¿Presente?</v>
      </c>
      <c r="L19" s="280" t="str">
        <f>IF(OR($B19=yes,$B19=yes),SUM('5-2 Prim metal'!AA9:AA10), IF(OR($B19=no,$B19=no),"-", IF($B19=que,que, pres)))</f>
        <v>¿Presente?</v>
      </c>
      <c r="M19" s="273" t="s">
        <v>158</v>
      </c>
      <c r="N19" s="463"/>
    </row>
    <row r="20" spans="1:18" ht="50">
      <c r="A20" s="603"/>
      <c r="B20" s="603"/>
      <c r="C20" s="603"/>
      <c r="D20" s="273"/>
      <c r="E20" s="685" t="s">
        <v>1176</v>
      </c>
      <c r="F20" s="664"/>
      <c r="G20" s="664" t="s">
        <v>1192</v>
      </c>
      <c r="H20" s="664" t="s">
        <v>1193</v>
      </c>
      <c r="I20" s="280"/>
      <c r="J20" s="280"/>
      <c r="K20" s="280"/>
      <c r="L20" s="280"/>
      <c r="M20" s="273"/>
      <c r="N20" s="463"/>
    </row>
    <row r="21" spans="1:18" ht="38" thickBot="1">
      <c r="A21" s="603"/>
      <c r="B21" s="716"/>
      <c r="C21" s="716"/>
      <c r="D21" s="665" t="s">
        <v>766</v>
      </c>
      <c r="E21" s="664" t="s">
        <v>1175</v>
      </c>
      <c r="F21" s="664"/>
      <c r="G21" s="672">
        <f>100-H21-I21-J21-K21-L21</f>
        <v>100</v>
      </c>
      <c r="H21" s="671"/>
      <c r="I21" s="280"/>
      <c r="J21" s="280"/>
      <c r="K21" s="280"/>
      <c r="L21" s="280"/>
      <c r="M21" s="708" t="s">
        <v>1169</v>
      </c>
      <c r="N21" s="464"/>
    </row>
    <row r="22" spans="1:18" ht="25.5" thickBot="1">
      <c r="A22" s="603" t="s">
        <v>906</v>
      </c>
      <c r="B22" s="715"/>
      <c r="C22" s="404"/>
      <c r="D22" s="355" t="s">
        <v>1072</v>
      </c>
      <c r="E22" s="677"/>
      <c r="F22" s="461" t="str">
        <f>IF(OR($B22=yes,$B22=yes),SUM('5-2 Prim metal'!K11:K12), IF(OR($B22=no,$B22=no),"-", IF($B22=que,que, pres)))</f>
        <v>¿Presente?</v>
      </c>
      <c r="G22" s="280" t="str">
        <f>IF(OR($B22=yes,$B22=yes),SUM('5-2 Prim metal'!V11:V12), IF(OR($B22=no,$B22=no),"-", IF($B22=que,que, pres)))</f>
        <v>¿Presente?</v>
      </c>
      <c r="H22" s="280" t="str">
        <f>IF(OR($B22=yes,$B22=yes),SUM('5-2 Prim metal'!W11:W12), IF(OR($B22=no,$B22=no),"-", IF($B22=que,que, pres)))</f>
        <v>¿Presente?</v>
      </c>
      <c r="I22" s="280" t="str">
        <f>IF(OR($B22=yes,$B22=yes),SUM('5-2 Prim metal'!X11:X12), IF(OR($B22=no,$B22=no),"-", IF($B22=que,que, pres)))</f>
        <v>¿Presente?</v>
      </c>
      <c r="J22" s="280" t="str">
        <f>IF(OR($B22=yes,$B22=yes),SUM('5-2 Prim metal'!Y11:Y12), IF(OR($B22=no,$B22=no),"-", IF($B22=que,que, pres)))</f>
        <v>¿Presente?</v>
      </c>
      <c r="K22" s="280" t="str">
        <f>IF(OR($B22=yes,$B22=yes),SUM('5-2 Prim metal'!Z11:Z12), IF(OR($B22=no,$B22=no),"-", IF($B22=que,que, pres)))</f>
        <v>¿Presente?</v>
      </c>
      <c r="L22" s="280" t="str">
        <f>IF(OR($B22=yes,$B22=yes),SUM('5-2 Prim metal'!AA11:AA12), IF(OR($B22=no,$B22=no),"-", IF($B22=que,que, pres)))</f>
        <v>¿Presente?</v>
      </c>
      <c r="M22" s="273" t="s">
        <v>158</v>
      </c>
      <c r="N22" s="463"/>
    </row>
    <row r="23" spans="1:18" ht="50">
      <c r="A23" s="275"/>
      <c r="B23" s="275"/>
      <c r="C23" s="275"/>
      <c r="D23" s="273"/>
      <c r="E23" s="685" t="s">
        <v>1176</v>
      </c>
      <c r="F23" s="664"/>
      <c r="G23" s="664" t="s">
        <v>1192</v>
      </c>
      <c r="H23" s="664" t="s">
        <v>1193</v>
      </c>
      <c r="I23" s="280"/>
      <c r="J23" s="280"/>
      <c r="K23" s="280"/>
      <c r="L23" s="280"/>
      <c r="M23" s="273"/>
      <c r="N23" s="463"/>
    </row>
    <row r="24" spans="1:18" ht="38" thickBot="1">
      <c r="A24" s="275"/>
      <c r="B24" s="485"/>
      <c r="C24" s="485"/>
      <c r="D24" s="665" t="s">
        <v>766</v>
      </c>
      <c r="E24" s="664" t="s">
        <v>1175</v>
      </c>
      <c r="F24" s="664"/>
      <c r="G24" s="672">
        <f>100-H24-I24-J24-K24-L24</f>
        <v>100</v>
      </c>
      <c r="H24" s="671"/>
      <c r="I24" s="673"/>
      <c r="J24" s="280"/>
      <c r="K24" s="280"/>
      <c r="L24" s="673"/>
      <c r="M24" s="708" t="s">
        <v>1169</v>
      </c>
      <c r="N24" s="464"/>
    </row>
    <row r="25" spans="1:18" ht="13.5" thickBot="1">
      <c r="A25" s="354" t="s">
        <v>901</v>
      </c>
      <c r="B25" s="799"/>
      <c r="C25" s="747"/>
      <c r="D25" s="355"/>
      <c r="E25" s="355"/>
      <c r="F25" s="461"/>
      <c r="G25" s="280"/>
      <c r="H25" s="280"/>
      <c r="I25" s="280"/>
      <c r="J25" s="280"/>
      <c r="K25" s="280"/>
      <c r="L25" s="673"/>
      <c r="M25" s="272"/>
      <c r="N25" s="463"/>
    </row>
    <row r="26" spans="1:18" ht="13" thickBot="1">
      <c r="A26" s="603" t="s">
        <v>902</v>
      </c>
      <c r="B26" s="628"/>
      <c r="C26" s="750"/>
      <c r="D26" s="748" t="s">
        <v>903</v>
      </c>
      <c r="E26" s="677"/>
      <c r="F26" s="461" t="str">
        <f>IF(OR($B26=yes,$B26=yes),'5-3 Other min + mat'!K6, IF(OR($B26=no,$B26=no),"-", IF($B26=que,que, pres)))</f>
        <v>¿Presente?</v>
      </c>
      <c r="G26" s="280" t="str">
        <f>IF(OR($B26=yes,$B26=yes),'5-3 Other min + mat'!V6, IF(OR($B26=no,$B26=no),"-", IF($B26=que,que, pres)))</f>
        <v>¿Presente?</v>
      </c>
      <c r="H26" s="280" t="str">
        <f>IF(OR($B26=yes,$B26=yes),'5-3 Other min + mat'!W6, IF(OR($B26=no,$B26=no),"-", IF($B26=que,que, pres)))</f>
        <v>¿Presente?</v>
      </c>
      <c r="I26" s="280" t="str">
        <f>IF(OR($B26=yes,$B26=yes),'5-3 Other min + mat'!X6, IF(OR($B26=no,$B26=no),"-", IF($B26=que,que, pres)))</f>
        <v>¿Presente?</v>
      </c>
      <c r="J26" s="280" t="str">
        <f>IF(OR($B26=yes,$B26=yes),'5-3 Other min + mat'!Y6, IF(OR($B26=no,$B26=no),"-", IF($B26=que,que, pres)))</f>
        <v>¿Presente?</v>
      </c>
      <c r="K26" s="280" t="str">
        <f>IF(OR($B26=yes,$B26=yes),'5-3 Other min + mat'!Z6, IF(OR($B26=no,$B26=no),"-", IF($B26=que,que, pres)))</f>
        <v>¿Presente?</v>
      </c>
      <c r="L26" s="280" t="str">
        <f>IF(OR($B26=yes,$B26=yes),'5-3 Other min + mat'!AA6, IF(OR($B26=no,$B26=no),"-", IF($B26=que,que, pres)))</f>
        <v>¿Presente?</v>
      </c>
      <c r="M26" s="273" t="s">
        <v>188</v>
      </c>
      <c r="N26" s="463"/>
    </row>
    <row r="27" spans="1:18" ht="83" customHeight="1">
      <c r="A27" s="275"/>
      <c r="B27" s="798"/>
      <c r="C27" s="798"/>
      <c r="D27" s="273"/>
      <c r="E27" s="685" t="s">
        <v>1194</v>
      </c>
      <c r="F27" s="664"/>
      <c r="G27" s="664" t="s">
        <v>1178</v>
      </c>
      <c r="H27" s="664" t="s">
        <v>1196</v>
      </c>
      <c r="I27" s="664" t="s">
        <v>1197</v>
      </c>
      <c r="J27" s="664" t="s">
        <v>1198</v>
      </c>
      <c r="K27" s="664" t="s">
        <v>1199</v>
      </c>
      <c r="L27" s="280"/>
      <c r="M27" s="273"/>
      <c r="N27" s="463"/>
    </row>
    <row r="28" spans="1:18" ht="37.5">
      <c r="A28" s="275"/>
      <c r="B28" s="275"/>
      <c r="C28" s="275"/>
      <c r="D28" s="665"/>
      <c r="E28" s="664" t="s">
        <v>1175</v>
      </c>
      <c r="F28" s="664"/>
      <c r="G28" s="671">
        <v>25</v>
      </c>
      <c r="H28" s="671">
        <v>25</v>
      </c>
      <c r="I28" s="671"/>
      <c r="J28" s="671"/>
      <c r="K28" s="671"/>
      <c r="L28" s="280"/>
      <c r="M28" s="273"/>
      <c r="N28" s="463"/>
    </row>
    <row r="29" spans="1:18" ht="84" customHeight="1">
      <c r="A29" s="275"/>
      <c r="B29" s="275"/>
      <c r="C29" s="275"/>
      <c r="D29" s="665" t="s">
        <v>766</v>
      </c>
      <c r="E29" s="664" t="s">
        <v>1195</v>
      </c>
      <c r="F29" s="664"/>
      <c r="G29" s="664" t="s">
        <v>1178</v>
      </c>
      <c r="H29" s="664" t="s">
        <v>1196</v>
      </c>
      <c r="I29" s="664" t="s">
        <v>1197</v>
      </c>
      <c r="J29" s="664" t="s">
        <v>1198</v>
      </c>
      <c r="K29" s="664" t="s">
        <v>1199</v>
      </c>
      <c r="L29" s="280"/>
      <c r="M29" s="273"/>
      <c r="N29" s="463"/>
    </row>
    <row r="30" spans="1:18" ht="38" thickBot="1">
      <c r="A30" s="275"/>
      <c r="B30" s="485"/>
      <c r="C30" s="485"/>
      <c r="D30" s="665"/>
      <c r="E30" s="664" t="s">
        <v>1175</v>
      </c>
      <c r="F30" s="664"/>
      <c r="G30" s="666">
        <f>100-G28-SUM(H28:K30)</f>
        <v>25</v>
      </c>
      <c r="H30" s="671">
        <v>25</v>
      </c>
      <c r="I30" s="671"/>
      <c r="J30" s="671"/>
      <c r="K30" s="671"/>
      <c r="L30" s="280"/>
      <c r="M30" s="708" t="s">
        <v>1169</v>
      </c>
      <c r="N30" s="464"/>
      <c r="P30" s="464"/>
      <c r="R30" s="464"/>
    </row>
    <row r="31" spans="1:18" ht="25.5" thickBot="1">
      <c r="A31" s="603" t="s">
        <v>904</v>
      </c>
      <c r="B31" s="715"/>
      <c r="C31" s="800"/>
      <c r="D31" s="681" t="s">
        <v>905</v>
      </c>
      <c r="E31" s="677"/>
      <c r="F31" s="656" t="str">
        <f>IF(OR($B31=yes,$B31=yes),'5-3 Other min + mat'!K31, IF(OR($B31=no,$B31=no),"-", IF($B31=que,que, pres)))</f>
        <v>¿Presente?</v>
      </c>
      <c r="G31" s="682" t="str">
        <f>IF(OR($B31=yes,$B31=yes),'5-3 Other min + mat'!V31, IF(OR($B31=no,$B31=no),"-", IF($B31=que,que, pres)))</f>
        <v>¿Presente?</v>
      </c>
      <c r="H31" s="682" t="str">
        <f>IF(OR($B31=yes,$B31=yes),'5-3 Other min + mat'!W31, IF(OR($B31=no,$B31=no),"-", IF($B31=que,que, pres)))</f>
        <v>¿Presente?</v>
      </c>
      <c r="I31" s="682" t="str">
        <f>IF(OR($B31=yes,$B31=yes),'5-3 Other min + mat'!X31, IF(OR($B31=no,$B31=no),"-", IF($B31=que,que, pres)))</f>
        <v>¿Presente?</v>
      </c>
      <c r="J31" s="682" t="str">
        <f>IF(OR($B31=yes,$B31=yes),'5-3 Other min + mat'!Y31, IF(OR($B31=no,$B31=no),"-", IF($B31=que,que, pres)))</f>
        <v>¿Presente?</v>
      </c>
      <c r="K31" s="682" t="str">
        <f>IF(OR($B31=yes,$B31=yes),'5-3 Other min + mat'!Z31, IF(OR($B31=no,$B31=no),"-", IF($B31=que,que, pres)))</f>
        <v>¿Presente?</v>
      </c>
      <c r="L31" s="682" t="str">
        <f>IF(OR($B31=yes,$B31=yes),'5-3 Other min + mat'!AA31, IF(OR($B31=no,$B31=no),"-", IF($B31=que,que, pres)))</f>
        <v>¿Presente?</v>
      </c>
      <c r="M31" s="669" t="s">
        <v>189</v>
      </c>
      <c r="N31" s="463"/>
    </row>
    <row r="32" spans="1:18" ht="50">
      <c r="A32" s="368"/>
      <c r="B32" s="684"/>
      <c r="C32" s="684"/>
      <c r="D32" s="273"/>
      <c r="E32" s="685" t="s">
        <v>1176</v>
      </c>
      <c r="F32" s="664"/>
      <c r="G32" s="664" t="s">
        <v>1178</v>
      </c>
      <c r="H32" s="664" t="s">
        <v>1200</v>
      </c>
      <c r="I32" s="280"/>
      <c r="J32" s="280"/>
      <c r="K32" s="280"/>
      <c r="L32" s="280"/>
      <c r="M32" s="273"/>
      <c r="N32" s="463"/>
    </row>
    <row r="33" spans="1:14" ht="37.5">
      <c r="A33" s="368"/>
      <c r="B33" s="368"/>
      <c r="C33" s="368"/>
      <c r="D33" s="665" t="s">
        <v>766</v>
      </c>
      <c r="E33" s="664" t="s">
        <v>1175</v>
      </c>
      <c r="F33" s="664"/>
      <c r="G33" s="672">
        <f>100-H33-I33-J33-K33-L33</f>
        <v>100</v>
      </c>
      <c r="H33" s="671"/>
      <c r="I33" s="280"/>
      <c r="J33" s="280"/>
      <c r="K33" s="280"/>
      <c r="L33" s="280"/>
      <c r="M33" s="708" t="s">
        <v>1169</v>
      </c>
      <c r="N33" s="464"/>
    </row>
    <row r="36" spans="1:14">
      <c r="A36" s="600" t="s">
        <v>716</v>
      </c>
    </row>
    <row r="37" spans="1:14">
      <c r="A37" s="600"/>
    </row>
  </sheetData>
  <sheetProtection algorithmName="SHA-512" hashValue="uX0I9FiKKHx712rr6HUwH576Vbx4onj/D8h05IHH+AeHOXRG2dl3F32epXD6se6o1q7yipr2dQKlsZYgFP3yFA==" saltValue="547PRkld3B3qmBA6s5qVmQ==" spinCount="100000" sheet="1" objects="1" scenarios="1"/>
  <mergeCells count="2">
    <mergeCell ref="G3:L3"/>
    <mergeCell ref="A2:M2"/>
  </mergeCells>
  <conditionalFormatting sqref="A2">
    <cfRule type="expression" dxfId="88" priority="132" stopIfTrue="1">
      <formula>$A$2&lt;&gt;""</formula>
    </cfRule>
  </conditionalFormatting>
  <conditionalFormatting sqref="F6:F7 F10 F13 F16:F19 F25:F26 F31 F22">
    <cfRule type="expression" dxfId="87" priority="134" stopIfTrue="1">
      <formula>AND(B6="y",O6="n")</formula>
    </cfRule>
  </conditionalFormatting>
  <conditionalFormatting sqref="E9:G9 E8:J8">
    <cfRule type="expression" dxfId="86" priority="124">
      <formula>OR($E$7="y", $E$7="s", $E$7="o", $E$7="da")</formula>
    </cfRule>
  </conditionalFormatting>
  <conditionalFormatting sqref="H9:J9">
    <cfRule type="expression" dxfId="85" priority="123">
      <formula>OR($E$7="y", $E$7="s", $E$7="o", $E$7="da")</formula>
    </cfRule>
  </conditionalFormatting>
  <conditionalFormatting sqref="G9">
    <cfRule type="expression" dxfId="84" priority="122">
      <formula>$G$9&lt;0</formula>
    </cfRule>
  </conditionalFormatting>
  <conditionalFormatting sqref="D9">
    <cfRule type="expression" dxfId="83" priority="121">
      <formula>$G$9&lt;0</formula>
    </cfRule>
  </conditionalFormatting>
  <conditionalFormatting sqref="G12">
    <cfRule type="expression" dxfId="82" priority="111">
      <formula>$G$12&lt;0</formula>
    </cfRule>
  </conditionalFormatting>
  <conditionalFormatting sqref="D12">
    <cfRule type="expression" dxfId="81" priority="112">
      <formula>$G$12&lt;0</formula>
    </cfRule>
  </conditionalFormatting>
  <conditionalFormatting sqref="E11:J11 E12:G12">
    <cfRule type="expression" dxfId="80" priority="113">
      <formula>OR($E$10="y", $E$10="s", $E$10="o", $E$10="da")</formula>
    </cfRule>
  </conditionalFormatting>
  <conditionalFormatting sqref="H15:J15">
    <cfRule type="expression" dxfId="79" priority="100">
      <formula>OR($E$13="y", $E$13="s", $E$13="o", $E$13="da")</formula>
    </cfRule>
  </conditionalFormatting>
  <conditionalFormatting sqref="G15">
    <cfRule type="expression" dxfId="78" priority="101">
      <formula>$G$15&lt;0</formula>
    </cfRule>
  </conditionalFormatting>
  <conditionalFormatting sqref="D15">
    <cfRule type="expression" dxfId="77" priority="102">
      <formula>$G$15&lt;0</formula>
    </cfRule>
  </conditionalFormatting>
  <conditionalFormatting sqref="E14:J14 E15:G15">
    <cfRule type="expression" dxfId="76" priority="103">
      <formula>OR($E$13="y", $E$13="s", $E$13="o", $E$13="da")</formula>
    </cfRule>
  </conditionalFormatting>
  <conditionalFormatting sqref="H12:J12">
    <cfRule type="expression" dxfId="75" priority="98">
      <formula>OR($E$10="y", $E$10="s", $E$10="o", $E$10="da")</formula>
    </cfRule>
  </conditionalFormatting>
  <conditionalFormatting sqref="H24">
    <cfRule type="expression" dxfId="74" priority="89">
      <formula>OR($E$22="y", $E$22="s", $E$22="o", $E$22="da")</formula>
    </cfRule>
  </conditionalFormatting>
  <conditionalFormatting sqref="G24">
    <cfRule type="expression" dxfId="73" priority="90">
      <formula>$G$24&lt;0</formula>
    </cfRule>
  </conditionalFormatting>
  <conditionalFormatting sqref="D24">
    <cfRule type="expression" dxfId="72" priority="91">
      <formula>$G$24&lt;0</formula>
    </cfRule>
  </conditionalFormatting>
  <conditionalFormatting sqref="E23:H23 E24:G24">
    <cfRule type="expression" dxfId="71" priority="92">
      <formula>OR($E$22="y", $E$22="s", $E$22="o", $E$22="da")</formula>
    </cfRule>
  </conditionalFormatting>
  <conditionalFormatting sqref="E28:F28">
    <cfRule type="expression" dxfId="70" priority="56">
      <formula>OR($E$26="y", $E$26="s", $E$26="o", $E$26="da")</formula>
    </cfRule>
  </conditionalFormatting>
  <conditionalFormatting sqref="H28:K28">
    <cfRule type="expression" dxfId="69" priority="55">
      <formula>OR($E$26="y", $E$26="s", $E$26="o", $E$26="da")</formula>
    </cfRule>
  </conditionalFormatting>
  <conditionalFormatting sqref="H30:K30">
    <cfRule type="expression" dxfId="68" priority="51">
      <formula>OR($E$26="y", $E$26="s", $E$26="o", $E$26="da")</formula>
    </cfRule>
  </conditionalFormatting>
  <conditionalFormatting sqref="E30:F30">
    <cfRule type="expression" dxfId="67" priority="48">
      <formula>OR($E$26="y", $E$26="s", $E$26="o", $E$26="da")</formula>
    </cfRule>
  </conditionalFormatting>
  <conditionalFormatting sqref="G28">
    <cfRule type="expression" dxfId="66" priority="44">
      <formula>OR($E$26="y", $E$26="s", $E$26="o", $E$26="da")</formula>
    </cfRule>
  </conditionalFormatting>
  <conditionalFormatting sqref="D28:D30">
    <cfRule type="expression" dxfId="65" priority="24">
      <formula>$G$30&lt;0</formula>
    </cfRule>
  </conditionalFormatting>
  <conditionalFormatting sqref="E27:K27">
    <cfRule type="expression" dxfId="64" priority="21">
      <formula>OR($E$26="y", $E$26="s", $E$26="o", $E$26="da")</formula>
    </cfRule>
  </conditionalFormatting>
  <conditionalFormatting sqref="E29:K29">
    <cfRule type="expression" dxfId="63" priority="20">
      <formula>OR($E$26="y", $E$26="s", $E$26="o", $E$26="da")</formula>
    </cfRule>
  </conditionalFormatting>
  <conditionalFormatting sqref="G30">
    <cfRule type="expression" dxfId="62" priority="16">
      <formula>$G$30&lt;0</formula>
    </cfRule>
  </conditionalFormatting>
  <conditionalFormatting sqref="G30">
    <cfRule type="expression" dxfId="61" priority="17">
      <formula>OR($E$26="y", $E$26="s", $E$26="o", $E$26="da")</formula>
    </cfRule>
  </conditionalFormatting>
  <conditionalFormatting sqref="H33">
    <cfRule type="expression" dxfId="60" priority="13">
      <formula>OR($E$31="y", $E$31="s", $E$31="o", $E$31="da")</formula>
    </cfRule>
  </conditionalFormatting>
  <conditionalFormatting sqref="G33">
    <cfRule type="expression" dxfId="59" priority="14">
      <formula>$G$33&lt;0</formula>
    </cfRule>
  </conditionalFormatting>
  <conditionalFormatting sqref="E32:H32 E33:G33">
    <cfRule type="expression" dxfId="58" priority="15">
      <formula>OR($E$31="y", $E$31="s", $E$31="o", $E$31="da")</formula>
    </cfRule>
  </conditionalFormatting>
  <conditionalFormatting sqref="D33">
    <cfRule type="expression" dxfId="57" priority="12">
      <formula>$G$33&lt;0</formula>
    </cfRule>
  </conditionalFormatting>
  <conditionalFormatting sqref="H21">
    <cfRule type="expression" dxfId="56" priority="2">
      <formula>OR($E$19="y", $E$19="s", $E$19="o", $E$19="da")</formula>
    </cfRule>
  </conditionalFormatting>
  <conditionalFormatting sqref="G21">
    <cfRule type="expression" dxfId="55" priority="3">
      <formula>$G$24&lt;0</formula>
    </cfRule>
  </conditionalFormatting>
  <conditionalFormatting sqref="D21">
    <cfRule type="expression" dxfId="54" priority="4">
      <formula>$G$21&lt;0</formula>
    </cfRule>
  </conditionalFormatting>
  <conditionalFormatting sqref="E20:H20 E21:G21">
    <cfRule type="expression" dxfId="53" priority="5">
      <formula>OR($E$19="y", $E$19="s", $E$19="o", $E$19="da")</formula>
    </cfRule>
  </conditionalFormatting>
  <dataValidations xWindow="778" yWindow="549" count="18">
    <dataValidation type="list" allowBlank="1" showInputMessage="1" showErrorMessage="1" sqref="E22 E7 E10 E13 E26 E31 E19" xr:uid="{00000000-0002-0000-0300-000001000000}">
      <formula1>yn</formula1>
    </dataValidation>
    <dataValidation type="list" allowBlank="1" showInputMessage="1" showErrorMessage="1" errorTitle="Input error" error="Enter only y, n or ? (or translation of these)" prompt="Ingrese sólo s, n ó ?" sqref="B6:B7 B10 B13 B16:B19 B22 B25:B26 B31" xr:uid="{00000000-0002-0000-0300-00000E000000}">
      <formula1>yn?</formula1>
    </dataValidation>
    <dataValidation allowBlank="1" showInputMessage="1" showErrorMessage="1" promptTitle="Deafult controls" prompt="Cell is blue and reads &quot;Non-default controls used&quot; if you have changed the originally entered default controls selection. To restore it (to not include controls), enter default controls selection shown in the tab &quot;Controls defaults&quot; for the sub-category." sqref="M12" xr:uid="{00000000-0002-0000-0300-000012000000}"/>
    <dataValidation allowBlank="1" showInputMessage="1" showErrorMessage="1" prompt="La celda es azul y se lee &quot;sin empleo de controles default&quot;, si usted ha cambiado la selección de controles default originales. Para restaurarlo (no incluir controles), ingrese la selección de controles default mostrados en el tab &quot;controles default&quot; para" sqref="M9 M15 M30 M21 M33 M24" xr:uid="{BE7D537A-ACF1-2B41-9668-13936BD08226}"/>
    <dataValidation type="decimal" allowBlank="1" showInputMessage="1" showErrorMessage="1" errorTitle="Input error" error="Use digits and decimal mark only." prompt="Use sólo dígitos y decimales" sqref="C31 C25:C26 C22 C16:C19 C13 C10 C6:C7" xr:uid="{CAAC7B40-A7C9-174F-BFC9-388B54F006DB}">
      <formula1>-9.99999999999999E+22</formula1>
      <formula2>9.99999999999999E+22</formula2>
    </dataValidation>
    <dataValidation type="decimal" allowBlank="1" showErrorMessage="1" errorTitle="Input error" error="Use digits and decimal mark only." prompt="Use sólo dígitos y decimales" sqref="C5 C8 C9 C11 C12 C14 C15 C20 C21 C23 C24 C27 C28 C29 C30 C32 C33" xr:uid="{2AC32FFA-6546-D149-BD59-310DEFF416B7}">
      <formula1>-9.99999999999999E+22</formula1>
      <formula2>9.99999999999999E+22</formula2>
    </dataValidation>
    <dataValidation allowBlank="1" showErrorMessage="1" sqref="G9 G12 G15 G21 G24 G30 G33" xr:uid="{6C273B2D-7A2F-F344-9234-4A2BA1C12E78}"/>
    <dataValidation allowBlank="1" showInputMessage="1" showErrorMessage="1" prompt="Introduzca el porcentaje de tasas de actividad total que es empleado en instalaciones con los mecanismos de control mencionados arriba" sqref="H9:J9 H12:J12 H15:J15 H21 H24 G28:K28 I30:K30 H30 H33" xr:uid="{0FE1B3AC-CEDE-E14C-97FA-D57DD3D4C087}"/>
    <dataValidation allowBlank="1" showInputMessage="1" showErrorMessage="1" prompt="Sin uso de filtros con retención de MP seco y grueso como precipitadores electrostáticos (PES) y ciclones (CIC)" sqref="G14 G11 G8" xr:uid="{859CE793-7BFD-544C-95DE-33147C5D29D0}"/>
    <dataValidation allowBlank="1" showInputMessage="1" showErrorMessage="1" prompt="Limpieza húmeda de la descarga gaseosa de la calcinación del concentrado" sqref="H11 H14" xr:uid="{907B9CA3-C1FF-9D4C-AE52-890EA60656BE}"/>
    <dataValidation allowBlank="1" showInputMessage="1" showErrorMessage="1" prompt="Limpieza húmeda del gas de la descarga gaseosa de la calcinación del concentrado +eliminación de gases ácidos (normalmente vendidos como subproducto)" sqref="I8 I11 I14" xr:uid="{491D6170-80A6-124E-A57E-4C5A8EDAB5A2}"/>
    <dataValidation allowBlank="1" showInputMessage="1" showErrorMessage="1" prompt="Limpieza húmeda del gas de la descarga gaseosa de la calcinación del concentrado +eliminación de gases ácidos + eliminación dedicada de mercurio" sqref="J8 J11 J14" xr:uid="{5195DE4C-6F6E-9344-8AD0-4907DDDE94F9}"/>
    <dataValidation allowBlank="1" showInputMessage="1" showErrorMessage="1" prompt="El uso de retortas de dispositivos similares que previenen la evaporación de mercurio cuando se quema la amalgama, y se colecta para su posible reuso (algunas veces después de un simple proceso de limpieza llamado &quot;reactivación)" sqref="H20 H23" xr:uid="{98B0FD51-3F52-EE4A-A641-7387007B5734}"/>
    <dataValidation allowBlank="1" showInputMessage="1" showErrorMessage="1" prompt="Control simple de particulas con precipitadores electrostáticos (PES), depurador de partículas (DP) o filtros de tela (FT= filtros de bolsa)" sqref="H27 H29" xr:uid="{0763114E-1E5C-6F49-91EE-61C6F77E4BFE}"/>
    <dataValidation allowBlank="1" showInputMessage="1" showErrorMessage="1" prompt="Controles de partícula &quot;optimizados&quot; con filtro de tela (FT) + reducción o catalítica selectiva (RNCS) Ó filtros de tela (FT) + depurador en húmedo (DH) Ó Precipitador electrostático (PES) + Desulfurización de gases de combustión (DGC) Ó Filtro de tela op" sqref="I27 I29" xr:uid="{01FD2A5F-81BF-3049-AD49-173A49A4EB1B}"/>
    <dataValidation allowBlank="1" showInputMessage="1" showErrorMessage="1" prompt="Control eficiente de la contaminación con filtros de tela (FT) + depurador en seco (DS) Ó precipitador electrostático (PES) + depurador en seco (DS) Ó precipitador electrostático (PES) + depurador en húmedo (DH) Ó precipitador electrostático (PES) + reduc" sqref="J27 J29" xr:uid="{C22D41B3-FCC7-7F48-AC46-84B8B2D65940}"/>
    <dataValidation allowBlank="1" showInputMessage="1" showErrorMessage="1" prompt="Control muy eficiente de la contaminación de Hg con defulsurización de gas de combustión húmeda (DGChúmeda) + inyección de carbón activado (ICA) Ó filtros de tela (FT) + depurador + reducción no catalítica selectiva (RNCS) " sqref="K29 K27" xr:uid="{0EA913DB-C7DA-AF49-AEAD-ECDBFD9100FD}"/>
    <dataValidation allowBlank="1" showInputMessage="1" showErrorMessage="1" prompt="Filtros de polvo tales como precipitadores electrostáticos (PES), depurador de partículas (DP), o similares" sqref="H32" xr:uid="{44A0965C-1075-514A-9CFD-63E5FD091880}"/>
  </dataValidations>
  <pageMargins left="0.39370078740157483" right="0.39370078740157483" top="0.74803149606299213" bottom="0.74803149606299213" header="0.31496062992125984" footer="0.31496062992125984"/>
  <pageSetup paperSize="9" scale="53" orientation="landscape" r:id="rId1"/>
  <headerFooter>
    <oddFooter>&amp;L&amp;A
Printed &amp;D</oddFooter>
  </headerFooter>
  <extLst>
    <ext xmlns:x14="http://schemas.microsoft.com/office/spreadsheetml/2009/9/main" uri="{78C0D931-6437-407d-A8EE-F0AAD7539E65}">
      <x14:conditionalFormattings>
        <x14:conditionalFormatting xmlns:xm="http://schemas.microsoft.com/office/excel/2006/main">
          <x14:cfRule type="expression" priority="128" id="{A0FFF478-3E03-489F-AA30-8F390A41034B}">
            <xm:f>'Inserte resultados de NI2'!$K$25&lt;&gt;""</xm:f>
            <x14:dxf>
              <font>
                <color rgb="FFFF0000"/>
              </font>
            </x14:dxf>
          </x14:cfRule>
          <xm:sqref>A36</xm:sqref>
        </x14:conditionalFormatting>
        <x14:conditionalFormatting xmlns:xm="http://schemas.microsoft.com/office/excel/2006/main">
          <x14:cfRule type="expression" priority="11" id="{9B28BD67-6923-4DEB-BBD6-EEAE5D4EBBE4}">
            <xm:f>OR($I$9&lt;&gt;'Controles defaults'!$E$21)</xm:f>
            <x14:dxf>
              <font>
                <color theme="1"/>
              </font>
              <fill>
                <patternFill>
                  <bgColor theme="8" tint="0.39994506668294322"/>
                </patternFill>
              </fill>
            </x14:dxf>
          </x14:cfRule>
          <xm:sqref>M9</xm:sqref>
        </x14:conditionalFormatting>
        <x14:conditionalFormatting xmlns:xm="http://schemas.microsoft.com/office/excel/2006/main">
          <x14:cfRule type="expression" priority="10" id="{632E9C89-662A-40C4-B47E-22282E971F85}">
            <xm:f>OR($I$12&lt;&gt;'Controles defaults'!$E$24)</xm:f>
            <x14:dxf>
              <font>
                <color theme="1"/>
              </font>
              <fill>
                <patternFill>
                  <bgColor theme="8" tint="0.39994506668294322"/>
                </patternFill>
              </fill>
            </x14:dxf>
          </x14:cfRule>
          <xm:sqref>M12</xm:sqref>
        </x14:conditionalFormatting>
        <x14:conditionalFormatting xmlns:xm="http://schemas.microsoft.com/office/excel/2006/main">
          <x14:cfRule type="expression" priority="9" id="{904519FF-9C1B-42DD-B176-EAF71AEE46A6}">
            <xm:f>OR($I$15&lt;&gt;'Controles defaults'!$E$27)</xm:f>
            <x14:dxf>
              <font>
                <color theme="1"/>
              </font>
              <fill>
                <patternFill>
                  <bgColor theme="8" tint="0.39994506668294322"/>
                </patternFill>
              </fill>
            </x14:dxf>
          </x14:cfRule>
          <xm:sqref>M15</xm:sqref>
        </x14:conditionalFormatting>
        <x14:conditionalFormatting xmlns:xm="http://schemas.microsoft.com/office/excel/2006/main">
          <x14:cfRule type="expression" priority="8" id="{76126931-2939-4791-BBD8-A8F43665EDBA}">
            <xm:f>OR($G$24&lt;&gt;'Controles defaults'!$C$33)</xm:f>
            <x14:dxf>
              <font>
                <color theme="1"/>
              </font>
              <fill>
                <patternFill>
                  <bgColor theme="8" tint="0.39994506668294322"/>
                </patternFill>
              </fill>
            </x14:dxf>
          </x14:cfRule>
          <xm:sqref>M24</xm:sqref>
        </x14:conditionalFormatting>
        <x14:conditionalFormatting xmlns:xm="http://schemas.microsoft.com/office/excel/2006/main">
          <x14:cfRule type="expression" priority="7" id="{EFD37204-6FE7-4B4B-BFE3-E76AC48697CA}">
            <xm:f>OR($G$33&lt;&gt;'Controles defaults'!$C$41)</xm:f>
            <x14:dxf>
              <font>
                <color theme="1"/>
              </font>
              <fill>
                <patternFill>
                  <bgColor theme="8" tint="0.39994506668294322"/>
                </patternFill>
              </fill>
            </x14:dxf>
          </x14:cfRule>
          <xm:sqref>M33</xm:sqref>
        </x14:conditionalFormatting>
        <x14:conditionalFormatting xmlns:xm="http://schemas.microsoft.com/office/excel/2006/main">
          <x14:cfRule type="expression" priority="6" id="{3C468096-E80E-4AF9-A971-1C81B30AECD4}">
            <xm:f>OR($G$28&lt;&gt;'Controles defaults'!$C$36,$H$28&lt;&gt;'Controles defaults'!$D$38, $G$30&lt;&gt;'Controles defaults'!$C$38, $H$30&lt;&gt;'Controles defaults'!$D$38)</xm:f>
            <x14:dxf>
              <font>
                <color theme="1"/>
              </font>
              <fill>
                <patternFill>
                  <bgColor theme="8" tint="0.39994506668294322"/>
                </patternFill>
              </fill>
            </x14:dxf>
          </x14:cfRule>
          <xm:sqref>M30</xm:sqref>
        </x14:conditionalFormatting>
        <x14:conditionalFormatting xmlns:xm="http://schemas.microsoft.com/office/excel/2006/main">
          <x14:cfRule type="expression" priority="1" id="{D9C3B02C-9EA8-4882-A670-BA366A0441A1}">
            <xm:f>OR($G$21&lt;&gt;'Controles defaults'!$C$30)</xm:f>
            <x14:dxf>
              <font>
                <color theme="1"/>
              </font>
              <fill>
                <patternFill>
                  <bgColor theme="8" tint="0.39994506668294322"/>
                </patternFill>
              </fill>
            </x14:dxf>
          </x14:cfRule>
          <xm:sqref>M21</xm:sqref>
        </x14:conditionalFormatting>
      </x14:conditionalFormatting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AB48"/>
  <sheetViews>
    <sheetView zoomScale="70" zoomScaleNormal="70" workbookViewId="0">
      <selection activeCell="G36" sqref="G36"/>
    </sheetView>
  </sheetViews>
  <sheetFormatPr defaultColWidth="8.81640625" defaultRowHeight="12.5"/>
  <cols>
    <col min="1" max="1" width="3" customWidth="1"/>
    <col min="2" max="2" width="6.1796875" customWidth="1"/>
    <col min="3" max="3" width="36.36328125" customWidth="1"/>
    <col min="4" max="4" width="7.36328125" customWidth="1"/>
    <col min="5" max="5" width="9.36328125" customWidth="1"/>
    <col min="6" max="6" width="22.453125" customWidth="1"/>
    <col min="7" max="7" width="10.36328125" customWidth="1"/>
    <col min="8" max="8" width="19.1796875" customWidth="1"/>
    <col min="9" max="9" width="12.453125" style="240" customWidth="1"/>
    <col min="10" max="10" width="17.6328125" customWidth="1"/>
    <col min="11" max="11" width="12.36328125" style="240" customWidth="1"/>
    <col min="12" max="12" width="11.453125" customWidth="1"/>
    <col min="13" max="13" width="17.453125" style="13" customWidth="1"/>
    <col min="14" max="14" width="9.1796875" style="240"/>
    <col min="15" max="15" width="10.81640625" customWidth="1"/>
    <col min="16" max="16" width="6.453125" customWidth="1"/>
    <col min="17" max="18" width="7.453125" customWidth="1"/>
    <col min="19" max="19" width="9.6328125" customWidth="1"/>
    <col min="20" max="20" width="8.453125" customWidth="1"/>
    <col min="21" max="21" width="18.6328125" customWidth="1"/>
    <col min="22" max="22" width="12.453125" customWidth="1"/>
    <col min="24" max="24" width="9.6328125" customWidth="1"/>
    <col min="25" max="25" width="11.1796875" customWidth="1"/>
    <col min="26" max="26" width="11.453125" customWidth="1"/>
    <col min="27" max="27" width="17" customWidth="1"/>
    <col min="28" max="28" width="42.36328125" customWidth="1"/>
  </cols>
  <sheetData>
    <row r="1" spans="1:28" ht="18">
      <c r="A1" s="1" t="s">
        <v>732</v>
      </c>
      <c r="I1" s="231"/>
      <c r="K1" s="231"/>
      <c r="L1" s="48"/>
      <c r="M1" s="48"/>
      <c r="N1" s="231"/>
    </row>
    <row r="2" spans="1:28" ht="14">
      <c r="A2" s="54" t="s">
        <v>313</v>
      </c>
      <c r="I2" s="231"/>
      <c r="K2" s="231"/>
      <c r="L2" s="48"/>
      <c r="M2" s="48"/>
      <c r="N2" s="231"/>
    </row>
    <row r="3" spans="1:28" ht="13">
      <c r="D3" s="3"/>
      <c r="E3" s="3"/>
      <c r="F3" s="3"/>
      <c r="G3" s="3"/>
      <c r="H3" s="3"/>
      <c r="I3" s="232"/>
      <c r="J3" s="3"/>
      <c r="K3" s="232"/>
      <c r="L3" s="104"/>
      <c r="M3" s="104"/>
      <c r="N3" s="232"/>
      <c r="O3" s="3"/>
      <c r="P3" s="65" t="s">
        <v>55</v>
      </c>
      <c r="Q3" s="2"/>
      <c r="R3" s="2"/>
      <c r="S3" s="2"/>
      <c r="T3" s="2"/>
      <c r="U3" s="2"/>
      <c r="V3" s="10" t="s">
        <v>54</v>
      </c>
      <c r="W3" s="4"/>
      <c r="X3" s="4"/>
      <c r="Y3" s="4"/>
      <c r="Z3" s="4"/>
      <c r="AA3" s="4"/>
      <c r="AB3" s="2"/>
    </row>
    <row r="4" spans="1:28" s="123" customFormat="1" ht="39">
      <c r="A4" s="123" t="s">
        <v>52</v>
      </c>
      <c r="B4" s="123" t="s">
        <v>50</v>
      </c>
      <c r="C4" s="140" t="s">
        <v>59</v>
      </c>
      <c r="D4" s="112" t="s">
        <v>153</v>
      </c>
      <c r="E4" s="141" t="s">
        <v>49</v>
      </c>
      <c r="F4" s="142" t="s">
        <v>35</v>
      </c>
      <c r="G4" s="112" t="s">
        <v>37</v>
      </c>
      <c r="H4" s="143" t="s">
        <v>35</v>
      </c>
      <c r="I4" s="245" t="s">
        <v>51</v>
      </c>
      <c r="J4" s="144" t="s">
        <v>35</v>
      </c>
      <c r="K4" s="241" t="s">
        <v>61</v>
      </c>
      <c r="L4" s="155" t="s">
        <v>35</v>
      </c>
      <c r="M4" s="156" t="s">
        <v>280</v>
      </c>
      <c r="N4" s="245" t="s">
        <v>92</v>
      </c>
      <c r="O4" s="145" t="s">
        <v>35</v>
      </c>
      <c r="P4" s="147" t="s">
        <v>38</v>
      </c>
      <c r="Q4" s="147" t="s">
        <v>39</v>
      </c>
      <c r="R4" s="147" t="s">
        <v>40</v>
      </c>
      <c r="S4" s="147" t="s">
        <v>41</v>
      </c>
      <c r="T4" s="148" t="s">
        <v>42</v>
      </c>
      <c r="U4" s="148" t="s">
        <v>228</v>
      </c>
      <c r="V4" s="56" t="s">
        <v>38</v>
      </c>
      <c r="W4" s="56" t="s">
        <v>39</v>
      </c>
      <c r="X4" s="56" t="s">
        <v>40</v>
      </c>
      <c r="Y4" s="56" t="s">
        <v>41</v>
      </c>
      <c r="Z4" s="57" t="s">
        <v>42</v>
      </c>
      <c r="AA4" s="57" t="s">
        <v>228</v>
      </c>
      <c r="AB4" s="111" t="s">
        <v>87</v>
      </c>
    </row>
    <row r="5" spans="1:28" s="129" customFormat="1" ht="26">
      <c r="A5" s="129" t="s">
        <v>156</v>
      </c>
      <c r="C5" s="134" t="s">
        <v>316</v>
      </c>
      <c r="D5" s="111"/>
      <c r="F5" s="128"/>
      <c r="G5" s="76"/>
      <c r="H5" s="128"/>
      <c r="I5" s="247"/>
      <c r="K5" s="235"/>
      <c r="L5" s="128"/>
      <c r="M5" s="135"/>
      <c r="N5" s="247"/>
      <c r="O5" s="128"/>
      <c r="P5" s="127"/>
      <c r="Q5" s="127"/>
      <c r="R5" s="127"/>
      <c r="S5" s="127"/>
      <c r="T5" s="127"/>
      <c r="U5" s="127"/>
      <c r="V5" s="58"/>
      <c r="W5" s="58"/>
      <c r="X5" s="58"/>
      <c r="Y5" s="58"/>
      <c r="Z5" s="58"/>
      <c r="AA5" s="58"/>
      <c r="AB5" s="76"/>
    </row>
    <row r="6" spans="1:28" ht="26">
      <c r="B6" t="s">
        <v>157</v>
      </c>
      <c r="C6" s="12" t="s">
        <v>161</v>
      </c>
      <c r="D6" s="120"/>
      <c r="E6" s="339" t="s">
        <v>431</v>
      </c>
      <c r="F6" s="3" t="s">
        <v>419</v>
      </c>
      <c r="G6" s="338">
        <v>1030</v>
      </c>
      <c r="H6" s="3" t="s">
        <v>419</v>
      </c>
      <c r="I6" s="250">
        <f>'Paso 3-Metales-Materias primas'!C6</f>
        <v>0</v>
      </c>
      <c r="J6" s="278" t="s">
        <v>380</v>
      </c>
      <c r="K6" s="233">
        <f>I6*G6</f>
        <v>0</v>
      </c>
      <c r="L6" s="3" t="s">
        <v>36</v>
      </c>
      <c r="M6" s="14"/>
      <c r="N6" s="246">
        <f>K6</f>
        <v>0</v>
      </c>
      <c r="O6" s="3" t="s">
        <v>36</v>
      </c>
      <c r="P6" s="343">
        <f>0.25*(G6-1000)/G6</f>
        <v>7.2815533980582527E-3</v>
      </c>
      <c r="Q6" s="343">
        <f>0.06*(G6-1000)/G6</f>
        <v>1.7475728155339804E-3</v>
      </c>
      <c r="R6" s="343">
        <f>0.69*(G6-1000)/G6</f>
        <v>2.0097087378640775E-2</v>
      </c>
      <c r="S6" s="343"/>
      <c r="T6" s="343"/>
      <c r="U6" s="343"/>
      <c r="V6" s="133">
        <f t="shared" ref="V6:AA6" si="0">$N6*P6</f>
        <v>0</v>
      </c>
      <c r="W6" s="133">
        <f t="shared" si="0"/>
        <v>0</v>
      </c>
      <c r="X6" s="133">
        <f t="shared" si="0"/>
        <v>0</v>
      </c>
      <c r="Y6" s="133">
        <f t="shared" si="0"/>
        <v>0</v>
      </c>
      <c r="Z6" s="133">
        <f t="shared" si="0"/>
        <v>0</v>
      </c>
      <c r="AA6" s="133">
        <f t="shared" si="0"/>
        <v>0</v>
      </c>
      <c r="AB6" s="119"/>
    </row>
    <row r="7" spans="1:28" s="55" customFormat="1" ht="13">
      <c r="C7" s="136"/>
      <c r="D7" s="111"/>
      <c r="E7" s="106"/>
      <c r="F7" s="104"/>
      <c r="G7" s="76"/>
      <c r="H7" s="104"/>
      <c r="I7" s="248"/>
      <c r="K7" s="234"/>
      <c r="L7" s="104"/>
      <c r="M7" s="110"/>
      <c r="N7" s="248"/>
      <c r="O7" s="104"/>
      <c r="P7" s="132"/>
      <c r="Q7" s="132"/>
      <c r="R7" s="132"/>
      <c r="S7" s="132"/>
      <c r="T7" s="132"/>
      <c r="U7" s="132"/>
      <c r="V7" s="116"/>
      <c r="W7" s="116"/>
      <c r="X7" s="116"/>
      <c r="Y7" s="116"/>
      <c r="Z7" s="116"/>
      <c r="AA7" s="116"/>
      <c r="AB7" s="76"/>
    </row>
    <row r="8" spans="1:28" ht="26">
      <c r="B8" s="3" t="s">
        <v>158</v>
      </c>
      <c r="C8" s="26" t="s">
        <v>159</v>
      </c>
      <c r="D8" s="120"/>
      <c r="E8" s="6"/>
      <c r="F8" s="3"/>
      <c r="G8" s="119"/>
      <c r="H8" s="3"/>
      <c r="I8" s="250"/>
      <c r="K8" s="242"/>
      <c r="L8" s="3"/>
      <c r="M8" s="33"/>
      <c r="N8" s="250"/>
      <c r="O8" s="3"/>
      <c r="P8" s="132"/>
      <c r="Q8" s="132"/>
      <c r="R8" s="132"/>
      <c r="S8" s="132"/>
      <c r="T8" s="132"/>
      <c r="U8" s="132"/>
      <c r="V8" s="133">
        <f t="shared" ref="V8:AA8" si="1">SUM(V9:V12)</f>
        <v>0</v>
      </c>
      <c r="W8" s="133">
        <f t="shared" si="1"/>
        <v>0</v>
      </c>
      <c r="X8" s="133">
        <f t="shared" si="1"/>
        <v>0</v>
      </c>
      <c r="Y8" s="133">
        <f t="shared" si="1"/>
        <v>0</v>
      </c>
      <c r="Z8" s="133">
        <f t="shared" si="1"/>
        <v>0</v>
      </c>
      <c r="AA8" s="133">
        <f t="shared" si="1"/>
        <v>0</v>
      </c>
      <c r="AB8" s="119"/>
    </row>
    <row r="9" spans="1:28" ht="37.5">
      <c r="B9" s="3"/>
      <c r="C9" s="66" t="s">
        <v>182</v>
      </c>
      <c r="D9" s="76"/>
      <c r="E9" s="11">
        <v>5</v>
      </c>
      <c r="F9" s="3" t="s">
        <v>183</v>
      </c>
      <c r="G9" s="283">
        <v>5</v>
      </c>
      <c r="H9" s="3" t="s">
        <v>183</v>
      </c>
      <c r="I9" s="248">
        <f>'Paso 3-Metales-Materias primas'!$C$19*'Paso 3-Metales-Materias primas'!$G$21/100</f>
        <v>0</v>
      </c>
      <c r="J9" s="3" t="s">
        <v>184</v>
      </c>
      <c r="K9" s="235">
        <f>G9*I9</f>
        <v>0</v>
      </c>
      <c r="L9" s="3" t="s">
        <v>36</v>
      </c>
      <c r="M9" s="631" t="s">
        <v>696</v>
      </c>
      <c r="N9" s="277">
        <f>K9</f>
        <v>0</v>
      </c>
      <c r="O9" s="3" t="s">
        <v>36</v>
      </c>
      <c r="P9" s="343">
        <v>0.2</v>
      </c>
      <c r="Q9" s="343">
        <v>0.4</v>
      </c>
      <c r="R9" s="343">
        <v>0.4</v>
      </c>
      <c r="S9" s="132"/>
      <c r="T9" s="132"/>
      <c r="U9" s="132"/>
      <c r="V9" s="116">
        <f t="shared" ref="V9:AA9" si="2">$N9*P9</f>
        <v>0</v>
      </c>
      <c r="W9" s="116">
        <f t="shared" si="2"/>
        <v>0</v>
      </c>
      <c r="X9" s="116">
        <f t="shared" si="2"/>
        <v>0</v>
      </c>
      <c r="Y9" s="116">
        <f t="shared" si="2"/>
        <v>0</v>
      </c>
      <c r="Z9" s="116">
        <f t="shared" si="2"/>
        <v>0</v>
      </c>
      <c r="AA9" s="116">
        <f t="shared" si="2"/>
        <v>0</v>
      </c>
      <c r="AB9" s="76"/>
    </row>
    <row r="10" spans="1:28" ht="55.5" customHeight="1">
      <c r="B10" s="3"/>
      <c r="C10" s="667" t="s">
        <v>794</v>
      </c>
      <c r="D10" s="76"/>
      <c r="E10" s="637" t="s">
        <v>796</v>
      </c>
      <c r="F10" s="3" t="s">
        <v>183</v>
      </c>
      <c r="G10" s="283">
        <v>4.25</v>
      </c>
      <c r="H10" s="3" t="s">
        <v>183</v>
      </c>
      <c r="I10" s="248">
        <f>'Paso 3-Metales-Materias primas'!$C$19*'Paso 3-Metales-Materias primas'!$H$21/100</f>
        <v>0</v>
      </c>
      <c r="J10" s="3" t="s">
        <v>184</v>
      </c>
      <c r="K10" s="235">
        <f>G10*I10</f>
        <v>0</v>
      </c>
      <c r="L10" s="3" t="s">
        <v>36</v>
      </c>
      <c r="M10" s="631" t="s">
        <v>767</v>
      </c>
      <c r="N10" s="277">
        <f t="shared" ref="N10:N12" si="3">K10</f>
        <v>0</v>
      </c>
      <c r="O10" s="3" t="s">
        <v>36</v>
      </c>
      <c r="P10" s="343">
        <v>0.06</v>
      </c>
      <c r="Q10" s="343">
        <v>0.47</v>
      </c>
      <c r="R10" s="343">
        <v>0.47</v>
      </c>
      <c r="S10" s="132"/>
      <c r="T10" s="132"/>
      <c r="U10" s="132"/>
      <c r="V10" s="116">
        <f>$N10*P10</f>
        <v>0</v>
      </c>
      <c r="W10" s="116">
        <f t="shared" ref="W10:AA10" si="4">$N10*Q10</f>
        <v>0</v>
      </c>
      <c r="X10" s="116">
        <f t="shared" si="4"/>
        <v>0</v>
      </c>
      <c r="Y10" s="116">
        <f t="shared" si="4"/>
        <v>0</v>
      </c>
      <c r="Z10" s="116">
        <f>$N10*T10</f>
        <v>0</v>
      </c>
      <c r="AA10" s="116">
        <f t="shared" si="4"/>
        <v>0</v>
      </c>
      <c r="AB10" s="76"/>
    </row>
    <row r="11" spans="1:28" ht="37.5">
      <c r="B11" s="3"/>
      <c r="C11" s="648" t="s">
        <v>185</v>
      </c>
      <c r="D11" s="76"/>
      <c r="E11" s="549" t="s">
        <v>695</v>
      </c>
      <c r="F11" s="3" t="s">
        <v>183</v>
      </c>
      <c r="G11" s="336">
        <v>1.3</v>
      </c>
      <c r="H11" s="3" t="s">
        <v>183</v>
      </c>
      <c r="I11" s="248">
        <f>'Paso 3-Metales-Materias primas'!$C$22*'Paso 3-Metales-Materias primas'!$G$24/100</f>
        <v>0</v>
      </c>
      <c r="J11" s="3" t="s">
        <v>184</v>
      </c>
      <c r="K11" s="235">
        <f>G11*I11</f>
        <v>0</v>
      </c>
      <c r="L11" s="3" t="s">
        <v>36</v>
      </c>
      <c r="M11" s="33" t="s">
        <v>697</v>
      </c>
      <c r="N11" s="277">
        <f t="shared" si="3"/>
        <v>0</v>
      </c>
      <c r="O11" s="3" t="s">
        <v>36</v>
      </c>
      <c r="P11" s="343">
        <v>0.77</v>
      </c>
      <c r="Q11" s="343">
        <v>0.12</v>
      </c>
      <c r="R11" s="343">
        <v>0.11</v>
      </c>
      <c r="S11" s="132"/>
      <c r="T11" s="132"/>
      <c r="U11" s="132"/>
      <c r="V11" s="116">
        <f t="shared" ref="V11:AA12" si="5">$N11*P11</f>
        <v>0</v>
      </c>
      <c r="W11" s="116">
        <f t="shared" si="5"/>
        <v>0</v>
      </c>
      <c r="X11" s="116">
        <f t="shared" si="5"/>
        <v>0</v>
      </c>
      <c r="Y11" s="116">
        <f t="shared" si="5"/>
        <v>0</v>
      </c>
      <c r="Z11" s="116">
        <f t="shared" si="5"/>
        <v>0</v>
      </c>
      <c r="AA11" s="116">
        <f t="shared" si="5"/>
        <v>0</v>
      </c>
      <c r="AB11" s="76"/>
    </row>
    <row r="12" spans="1:28" ht="62.5">
      <c r="B12" s="3"/>
      <c r="C12" s="648" t="s">
        <v>795</v>
      </c>
      <c r="D12" s="320"/>
      <c r="E12" s="637" t="s">
        <v>797</v>
      </c>
      <c r="F12" s="232" t="s">
        <v>183</v>
      </c>
      <c r="G12" s="639">
        <v>0.55000000000000004</v>
      </c>
      <c r="H12" s="232" t="s">
        <v>183</v>
      </c>
      <c r="I12" s="248">
        <f>'Paso 3-Metales-Materias primas'!$C$22*'Paso 3-Metales-Materias primas'!$H$24/100</f>
        <v>0</v>
      </c>
      <c r="J12" s="232" t="s">
        <v>184</v>
      </c>
      <c r="K12" s="173">
        <f>G12*I12</f>
        <v>0</v>
      </c>
      <c r="L12" s="232" t="s">
        <v>36</v>
      </c>
      <c r="M12" s="33" t="s">
        <v>698</v>
      </c>
      <c r="N12" s="277">
        <f t="shared" si="3"/>
        <v>0</v>
      </c>
      <c r="O12" s="3" t="s">
        <v>36</v>
      </c>
      <c r="P12" s="343">
        <v>0.45</v>
      </c>
      <c r="Q12" s="343">
        <v>0.28000000000000003</v>
      </c>
      <c r="R12" s="343">
        <v>0.27</v>
      </c>
      <c r="S12" s="132"/>
      <c r="T12" s="132"/>
      <c r="U12" s="132"/>
      <c r="V12" s="116">
        <f t="shared" si="5"/>
        <v>0</v>
      </c>
      <c r="W12" s="116">
        <f t="shared" si="5"/>
        <v>0</v>
      </c>
      <c r="X12" s="116">
        <f t="shared" si="5"/>
        <v>0</v>
      </c>
      <c r="Y12" s="116">
        <f t="shared" si="5"/>
        <v>0</v>
      </c>
      <c r="Z12" s="116">
        <f t="shared" si="5"/>
        <v>0</v>
      </c>
      <c r="AA12" s="116">
        <f t="shared" si="5"/>
        <v>0</v>
      </c>
      <c r="AB12" s="76"/>
    </row>
    <row r="13" spans="1:28" s="55" customFormat="1" ht="13">
      <c r="B13" s="104"/>
      <c r="C13" s="137"/>
      <c r="D13" s="76"/>
      <c r="E13" s="106"/>
      <c r="F13" s="104"/>
      <c r="G13" s="76"/>
      <c r="H13" s="104"/>
      <c r="I13" s="248"/>
      <c r="K13" s="234"/>
      <c r="L13" s="104"/>
      <c r="M13" s="138"/>
      <c r="N13" s="248"/>
      <c r="O13" s="104"/>
      <c r="P13" s="132"/>
      <c r="Q13" s="132"/>
      <c r="R13" s="132"/>
      <c r="S13" s="132"/>
      <c r="T13" s="132"/>
      <c r="U13" s="132"/>
      <c r="V13" s="116"/>
      <c r="W13" s="116"/>
      <c r="X13" s="116"/>
      <c r="Y13" s="116"/>
      <c r="Z13" s="116"/>
      <c r="AA13" s="116"/>
      <c r="AB13" s="76"/>
    </row>
    <row r="14" spans="1:28" ht="13">
      <c r="B14" t="s">
        <v>168</v>
      </c>
      <c r="C14" s="12" t="s">
        <v>160</v>
      </c>
      <c r="D14" s="119"/>
      <c r="E14" s="6"/>
      <c r="F14" s="3"/>
      <c r="G14" s="119"/>
      <c r="H14" s="3"/>
      <c r="I14" s="250"/>
      <c r="K14" s="242"/>
      <c r="L14" s="3" t="s">
        <v>36</v>
      </c>
      <c r="M14" s="33"/>
      <c r="N14" s="250"/>
      <c r="O14" s="3"/>
      <c r="P14" s="132"/>
      <c r="Q14" s="132"/>
      <c r="R14" s="132"/>
      <c r="S14" s="132"/>
      <c r="T14" s="132"/>
      <c r="U14" s="132"/>
      <c r="V14" s="133">
        <f>SUM(V15:V19)</f>
        <v>0</v>
      </c>
      <c r="W14" s="133">
        <f t="shared" ref="W14:Z14" si="6">SUM(W15:W19)</f>
        <v>0</v>
      </c>
      <c r="X14" s="133">
        <f t="shared" si="6"/>
        <v>0</v>
      </c>
      <c r="Y14" s="133">
        <f t="shared" si="6"/>
        <v>0</v>
      </c>
      <c r="Z14" s="133">
        <f t="shared" si="6"/>
        <v>0</v>
      </c>
      <c r="AA14" s="133">
        <f>SUM(AA15:AA19)</f>
        <v>0</v>
      </c>
      <c r="AB14" s="119"/>
    </row>
    <row r="15" spans="1:28" ht="13">
      <c r="C15" s="12" t="s">
        <v>162</v>
      </c>
      <c r="D15" s="76"/>
      <c r="E15" s="35" t="s">
        <v>43</v>
      </c>
      <c r="F15" s="3" t="s">
        <v>43</v>
      </c>
      <c r="G15" s="76" t="s">
        <v>43</v>
      </c>
      <c r="H15" s="3" t="s">
        <v>43</v>
      </c>
      <c r="I15" s="248"/>
      <c r="K15" s="234"/>
      <c r="L15" s="3" t="s">
        <v>36</v>
      </c>
      <c r="M15" s="33"/>
      <c r="N15" s="247"/>
      <c r="O15" s="3" t="s">
        <v>36</v>
      </c>
      <c r="P15" s="132"/>
      <c r="Q15" s="132"/>
      <c r="R15" s="132"/>
      <c r="S15" s="132"/>
      <c r="T15" s="132"/>
      <c r="U15" s="132"/>
      <c r="V15" s="116">
        <f>$N15*P15</f>
        <v>0</v>
      </c>
      <c r="W15" s="116">
        <f t="shared" ref="V15:AA19" si="7">$N15*Q15</f>
        <v>0</v>
      </c>
      <c r="X15" s="116">
        <f t="shared" si="7"/>
        <v>0</v>
      </c>
      <c r="Y15" s="116">
        <f t="shared" si="7"/>
        <v>0</v>
      </c>
      <c r="Z15" s="116">
        <f t="shared" si="7"/>
        <v>0</v>
      </c>
      <c r="AA15" s="116">
        <f t="shared" si="7"/>
        <v>0</v>
      </c>
      <c r="AB15" s="76"/>
    </row>
    <row r="16" spans="1:28" ht="50.5">
      <c r="C16" s="12" t="s">
        <v>163</v>
      </c>
      <c r="D16" s="76"/>
      <c r="E16" s="547" t="s">
        <v>685</v>
      </c>
      <c r="F16" s="3" t="s">
        <v>342</v>
      </c>
      <c r="G16" s="76">
        <v>65</v>
      </c>
      <c r="H16" s="36" t="s">
        <v>381</v>
      </c>
      <c r="I16" s="248">
        <f>'Paso 3-Metales-Materias primas'!C7</f>
        <v>0</v>
      </c>
      <c r="J16" s="231" t="s">
        <v>348</v>
      </c>
      <c r="K16" s="234">
        <f>G16*I16/1000</f>
        <v>0</v>
      </c>
      <c r="L16" s="3" t="s">
        <v>36</v>
      </c>
      <c r="M16" s="33" t="s">
        <v>729</v>
      </c>
      <c r="N16" s="253">
        <f>$K$16*'Paso 3-Metales-Materias primas'!G$9/100</f>
        <v>0</v>
      </c>
      <c r="O16" s="3" t="s">
        <v>36</v>
      </c>
      <c r="P16" s="132">
        <v>0.9</v>
      </c>
      <c r="Q16" s="132"/>
      <c r="R16" s="132"/>
      <c r="S16" s="132"/>
      <c r="T16" s="132"/>
      <c r="U16" s="132">
        <v>0.1</v>
      </c>
      <c r="V16" s="116">
        <f t="shared" si="7"/>
        <v>0</v>
      </c>
      <c r="W16" s="116">
        <f t="shared" si="7"/>
        <v>0</v>
      </c>
      <c r="X16" s="116">
        <f t="shared" si="7"/>
        <v>0</v>
      </c>
      <c r="Y16" s="116">
        <f t="shared" si="7"/>
        <v>0</v>
      </c>
      <c r="Z16" s="116">
        <f t="shared" si="7"/>
        <v>0</v>
      </c>
      <c r="AA16" s="116">
        <f t="shared" si="7"/>
        <v>0</v>
      </c>
      <c r="AB16" s="76"/>
    </row>
    <row r="17" spans="1:28" ht="25.5">
      <c r="C17" s="12"/>
      <c r="D17" s="76"/>
      <c r="E17" s="547"/>
      <c r="F17" s="3"/>
      <c r="G17" s="76"/>
      <c r="H17" s="36"/>
      <c r="I17" s="248"/>
      <c r="K17" s="234"/>
      <c r="L17" s="3"/>
      <c r="M17" s="631" t="s">
        <v>730</v>
      </c>
      <c r="N17" s="253">
        <f>$K$16*'Paso 3-Metales-Materias primas'!H$9/100</f>
        <v>0</v>
      </c>
      <c r="O17" s="3" t="s">
        <v>36</v>
      </c>
      <c r="P17" s="132">
        <v>0.49</v>
      </c>
      <c r="Q17" s="132">
        <v>0.02</v>
      </c>
      <c r="R17" s="132"/>
      <c r="S17" s="132"/>
      <c r="T17" s="132"/>
      <c r="U17" s="132">
        <v>0.49</v>
      </c>
      <c r="V17" s="116">
        <f t="shared" si="7"/>
        <v>0</v>
      </c>
      <c r="W17" s="116">
        <f t="shared" si="7"/>
        <v>0</v>
      </c>
      <c r="X17" s="116">
        <f t="shared" si="7"/>
        <v>0</v>
      </c>
      <c r="Y17" s="116">
        <f t="shared" si="7"/>
        <v>0</v>
      </c>
      <c r="Z17" s="116">
        <f t="shared" si="7"/>
        <v>0</v>
      </c>
      <c r="AA17" s="116">
        <f t="shared" si="7"/>
        <v>0</v>
      </c>
      <c r="AB17" s="76"/>
    </row>
    <row r="18" spans="1:28" ht="38">
      <c r="C18" s="12"/>
      <c r="D18" s="76"/>
      <c r="E18" s="547"/>
      <c r="F18" s="3"/>
      <c r="G18" s="76"/>
      <c r="H18" s="36"/>
      <c r="I18" s="248"/>
      <c r="K18" s="234"/>
      <c r="L18" s="3"/>
      <c r="M18" s="631" t="s">
        <v>686</v>
      </c>
      <c r="N18" s="253">
        <f>$K$16*'Paso 3-Metales-Materias primas'!I$9/100</f>
        <v>0</v>
      </c>
      <c r="O18" s="3" t="s">
        <v>36</v>
      </c>
      <c r="P18" s="132">
        <v>0.1</v>
      </c>
      <c r="Q18" s="132">
        <v>0.02</v>
      </c>
      <c r="R18" s="132"/>
      <c r="S18" s="132">
        <v>0.42</v>
      </c>
      <c r="T18" s="132"/>
      <c r="U18" s="132">
        <v>0.46</v>
      </c>
      <c r="V18" s="116">
        <f t="shared" si="7"/>
        <v>0</v>
      </c>
      <c r="W18" s="116">
        <f t="shared" si="7"/>
        <v>0</v>
      </c>
      <c r="X18" s="116">
        <f t="shared" si="7"/>
        <v>0</v>
      </c>
      <c r="Y18" s="116">
        <f t="shared" si="7"/>
        <v>0</v>
      </c>
      <c r="Z18" s="116">
        <f t="shared" si="7"/>
        <v>0</v>
      </c>
      <c r="AA18" s="116">
        <f t="shared" si="7"/>
        <v>0</v>
      </c>
      <c r="AB18" s="76"/>
    </row>
    <row r="19" spans="1:28" ht="50.5">
      <c r="C19" s="12"/>
      <c r="D19" s="76"/>
      <c r="E19" s="547"/>
      <c r="F19" s="3"/>
      <c r="G19" s="76"/>
      <c r="H19" s="36"/>
      <c r="I19" s="248"/>
      <c r="K19" s="234"/>
      <c r="L19" s="3"/>
      <c r="M19" s="631" t="s">
        <v>731</v>
      </c>
      <c r="N19" s="253">
        <f>$K$16*'Paso 3-Metales-Materias primas'!J$9/100</f>
        <v>0</v>
      </c>
      <c r="O19" s="3" t="s">
        <v>36</v>
      </c>
      <c r="P19" s="132">
        <v>0.02</v>
      </c>
      <c r="Q19" s="132">
        <v>0.02</v>
      </c>
      <c r="R19" s="132"/>
      <c r="S19" s="132">
        <v>0.48</v>
      </c>
      <c r="T19" s="132"/>
      <c r="U19" s="132">
        <v>0.48</v>
      </c>
      <c r="V19" s="116">
        <f t="shared" si="7"/>
        <v>0</v>
      </c>
      <c r="W19" s="116">
        <f t="shared" si="7"/>
        <v>0</v>
      </c>
      <c r="X19" s="116">
        <f t="shared" si="7"/>
        <v>0</v>
      </c>
      <c r="Y19" s="116">
        <f t="shared" si="7"/>
        <v>0</v>
      </c>
      <c r="Z19" s="116">
        <f t="shared" si="7"/>
        <v>0</v>
      </c>
      <c r="AA19" s="116">
        <f t="shared" si="7"/>
        <v>0</v>
      </c>
      <c r="AB19" s="76"/>
    </row>
    <row r="20" spans="1:28" s="55" customFormat="1" ht="13">
      <c r="C20" s="105"/>
      <c r="D20" s="76"/>
      <c r="G20" s="76"/>
      <c r="I20" s="247"/>
      <c r="K20" s="235"/>
      <c r="M20" s="107"/>
      <c r="N20" s="248"/>
      <c r="O20" s="104"/>
      <c r="P20" s="132"/>
      <c r="Q20" s="132"/>
      <c r="R20" s="132"/>
      <c r="S20" s="132"/>
      <c r="T20" s="132"/>
      <c r="U20" s="132"/>
      <c r="V20" s="58"/>
      <c r="W20" s="58"/>
      <c r="X20" s="58"/>
      <c r="Y20" s="58"/>
      <c r="Z20" s="58"/>
      <c r="AA20" s="58"/>
      <c r="AB20" s="76"/>
    </row>
    <row r="21" spans="1:28" ht="13">
      <c r="B21" t="s">
        <v>169</v>
      </c>
      <c r="C21" s="12" t="s">
        <v>164</v>
      </c>
      <c r="D21" s="119"/>
      <c r="E21" s="6"/>
      <c r="F21" s="3"/>
      <c r="G21" s="119"/>
      <c r="H21" s="3"/>
      <c r="I21" s="250"/>
      <c r="K21" s="242"/>
      <c r="L21" s="3"/>
      <c r="M21" s="33"/>
      <c r="N21" s="250"/>
      <c r="O21" s="3"/>
      <c r="P21" s="132"/>
      <c r="Q21" s="132"/>
      <c r="R21" s="132"/>
      <c r="S21" s="132"/>
      <c r="T21" s="132"/>
      <c r="U21" s="132"/>
      <c r="V21" s="133">
        <f>SUM(V22:V26)</f>
        <v>0</v>
      </c>
      <c r="W21" s="133">
        <f t="shared" ref="W21:Z21" si="8">SUM(W22:W26)</f>
        <v>0</v>
      </c>
      <c r="X21" s="133">
        <f t="shared" si="8"/>
        <v>0</v>
      </c>
      <c r="Y21" s="133">
        <f t="shared" si="8"/>
        <v>0</v>
      </c>
      <c r="Z21" s="133">
        <f t="shared" si="8"/>
        <v>0</v>
      </c>
      <c r="AA21" s="133">
        <f>SUM(AA22:AA26)</f>
        <v>0</v>
      </c>
      <c r="AB21" s="119"/>
    </row>
    <row r="22" spans="1:28" ht="13">
      <c r="C22" s="12" t="s">
        <v>162</v>
      </c>
      <c r="D22" s="76"/>
      <c r="E22" s="35" t="s">
        <v>43</v>
      </c>
      <c r="F22" s="3" t="s">
        <v>43</v>
      </c>
      <c r="G22" s="76" t="s">
        <v>43</v>
      </c>
      <c r="H22" s="3" t="s">
        <v>43</v>
      </c>
      <c r="I22" s="248"/>
      <c r="K22" s="234"/>
      <c r="L22" s="3" t="s">
        <v>36</v>
      </c>
      <c r="M22" s="33"/>
      <c r="N22" s="248"/>
      <c r="O22" s="3" t="s">
        <v>36</v>
      </c>
      <c r="P22" s="132"/>
      <c r="Q22" s="132"/>
      <c r="R22" s="132"/>
      <c r="S22" s="132"/>
      <c r="T22" s="132"/>
      <c r="U22" s="132"/>
      <c r="V22" s="116">
        <f>$N22*P22</f>
        <v>0</v>
      </c>
      <c r="W22" s="116">
        <f t="shared" ref="V22:AA26" si="9">$N22*Q22</f>
        <v>0</v>
      </c>
      <c r="X22" s="116">
        <f t="shared" si="9"/>
        <v>0</v>
      </c>
      <c r="Y22" s="116">
        <f t="shared" si="9"/>
        <v>0</v>
      </c>
      <c r="Z22" s="116">
        <f t="shared" si="9"/>
        <v>0</v>
      </c>
      <c r="AA22" s="116">
        <f t="shared" si="9"/>
        <v>0</v>
      </c>
      <c r="AB22" s="76"/>
    </row>
    <row r="23" spans="1:28" ht="50.5">
      <c r="C23" s="12" t="s">
        <v>165</v>
      </c>
      <c r="D23" s="76"/>
      <c r="E23" s="550" t="s">
        <v>687</v>
      </c>
      <c r="F23" s="3" t="s">
        <v>342</v>
      </c>
      <c r="G23" s="76">
        <v>30</v>
      </c>
      <c r="H23" s="36" t="s">
        <v>381</v>
      </c>
      <c r="I23" s="248">
        <f>'Paso 3-Metales-Materias primas'!C10</f>
        <v>0</v>
      </c>
      <c r="J23" t="s">
        <v>348</v>
      </c>
      <c r="K23" s="234">
        <f>G23*I23/1000</f>
        <v>0</v>
      </c>
      <c r="L23" s="3" t="s">
        <v>36</v>
      </c>
      <c r="M23" s="33" t="s">
        <v>729</v>
      </c>
      <c r="N23" s="253">
        <f>$K$23*'Paso 3-Metales-Materias primas'!G$12/100</f>
        <v>0</v>
      </c>
      <c r="O23" s="3" t="s">
        <v>36</v>
      </c>
      <c r="P23" s="132">
        <v>0.9</v>
      </c>
      <c r="Q23" s="132"/>
      <c r="R23" s="132"/>
      <c r="S23" s="132"/>
      <c r="T23" s="132"/>
      <c r="U23" s="132">
        <v>0.1</v>
      </c>
      <c r="V23" s="116">
        <f t="shared" si="9"/>
        <v>0</v>
      </c>
      <c r="W23" s="116">
        <f t="shared" si="9"/>
        <v>0</v>
      </c>
      <c r="X23" s="116">
        <f t="shared" si="9"/>
        <v>0</v>
      </c>
      <c r="Y23" s="116">
        <f t="shared" si="9"/>
        <v>0</v>
      </c>
      <c r="Z23" s="116">
        <f t="shared" si="9"/>
        <v>0</v>
      </c>
      <c r="AA23" s="116">
        <f t="shared" si="9"/>
        <v>0</v>
      </c>
      <c r="AB23" s="76"/>
    </row>
    <row r="24" spans="1:28" ht="25.5">
      <c r="C24" s="12"/>
      <c r="D24" s="76"/>
      <c r="E24" s="550"/>
      <c r="F24" s="3"/>
      <c r="G24" s="76"/>
      <c r="H24" s="36"/>
      <c r="I24" s="248"/>
      <c r="K24" s="234"/>
      <c r="L24" s="3"/>
      <c r="M24" s="33" t="s">
        <v>730</v>
      </c>
      <c r="N24" s="253">
        <f>$K$23*'Paso 3-Metales-Materias primas'!H$12/100</f>
        <v>0</v>
      </c>
      <c r="O24" s="3" t="s">
        <v>36</v>
      </c>
      <c r="P24" s="132">
        <v>0.49</v>
      </c>
      <c r="Q24" s="132">
        <v>0.02</v>
      </c>
      <c r="R24" s="132"/>
      <c r="S24" s="132"/>
      <c r="T24" s="132"/>
      <c r="U24" s="132">
        <v>0.49</v>
      </c>
      <c r="V24" s="116">
        <f t="shared" si="9"/>
        <v>0</v>
      </c>
      <c r="W24" s="116">
        <f t="shared" si="9"/>
        <v>0</v>
      </c>
      <c r="X24" s="116">
        <f t="shared" si="9"/>
        <v>0</v>
      </c>
      <c r="Y24" s="116">
        <f t="shared" si="9"/>
        <v>0</v>
      </c>
      <c r="Z24" s="116">
        <f t="shared" si="9"/>
        <v>0</v>
      </c>
      <c r="AA24" s="116">
        <f t="shared" si="9"/>
        <v>0</v>
      </c>
      <c r="AB24" s="76"/>
    </row>
    <row r="25" spans="1:28" ht="38">
      <c r="C25" s="12"/>
      <c r="D25" s="76"/>
      <c r="E25" s="550"/>
      <c r="F25" s="3"/>
      <c r="G25" s="76"/>
      <c r="H25" s="36"/>
      <c r="I25" s="248"/>
      <c r="K25" s="234"/>
      <c r="L25" s="3"/>
      <c r="M25" s="33" t="s">
        <v>686</v>
      </c>
      <c r="N25" s="253">
        <f>$K$23*'Paso 3-Metales-Materias primas'!I$12/100</f>
        <v>0</v>
      </c>
      <c r="O25" s="3" t="s">
        <v>36</v>
      </c>
      <c r="P25" s="132">
        <v>0.1</v>
      </c>
      <c r="Q25" s="132">
        <v>0.02</v>
      </c>
      <c r="R25" s="132"/>
      <c r="S25" s="132">
        <v>0.42</v>
      </c>
      <c r="T25" s="132"/>
      <c r="U25" s="132">
        <v>0.46</v>
      </c>
      <c r="V25" s="116">
        <f t="shared" si="9"/>
        <v>0</v>
      </c>
      <c r="W25" s="116">
        <f t="shared" si="9"/>
        <v>0</v>
      </c>
      <c r="X25" s="116">
        <f t="shared" si="9"/>
        <v>0</v>
      </c>
      <c r="Y25" s="116">
        <f t="shared" si="9"/>
        <v>0</v>
      </c>
      <c r="Z25" s="116">
        <f t="shared" si="9"/>
        <v>0</v>
      </c>
      <c r="AA25" s="116">
        <f t="shared" si="9"/>
        <v>0</v>
      </c>
      <c r="AB25" s="76"/>
    </row>
    <row r="26" spans="1:28" ht="50.5">
      <c r="C26" s="12"/>
      <c r="D26" s="76"/>
      <c r="E26" s="550"/>
      <c r="F26" s="3"/>
      <c r="G26" s="76"/>
      <c r="H26" s="36"/>
      <c r="I26" s="248"/>
      <c r="K26" s="234"/>
      <c r="L26" s="3"/>
      <c r="M26" s="33" t="s">
        <v>731</v>
      </c>
      <c r="N26" s="253">
        <f>$K$23*'Paso 3-Metales-Materias primas'!J$12/100</f>
        <v>0</v>
      </c>
      <c r="O26" s="3" t="s">
        <v>36</v>
      </c>
      <c r="P26" s="132">
        <v>0.02</v>
      </c>
      <c r="Q26" s="132">
        <v>0.02</v>
      </c>
      <c r="R26" s="132"/>
      <c r="S26" s="132">
        <v>0.48</v>
      </c>
      <c r="T26" s="132"/>
      <c r="U26" s="132">
        <v>0.48</v>
      </c>
      <c r="V26" s="116">
        <f t="shared" si="9"/>
        <v>0</v>
      </c>
      <c r="W26" s="116">
        <f t="shared" si="9"/>
        <v>0</v>
      </c>
      <c r="X26" s="116">
        <f t="shared" si="9"/>
        <v>0</v>
      </c>
      <c r="Y26" s="116">
        <f t="shared" si="9"/>
        <v>0</v>
      </c>
      <c r="Z26" s="116">
        <f t="shared" si="9"/>
        <v>0</v>
      </c>
      <c r="AA26" s="116">
        <f t="shared" si="9"/>
        <v>0</v>
      </c>
      <c r="AB26" s="76"/>
    </row>
    <row r="27" spans="1:28" s="55" customFormat="1" ht="13">
      <c r="A27" s="139"/>
      <c r="B27" s="104"/>
      <c r="C27" s="136"/>
      <c r="D27" s="111"/>
      <c r="E27" s="106"/>
      <c r="F27" s="104"/>
      <c r="G27" s="76"/>
      <c r="H27" s="104"/>
      <c r="I27" s="248"/>
      <c r="K27" s="234"/>
      <c r="L27" s="104"/>
      <c r="M27" s="110"/>
      <c r="N27" s="248"/>
      <c r="O27" s="104"/>
      <c r="P27" s="132"/>
      <c r="Q27" s="132"/>
      <c r="R27" s="132"/>
      <c r="S27" s="132"/>
      <c r="T27" s="132"/>
      <c r="U27" s="132"/>
      <c r="V27" s="116"/>
      <c r="W27" s="116"/>
      <c r="X27" s="116"/>
      <c r="Y27" s="116"/>
      <c r="Z27" s="116"/>
      <c r="AA27" s="116"/>
      <c r="AB27" s="76"/>
    </row>
    <row r="28" spans="1:28" ht="13">
      <c r="B28" t="s">
        <v>170</v>
      </c>
      <c r="C28" s="12" t="s">
        <v>166</v>
      </c>
      <c r="D28" s="119"/>
      <c r="E28" s="6"/>
      <c r="F28" s="3"/>
      <c r="G28" s="119"/>
      <c r="H28" s="3"/>
      <c r="I28" s="250"/>
      <c r="K28" s="242"/>
      <c r="L28" s="3"/>
      <c r="M28" s="33"/>
      <c r="N28" s="250"/>
      <c r="O28" s="3"/>
      <c r="P28" s="132"/>
      <c r="Q28" s="132"/>
      <c r="R28" s="132"/>
      <c r="S28" s="132"/>
      <c r="T28" s="132"/>
      <c r="U28" s="132"/>
      <c r="V28" s="133">
        <f>SUM(V29:V33)</f>
        <v>0</v>
      </c>
      <c r="W28" s="133">
        <f t="shared" ref="W28:Z28" si="10">SUM(W29:W33)</f>
        <v>0</v>
      </c>
      <c r="X28" s="133">
        <f t="shared" si="10"/>
        <v>0</v>
      </c>
      <c r="Y28" s="133">
        <f t="shared" si="10"/>
        <v>0</v>
      </c>
      <c r="Z28" s="133">
        <f t="shared" si="10"/>
        <v>0</v>
      </c>
      <c r="AA28" s="133">
        <f>SUM(AA29:AA33)</f>
        <v>0</v>
      </c>
      <c r="AB28" s="119"/>
    </row>
    <row r="29" spans="1:28" ht="13">
      <c r="C29" s="12" t="s">
        <v>162</v>
      </c>
      <c r="D29" s="76"/>
      <c r="E29" s="35" t="s">
        <v>43</v>
      </c>
      <c r="F29" s="3" t="s">
        <v>43</v>
      </c>
      <c r="G29" s="76" t="s">
        <v>43</v>
      </c>
      <c r="H29" s="3" t="s">
        <v>43</v>
      </c>
      <c r="I29" s="248"/>
      <c r="K29" s="234"/>
      <c r="L29" s="3" t="s">
        <v>36</v>
      </c>
      <c r="M29" s="33"/>
      <c r="N29" s="248"/>
      <c r="O29" s="3" t="s">
        <v>36</v>
      </c>
      <c r="P29" s="132"/>
      <c r="Q29" s="132"/>
      <c r="R29" s="132"/>
      <c r="S29" s="132"/>
      <c r="T29" s="132"/>
      <c r="U29" s="132"/>
      <c r="V29" s="116">
        <f>$N29*P29</f>
        <v>0</v>
      </c>
      <c r="W29" s="116">
        <f t="shared" ref="W29:AA29" si="11">$N29*Q29</f>
        <v>0</v>
      </c>
      <c r="X29" s="116">
        <f t="shared" si="11"/>
        <v>0</v>
      </c>
      <c r="Y29" s="116">
        <f t="shared" si="11"/>
        <v>0</v>
      </c>
      <c r="Z29" s="116">
        <f t="shared" si="11"/>
        <v>0</v>
      </c>
      <c r="AA29" s="116">
        <f t="shared" si="11"/>
        <v>0</v>
      </c>
      <c r="AB29" s="76"/>
    </row>
    <row r="30" spans="1:28" ht="50.5">
      <c r="C30" s="12" t="s">
        <v>167</v>
      </c>
      <c r="D30" s="76"/>
      <c r="E30" s="547" t="s">
        <v>688</v>
      </c>
      <c r="F30" s="3" t="s">
        <v>342</v>
      </c>
      <c r="G30" s="76">
        <v>30</v>
      </c>
      <c r="H30" s="36" t="s">
        <v>381</v>
      </c>
      <c r="I30" s="248">
        <f>'Paso 3-Metales-Materias primas'!C13</f>
        <v>0</v>
      </c>
      <c r="J30" t="s">
        <v>348</v>
      </c>
      <c r="K30" s="234">
        <f>G30*I30/1000</f>
        <v>0</v>
      </c>
      <c r="L30" s="3" t="s">
        <v>36</v>
      </c>
      <c r="M30" s="33" t="s">
        <v>729</v>
      </c>
      <c r="N30" s="253">
        <f>$K$30*'Paso 3-Metales-Materias primas'!G$15/100</f>
        <v>0</v>
      </c>
      <c r="O30" s="3" t="s">
        <v>36</v>
      </c>
      <c r="P30" s="132">
        <v>0.9</v>
      </c>
      <c r="Q30" s="132"/>
      <c r="R30" s="132"/>
      <c r="S30" s="132"/>
      <c r="T30" s="132"/>
      <c r="U30" s="132">
        <v>0.1</v>
      </c>
      <c r="V30" s="116">
        <f t="shared" ref="V30:AA33" si="12">$N30*P30</f>
        <v>0</v>
      </c>
      <c r="W30" s="116">
        <f t="shared" si="12"/>
        <v>0</v>
      </c>
      <c r="X30" s="116">
        <f t="shared" si="12"/>
        <v>0</v>
      </c>
      <c r="Y30" s="116">
        <f t="shared" si="12"/>
        <v>0</v>
      </c>
      <c r="Z30" s="116">
        <f t="shared" si="12"/>
        <v>0</v>
      </c>
      <c r="AA30" s="116">
        <f t="shared" si="12"/>
        <v>0</v>
      </c>
      <c r="AB30" s="76"/>
    </row>
    <row r="31" spans="1:28" ht="25.5">
      <c r="C31" s="12"/>
      <c r="D31" s="76"/>
      <c r="E31" s="547"/>
      <c r="F31" s="3"/>
      <c r="G31" s="76"/>
      <c r="H31" s="36"/>
      <c r="I31" s="248"/>
      <c r="K31" s="234"/>
      <c r="L31" s="3"/>
      <c r="M31" s="33" t="s">
        <v>730</v>
      </c>
      <c r="N31" s="253">
        <f>$K$30*'Paso 3-Metales-Materias primas'!H$15/100</f>
        <v>0</v>
      </c>
      <c r="O31" s="3" t="s">
        <v>36</v>
      </c>
      <c r="P31" s="132">
        <v>0.49</v>
      </c>
      <c r="Q31" s="132">
        <v>0.02</v>
      </c>
      <c r="R31" s="132"/>
      <c r="S31" s="132"/>
      <c r="T31" s="132"/>
      <c r="U31" s="132">
        <v>0.49</v>
      </c>
      <c r="V31" s="116">
        <f t="shared" si="12"/>
        <v>0</v>
      </c>
      <c r="W31" s="116">
        <f t="shared" si="12"/>
        <v>0</v>
      </c>
      <c r="X31" s="116">
        <f t="shared" si="12"/>
        <v>0</v>
      </c>
      <c r="Y31" s="116">
        <f t="shared" si="12"/>
        <v>0</v>
      </c>
      <c r="Z31" s="116">
        <f t="shared" si="12"/>
        <v>0</v>
      </c>
      <c r="AA31" s="116">
        <f t="shared" si="12"/>
        <v>0</v>
      </c>
      <c r="AB31" s="76"/>
    </row>
    <row r="32" spans="1:28" ht="38">
      <c r="C32" s="12"/>
      <c r="D32" s="76"/>
      <c r="E32" s="547"/>
      <c r="F32" s="3"/>
      <c r="G32" s="76"/>
      <c r="H32" s="36"/>
      <c r="I32" s="248"/>
      <c r="K32" s="234"/>
      <c r="L32" s="3"/>
      <c r="M32" s="33" t="s">
        <v>686</v>
      </c>
      <c r="N32" s="253">
        <f>$K$30*'Paso 3-Metales-Materias primas'!I$15/100</f>
        <v>0</v>
      </c>
      <c r="O32" s="3" t="s">
        <v>36</v>
      </c>
      <c r="P32" s="132">
        <v>0.1</v>
      </c>
      <c r="Q32" s="132">
        <v>0.02</v>
      </c>
      <c r="R32" s="132"/>
      <c r="S32" s="132">
        <v>0.42</v>
      </c>
      <c r="T32" s="132"/>
      <c r="U32" s="132">
        <v>0.46</v>
      </c>
      <c r="V32" s="116">
        <f t="shared" si="12"/>
        <v>0</v>
      </c>
      <c r="W32" s="116">
        <f t="shared" si="12"/>
        <v>0</v>
      </c>
      <c r="X32" s="116">
        <f t="shared" si="12"/>
        <v>0</v>
      </c>
      <c r="Y32" s="116">
        <f t="shared" si="12"/>
        <v>0</v>
      </c>
      <c r="Z32" s="116">
        <f t="shared" si="12"/>
        <v>0</v>
      </c>
      <c r="AA32" s="116">
        <f t="shared" si="12"/>
        <v>0</v>
      </c>
      <c r="AB32" s="76"/>
    </row>
    <row r="33" spans="1:28" ht="50.5">
      <c r="C33" s="12"/>
      <c r="D33" s="76"/>
      <c r="E33" s="547"/>
      <c r="F33" s="3"/>
      <c r="G33" s="76"/>
      <c r="H33" s="36"/>
      <c r="I33" s="248"/>
      <c r="K33" s="234"/>
      <c r="L33" s="3"/>
      <c r="M33" s="33" t="s">
        <v>731</v>
      </c>
      <c r="N33" s="253">
        <f>$K$30*'Paso 3-Metales-Materias primas'!J$15/100</f>
        <v>0</v>
      </c>
      <c r="O33" s="3" t="s">
        <v>36</v>
      </c>
      <c r="P33" s="132">
        <v>0.02</v>
      </c>
      <c r="Q33" s="132">
        <v>0.02</v>
      </c>
      <c r="R33" s="132"/>
      <c r="S33" s="132">
        <v>0.48</v>
      </c>
      <c r="T33" s="132"/>
      <c r="U33" s="132">
        <v>0.48</v>
      </c>
      <c r="V33" s="116">
        <f t="shared" si="12"/>
        <v>0</v>
      </c>
      <c r="W33" s="116">
        <f t="shared" si="12"/>
        <v>0</v>
      </c>
      <c r="X33" s="116">
        <f t="shared" si="12"/>
        <v>0</v>
      </c>
      <c r="Y33" s="116">
        <f t="shared" si="12"/>
        <v>0</v>
      </c>
      <c r="Z33" s="116">
        <f t="shared" si="12"/>
        <v>0</v>
      </c>
      <c r="AA33" s="116">
        <f t="shared" si="12"/>
        <v>0</v>
      </c>
      <c r="AB33" s="76"/>
    </row>
    <row r="34" spans="1:28" s="55" customFormat="1">
      <c r="A34" s="104"/>
      <c r="B34" s="104"/>
      <c r="C34" s="105"/>
      <c r="D34" s="76"/>
      <c r="E34" s="106"/>
      <c r="F34" s="104"/>
      <c r="G34" s="76"/>
      <c r="H34" s="104"/>
      <c r="I34" s="248"/>
      <c r="K34" s="234"/>
      <c r="L34" s="104"/>
      <c r="M34" s="138"/>
      <c r="N34" s="248"/>
      <c r="O34" s="104"/>
      <c r="P34" s="132"/>
      <c r="Q34" s="132"/>
      <c r="R34" s="132"/>
      <c r="S34" s="132"/>
      <c r="T34" s="132"/>
      <c r="U34" s="132"/>
      <c r="V34" s="116"/>
      <c r="W34" s="116"/>
      <c r="X34" s="116"/>
      <c r="Y34" s="116"/>
      <c r="Z34" s="116"/>
      <c r="AA34" s="116"/>
      <c r="AB34" s="76"/>
    </row>
    <row r="35" spans="1:28" ht="39">
      <c r="B35" t="s">
        <v>171</v>
      </c>
      <c r="C35" s="12" t="s">
        <v>317</v>
      </c>
      <c r="D35" s="119"/>
      <c r="E35" s="549" t="s">
        <v>689</v>
      </c>
      <c r="F35" s="36" t="s">
        <v>420</v>
      </c>
      <c r="G35" s="338">
        <v>5.5</v>
      </c>
      <c r="H35" s="36" t="s">
        <v>430</v>
      </c>
      <c r="I35" s="443">
        <f>'Paso 3-Metales-Materias primas'!C16</f>
        <v>0</v>
      </c>
      <c r="J35" s="53" t="s">
        <v>429</v>
      </c>
      <c r="K35" s="234">
        <f>G35*I35/1000</f>
        <v>0</v>
      </c>
      <c r="L35" s="3" t="s">
        <v>36</v>
      </c>
      <c r="M35" s="33"/>
      <c r="N35" s="251">
        <f>K35</f>
        <v>0</v>
      </c>
      <c r="O35" s="3" t="s">
        <v>36</v>
      </c>
      <c r="P35" s="132">
        <v>0.04</v>
      </c>
      <c r="Q35" s="132">
        <v>0.02</v>
      </c>
      <c r="R35" s="132">
        <v>0.9</v>
      </c>
      <c r="S35" s="132">
        <v>0.04</v>
      </c>
      <c r="T35" s="132"/>
      <c r="U35" s="132"/>
      <c r="V35" s="133">
        <f t="shared" ref="V35:AA35" si="13">$N35*P35</f>
        <v>0</v>
      </c>
      <c r="W35" s="133">
        <f t="shared" si="13"/>
        <v>0</v>
      </c>
      <c r="X35" s="133">
        <f t="shared" si="13"/>
        <v>0</v>
      </c>
      <c r="Y35" s="133">
        <f t="shared" si="13"/>
        <v>0</v>
      </c>
      <c r="Z35" s="133">
        <f t="shared" si="13"/>
        <v>0</v>
      </c>
      <c r="AA35" s="133">
        <f t="shared" si="13"/>
        <v>0</v>
      </c>
      <c r="AB35" s="119"/>
    </row>
    <row r="36" spans="1:28" s="55" customFormat="1" ht="13">
      <c r="A36" s="104"/>
      <c r="B36" s="104"/>
      <c r="C36" s="136"/>
      <c r="D36" s="111"/>
      <c r="E36" s="106"/>
      <c r="F36" s="104"/>
      <c r="G36" s="76"/>
      <c r="H36" s="104"/>
      <c r="I36" s="248"/>
      <c r="K36" s="234"/>
      <c r="L36" s="104"/>
      <c r="M36" s="107"/>
      <c r="N36" s="248"/>
      <c r="O36" s="104"/>
      <c r="P36" s="132"/>
      <c r="Q36" s="132"/>
      <c r="R36" s="132"/>
      <c r="S36" s="132"/>
      <c r="T36" s="132"/>
      <c r="U36" s="132"/>
      <c r="V36" s="116"/>
      <c r="W36" s="116"/>
      <c r="X36" s="116"/>
      <c r="Y36" s="116"/>
      <c r="Z36" s="116"/>
      <c r="AA36" s="116"/>
      <c r="AB36" s="76"/>
    </row>
    <row r="37" spans="1:28" ht="26">
      <c r="B37" t="s">
        <v>176</v>
      </c>
      <c r="C37" s="12" t="s">
        <v>174</v>
      </c>
      <c r="D37" s="119"/>
      <c r="E37" s="6"/>
      <c r="F37" s="3"/>
      <c r="G37" s="119"/>
      <c r="H37" s="3"/>
      <c r="I37" s="250"/>
      <c r="K37" s="242"/>
      <c r="L37" s="3"/>
      <c r="M37" s="33"/>
      <c r="N37" s="250"/>
      <c r="O37" s="3"/>
      <c r="P37" s="132"/>
      <c r="Q37" s="132"/>
      <c r="R37" s="132"/>
      <c r="S37" s="132"/>
      <c r="T37" s="132"/>
      <c r="U37" s="132"/>
      <c r="V37" s="133">
        <f t="shared" ref="V37:AA37" si="14">SUM(V38:V39)</f>
        <v>0</v>
      </c>
      <c r="W37" s="133">
        <f t="shared" si="14"/>
        <v>0</v>
      </c>
      <c r="X37" s="133">
        <f t="shared" si="14"/>
        <v>0</v>
      </c>
      <c r="Y37" s="133">
        <f t="shared" si="14"/>
        <v>0</v>
      </c>
      <c r="Z37" s="133">
        <f t="shared" si="14"/>
        <v>0</v>
      </c>
      <c r="AA37" s="133">
        <f t="shared" si="14"/>
        <v>0</v>
      </c>
      <c r="AB37" s="119"/>
    </row>
    <row r="38" spans="1:28" ht="13">
      <c r="C38" s="12" t="s">
        <v>405</v>
      </c>
      <c r="D38" s="76"/>
      <c r="E38" s="8" t="s">
        <v>402</v>
      </c>
      <c r="F38" s="36" t="s">
        <v>404</v>
      </c>
      <c r="G38" s="76">
        <v>0.5</v>
      </c>
      <c r="H38" s="36" t="s">
        <v>404</v>
      </c>
      <c r="I38" s="248">
        <f>'Paso 3-Metales-Materias primas'!C17</f>
        <v>0</v>
      </c>
      <c r="J38" s="8" t="s">
        <v>403</v>
      </c>
      <c r="K38" s="234">
        <f>G38*I38/1000</f>
        <v>0</v>
      </c>
      <c r="L38" s="3" t="s">
        <v>36</v>
      </c>
      <c r="M38" s="33"/>
      <c r="N38" s="248">
        <f>K38</f>
        <v>0</v>
      </c>
      <c r="O38" s="3" t="s">
        <v>36</v>
      </c>
      <c r="P38" s="132">
        <v>0.15</v>
      </c>
      <c r="Q38" s="132">
        <v>0.1</v>
      </c>
      <c r="R38" s="132"/>
      <c r="S38" s="132"/>
      <c r="T38" s="132">
        <v>0.65</v>
      </c>
      <c r="U38" s="132">
        <v>0.1</v>
      </c>
      <c r="V38" s="116">
        <f t="shared" ref="V38:AA39" si="15">$N38*P38</f>
        <v>0</v>
      </c>
      <c r="W38" s="116">
        <f t="shared" si="15"/>
        <v>0</v>
      </c>
      <c r="X38" s="116">
        <f t="shared" si="15"/>
        <v>0</v>
      </c>
      <c r="Y38" s="116">
        <f t="shared" si="15"/>
        <v>0</v>
      </c>
      <c r="Z38" s="116">
        <f t="shared" si="15"/>
        <v>0</v>
      </c>
      <c r="AA38" s="116">
        <f t="shared" si="15"/>
        <v>0</v>
      </c>
      <c r="AB38" s="76"/>
    </row>
    <row r="39" spans="1:28" ht="13">
      <c r="C39" s="12" t="s">
        <v>175</v>
      </c>
      <c r="D39" s="76"/>
      <c r="E39" t="s">
        <v>43</v>
      </c>
      <c r="F39" s="3" t="s">
        <v>43</v>
      </c>
      <c r="G39" s="76" t="s">
        <v>43</v>
      </c>
      <c r="H39" s="3" t="s">
        <v>43</v>
      </c>
      <c r="I39" s="248"/>
      <c r="J39" t="s">
        <v>43</v>
      </c>
      <c r="K39" s="234"/>
      <c r="L39" s="3" t="s">
        <v>36</v>
      </c>
      <c r="M39" s="33"/>
      <c r="N39" s="248"/>
      <c r="O39" s="3" t="s">
        <v>36</v>
      </c>
      <c r="P39" s="132"/>
      <c r="Q39" s="132"/>
      <c r="R39" s="132"/>
      <c r="S39" s="132"/>
      <c r="T39" s="132"/>
      <c r="U39" s="132"/>
      <c r="V39" s="116">
        <f t="shared" si="15"/>
        <v>0</v>
      </c>
      <c r="W39" s="116">
        <f t="shared" si="15"/>
        <v>0</v>
      </c>
      <c r="X39" s="116">
        <f t="shared" si="15"/>
        <v>0</v>
      </c>
      <c r="Y39" s="116">
        <f t="shared" si="15"/>
        <v>0</v>
      </c>
      <c r="Z39" s="116">
        <f t="shared" si="15"/>
        <v>0</v>
      </c>
      <c r="AA39" s="116">
        <f t="shared" si="15"/>
        <v>0</v>
      </c>
      <c r="AB39" s="76"/>
    </row>
    <row r="40" spans="1:28" s="55" customFormat="1">
      <c r="A40" s="104"/>
      <c r="B40" s="104"/>
      <c r="C40" s="105"/>
      <c r="D40" s="76"/>
      <c r="E40" s="106"/>
      <c r="F40" s="104"/>
      <c r="G40" s="76"/>
      <c r="H40" s="104"/>
      <c r="I40" s="248"/>
      <c r="K40" s="237"/>
      <c r="L40" s="104"/>
      <c r="M40" s="138"/>
      <c r="N40" s="248"/>
      <c r="O40" s="104"/>
      <c r="P40" s="132"/>
      <c r="Q40" s="132"/>
      <c r="R40" s="132"/>
      <c r="S40" s="132"/>
      <c r="T40" s="132"/>
      <c r="U40" s="132"/>
      <c r="V40" s="116"/>
      <c r="W40" s="116"/>
      <c r="X40" s="116"/>
      <c r="Y40" s="116"/>
      <c r="Z40" s="116"/>
      <c r="AA40" s="116"/>
      <c r="AB40" s="76"/>
    </row>
    <row r="41" spans="1:28" ht="26">
      <c r="B41" t="s">
        <v>177</v>
      </c>
      <c r="C41" s="12" t="s">
        <v>180</v>
      </c>
      <c r="D41" s="119"/>
      <c r="E41" t="s">
        <v>43</v>
      </c>
      <c r="F41" s="3" t="s">
        <v>43</v>
      </c>
      <c r="G41" s="119" t="s">
        <v>43</v>
      </c>
      <c r="H41" s="3" t="s">
        <v>43</v>
      </c>
      <c r="I41" s="250"/>
      <c r="J41" t="s">
        <v>43</v>
      </c>
      <c r="K41" s="243" t="s">
        <v>43</v>
      </c>
      <c r="L41" s="3" t="s">
        <v>36</v>
      </c>
      <c r="M41" s="33"/>
      <c r="N41" s="250"/>
      <c r="O41" s="3" t="s">
        <v>36</v>
      </c>
      <c r="P41" s="132">
        <v>1</v>
      </c>
      <c r="Q41" s="132"/>
      <c r="R41" s="132"/>
      <c r="S41" s="132"/>
      <c r="T41" s="132"/>
      <c r="U41" s="132"/>
      <c r="V41" s="133">
        <f t="shared" ref="V41:AA41" si="16">$N41*P41</f>
        <v>0</v>
      </c>
      <c r="W41" s="133">
        <f t="shared" si="16"/>
        <v>0</v>
      </c>
      <c r="X41" s="133">
        <f t="shared" si="16"/>
        <v>0</v>
      </c>
      <c r="Y41" s="133">
        <f t="shared" si="16"/>
        <v>0</v>
      </c>
      <c r="Z41" s="133">
        <f t="shared" si="16"/>
        <v>0</v>
      </c>
      <c r="AA41" s="133">
        <f t="shared" si="16"/>
        <v>0</v>
      </c>
      <c r="AB41" s="119"/>
    </row>
    <row r="42" spans="1:28" s="55" customFormat="1" ht="13">
      <c r="A42" s="104"/>
      <c r="B42" s="104"/>
      <c r="C42" s="136"/>
      <c r="D42" s="112"/>
      <c r="E42" s="106"/>
      <c r="F42" s="104"/>
      <c r="G42" s="76"/>
      <c r="H42" s="104"/>
      <c r="I42" s="248"/>
      <c r="K42" s="237"/>
      <c r="L42" s="104"/>
      <c r="M42" s="107"/>
      <c r="N42" s="248"/>
      <c r="O42" s="104"/>
      <c r="P42" s="132"/>
      <c r="Q42" s="132"/>
      <c r="R42" s="132"/>
      <c r="S42" s="132"/>
      <c r="T42" s="132"/>
      <c r="U42" s="132"/>
      <c r="V42" s="116"/>
      <c r="W42" s="116"/>
      <c r="X42" s="116"/>
      <c r="Y42" s="116"/>
      <c r="Z42" s="116"/>
      <c r="AA42" s="116"/>
      <c r="AB42" s="76"/>
    </row>
    <row r="43" spans="1:28" ht="13">
      <c r="B43" t="s">
        <v>178</v>
      </c>
      <c r="C43" s="12" t="s">
        <v>179</v>
      </c>
      <c r="D43" s="119"/>
      <c r="E43" t="s">
        <v>181</v>
      </c>
      <c r="F43" s="3" t="s">
        <v>343</v>
      </c>
      <c r="G43" s="119">
        <v>0.05</v>
      </c>
      <c r="H43" s="3" t="s">
        <v>343</v>
      </c>
      <c r="I43" s="250">
        <f>'Paso 3-Metales-Materias primas'!C18</f>
        <v>0</v>
      </c>
      <c r="J43" t="s">
        <v>327</v>
      </c>
      <c r="K43" s="243">
        <f>G43*I43/1000</f>
        <v>0</v>
      </c>
      <c r="L43" s="3" t="s">
        <v>36</v>
      </c>
      <c r="M43" s="33"/>
      <c r="N43" s="250">
        <f>K43</f>
        <v>0</v>
      </c>
      <c r="O43" s="3" t="s">
        <v>36</v>
      </c>
      <c r="P43" s="132">
        <v>0.95</v>
      </c>
      <c r="Q43" s="132"/>
      <c r="R43" s="132"/>
      <c r="S43" s="132"/>
      <c r="T43" s="132"/>
      <c r="U43" s="132">
        <v>0.05</v>
      </c>
      <c r="V43" s="133">
        <f t="shared" ref="V43:AA43" si="17">$N43*P43</f>
        <v>0</v>
      </c>
      <c r="W43" s="133">
        <f t="shared" si="17"/>
        <v>0</v>
      </c>
      <c r="X43" s="133">
        <f t="shared" si="17"/>
        <v>0</v>
      </c>
      <c r="Y43" s="133">
        <f t="shared" si="17"/>
        <v>0</v>
      </c>
      <c r="Z43" s="133">
        <f t="shared" si="17"/>
        <v>0</v>
      </c>
      <c r="AA43" s="133">
        <f t="shared" si="17"/>
        <v>0</v>
      </c>
      <c r="AB43" s="119"/>
    </row>
    <row r="44" spans="1:28" s="55" customFormat="1" ht="13">
      <c r="A44" s="104"/>
      <c r="B44" s="104"/>
      <c r="D44" s="76"/>
      <c r="E44" s="106"/>
      <c r="F44" s="104"/>
      <c r="G44" s="76"/>
      <c r="H44" s="104"/>
      <c r="I44" s="248"/>
      <c r="K44" s="237"/>
      <c r="L44" s="104"/>
      <c r="M44" s="138"/>
      <c r="N44" s="248"/>
      <c r="O44" s="104"/>
      <c r="P44" s="130"/>
      <c r="Q44" s="130"/>
      <c r="R44" s="130"/>
      <c r="S44" s="130"/>
      <c r="T44" s="130"/>
      <c r="U44" s="127"/>
      <c r="V44" s="116"/>
      <c r="W44" s="116"/>
      <c r="X44" s="116"/>
      <c r="Y44" s="116"/>
      <c r="Z44" s="116"/>
      <c r="AA44" s="116"/>
      <c r="AB44" s="76"/>
    </row>
    <row r="45" spans="1:28" ht="13">
      <c r="M45" s="14"/>
      <c r="N45" s="239"/>
      <c r="O45" s="3"/>
    </row>
    <row r="46" spans="1:28" ht="13">
      <c r="M46" s="14"/>
      <c r="N46" s="249"/>
      <c r="O46" s="3"/>
    </row>
    <row r="47" spans="1:28" ht="13">
      <c r="C47" s="5" t="s">
        <v>56</v>
      </c>
      <c r="D47" s="8" t="s">
        <v>172</v>
      </c>
    </row>
    <row r="48" spans="1:28">
      <c r="D48" s="6" t="s">
        <v>173</v>
      </c>
    </row>
  </sheetData>
  <phoneticPr fontId="2" type="noConversion"/>
  <pageMargins left="0.39370078740157483" right="0.39370078740157483" top="0.74803149606299213" bottom="0.74803149606299213" header="0.31496062992125984" footer="0.31496062992125984"/>
  <pageSetup paperSize="9" orientation="landscape" r:id="rId1"/>
  <headerFooter>
    <oddFooter>&amp;L&amp;A
Printed &amp;D</oddFooter>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AM48"/>
  <sheetViews>
    <sheetView zoomScale="60" zoomScaleNormal="60" workbookViewId="0">
      <selection activeCell="A4" sqref="A4"/>
    </sheetView>
  </sheetViews>
  <sheetFormatPr defaultColWidth="8.81640625" defaultRowHeight="12.5"/>
  <cols>
    <col min="1" max="1" width="3" customWidth="1"/>
    <col min="2" max="2" width="6.1796875" customWidth="1"/>
    <col min="3" max="3" width="28.36328125" customWidth="1"/>
    <col min="4" max="4" width="12.453125" customWidth="1"/>
    <col min="5" max="5" width="14.453125" customWidth="1"/>
    <col min="6" max="6" width="27.453125" customWidth="1"/>
    <col min="7" max="7" width="10.36328125" customWidth="1"/>
    <col min="8" max="8" width="24.81640625" customWidth="1"/>
    <col min="9" max="9" width="12.453125" style="240" customWidth="1"/>
    <col min="10" max="10" width="20.453125" customWidth="1"/>
    <col min="11" max="11" width="12" customWidth="1"/>
    <col min="12" max="12" width="12.36328125" customWidth="1"/>
    <col min="13" max="13" width="27.1796875" style="13" customWidth="1"/>
    <col min="14" max="14" width="9.1796875" style="240"/>
    <col min="16" max="16" width="4.453125" customWidth="1"/>
    <col min="17" max="17" width="5.36328125" customWidth="1"/>
    <col min="18" max="18" width="5" customWidth="1"/>
    <col min="19" max="19" width="8.453125" customWidth="1"/>
    <col min="21" max="21" width="19.1796875" customWidth="1"/>
    <col min="22" max="22" width="12.453125" customWidth="1"/>
    <col min="24" max="24" width="9.6328125" customWidth="1"/>
    <col min="25" max="25" width="11.1796875" customWidth="1"/>
    <col min="26" max="26" width="11.453125" customWidth="1"/>
    <col min="27" max="27" width="17" customWidth="1"/>
    <col min="28" max="28" width="34" customWidth="1"/>
  </cols>
  <sheetData>
    <row r="1" spans="1:39" ht="18">
      <c r="A1" s="1" t="s">
        <v>34</v>
      </c>
      <c r="I1" s="231"/>
      <c r="L1" s="48"/>
      <c r="M1" s="48"/>
      <c r="N1" s="231"/>
    </row>
    <row r="2" spans="1:39" ht="14">
      <c r="A2" s="54" t="s">
        <v>313</v>
      </c>
      <c r="I2" s="231"/>
      <c r="L2" s="48"/>
      <c r="M2" s="48"/>
      <c r="N2" s="231"/>
    </row>
    <row r="3" spans="1:39" ht="13">
      <c r="C3" s="3"/>
      <c r="D3" s="3"/>
      <c r="E3" s="3"/>
      <c r="F3" s="3"/>
      <c r="G3" s="3"/>
      <c r="H3" s="3"/>
      <c r="I3" s="232"/>
      <c r="J3" s="3"/>
      <c r="K3" s="3"/>
      <c r="L3" s="104"/>
      <c r="M3" s="104"/>
      <c r="N3" s="232"/>
      <c r="O3" s="3"/>
      <c r="P3" s="65" t="s">
        <v>55</v>
      </c>
      <c r="Q3" s="65"/>
      <c r="R3" s="65"/>
      <c r="S3" s="65"/>
      <c r="T3" s="65"/>
      <c r="U3" s="65"/>
      <c r="V3" s="10" t="s">
        <v>54</v>
      </c>
      <c r="W3" s="4"/>
      <c r="X3" s="4"/>
      <c r="Y3" s="4"/>
      <c r="Z3" s="4"/>
      <c r="AA3" s="4"/>
      <c r="AB3" s="2"/>
      <c r="AC3" s="700" t="s">
        <v>786</v>
      </c>
      <c r="AD3" s="700"/>
      <c r="AE3" s="700"/>
      <c r="AF3" s="700"/>
      <c r="AG3" s="700" t="s">
        <v>787</v>
      </c>
      <c r="AH3" s="700"/>
      <c r="AI3" s="700"/>
      <c r="AJ3" s="700"/>
      <c r="AK3" s="700"/>
      <c r="AL3" s="700"/>
      <c r="AM3" s="700"/>
    </row>
    <row r="4" spans="1:39" s="144" customFormat="1" ht="39">
      <c r="A4" s="144" t="s">
        <v>52</v>
      </c>
      <c r="B4" s="144" t="s">
        <v>50</v>
      </c>
      <c r="C4" s="134" t="s">
        <v>59</v>
      </c>
      <c r="D4" s="112" t="s">
        <v>153</v>
      </c>
      <c r="E4" s="134" t="s">
        <v>49</v>
      </c>
      <c r="F4" s="143" t="s">
        <v>35</v>
      </c>
      <c r="G4" s="112" t="s">
        <v>37</v>
      </c>
      <c r="H4" s="143" t="s">
        <v>35</v>
      </c>
      <c r="I4" s="245" t="s">
        <v>51</v>
      </c>
      <c r="J4" s="144" t="s">
        <v>35</v>
      </c>
      <c r="K4" s="84" t="s">
        <v>61</v>
      </c>
      <c r="L4" s="139" t="s">
        <v>35</v>
      </c>
      <c r="M4" s="156" t="s">
        <v>280</v>
      </c>
      <c r="N4" s="245" t="s">
        <v>92</v>
      </c>
      <c r="O4" s="143" t="s">
        <v>35</v>
      </c>
      <c r="P4" s="147" t="s">
        <v>38</v>
      </c>
      <c r="Q4" s="147" t="s">
        <v>39</v>
      </c>
      <c r="R4" s="147" t="s">
        <v>40</v>
      </c>
      <c r="S4" s="147" t="s">
        <v>41</v>
      </c>
      <c r="T4" s="148" t="s">
        <v>42</v>
      </c>
      <c r="U4" s="148" t="s">
        <v>228</v>
      </c>
      <c r="V4" s="56" t="s">
        <v>38</v>
      </c>
      <c r="W4" s="56" t="s">
        <v>39</v>
      </c>
      <c r="X4" s="56" t="s">
        <v>40</v>
      </c>
      <c r="Y4" s="56" t="s">
        <v>41</v>
      </c>
      <c r="Z4" s="57" t="s">
        <v>42</v>
      </c>
      <c r="AA4" s="57" t="s">
        <v>228</v>
      </c>
      <c r="AB4" s="111" t="s">
        <v>87</v>
      </c>
      <c r="AC4" s="701"/>
      <c r="AD4" s="701"/>
      <c r="AE4" s="701"/>
      <c r="AF4" s="701"/>
      <c r="AG4" s="10"/>
      <c r="AH4" s="10" t="s">
        <v>788</v>
      </c>
      <c r="AI4" s="10"/>
      <c r="AJ4" s="10"/>
      <c r="AK4" s="10"/>
      <c r="AL4" s="10"/>
      <c r="AM4" s="10"/>
    </row>
    <row r="5" spans="1:39" ht="88">
      <c r="A5" t="s">
        <v>186</v>
      </c>
      <c r="C5" s="12" t="s">
        <v>187</v>
      </c>
      <c r="D5" s="111"/>
      <c r="F5" s="3"/>
      <c r="G5" s="76"/>
      <c r="H5" s="3"/>
      <c r="I5" s="247"/>
      <c r="K5" s="113"/>
      <c r="L5" s="3"/>
      <c r="M5" s="14"/>
      <c r="N5" s="247"/>
      <c r="O5" s="3"/>
      <c r="P5" s="127"/>
      <c r="Q5" s="127"/>
      <c r="R5" s="127"/>
      <c r="S5" s="127"/>
      <c r="T5" s="127"/>
      <c r="U5" s="127"/>
      <c r="V5" s="58"/>
      <c r="W5" s="58"/>
      <c r="X5" s="58"/>
      <c r="Y5" s="58"/>
      <c r="Z5" s="58"/>
      <c r="AA5" s="58"/>
      <c r="AB5" s="76"/>
      <c r="AC5" s="702" t="s">
        <v>780</v>
      </c>
      <c r="AD5" s="701"/>
      <c r="AE5" s="702" t="s">
        <v>781</v>
      </c>
      <c r="AF5" s="701"/>
      <c r="AG5" s="84" t="s">
        <v>789</v>
      </c>
      <c r="AH5" s="56" t="s">
        <v>38</v>
      </c>
      <c r="AI5" s="56" t="s">
        <v>39</v>
      </c>
      <c r="AJ5" s="56" t="s">
        <v>40</v>
      </c>
      <c r="AK5" s="56" t="s">
        <v>41</v>
      </c>
      <c r="AL5" s="57" t="s">
        <v>42</v>
      </c>
      <c r="AM5" s="57" t="s">
        <v>228</v>
      </c>
    </row>
    <row r="6" spans="1:39" ht="13">
      <c r="B6" t="s">
        <v>188</v>
      </c>
      <c r="C6" s="26" t="s">
        <v>367</v>
      </c>
      <c r="D6" s="111"/>
      <c r="E6" s="3"/>
      <c r="F6" s="3"/>
      <c r="G6" s="336"/>
      <c r="H6" s="36"/>
      <c r="I6" s="332"/>
      <c r="J6" s="9"/>
      <c r="K6" s="340">
        <f>K7+K19</f>
        <v>0</v>
      </c>
      <c r="L6" s="3" t="s">
        <v>36</v>
      </c>
      <c r="M6" s="341" t="s">
        <v>367</v>
      </c>
      <c r="N6" s="252"/>
      <c r="O6" s="3"/>
      <c r="P6" s="284"/>
      <c r="Q6" s="284"/>
      <c r="R6" s="284"/>
      <c r="S6" s="284"/>
      <c r="T6" s="284"/>
      <c r="U6" s="284"/>
      <c r="V6" s="114">
        <f t="shared" ref="V6:AA6" si="0">SUM(V7:V30)</f>
        <v>0</v>
      </c>
      <c r="W6" s="114">
        <f t="shared" si="0"/>
        <v>0</v>
      </c>
      <c r="X6" s="114">
        <f t="shared" si="0"/>
        <v>0</v>
      </c>
      <c r="Y6" s="114">
        <f t="shared" si="0"/>
        <v>0</v>
      </c>
      <c r="Z6" s="114">
        <f t="shared" si="0"/>
        <v>0</v>
      </c>
      <c r="AA6" s="114">
        <f t="shared" si="0"/>
        <v>0</v>
      </c>
      <c r="AB6" s="76"/>
      <c r="AC6" s="701"/>
      <c r="AD6" s="701"/>
      <c r="AE6" s="701"/>
      <c r="AF6" s="701"/>
      <c r="AG6" s="114">
        <f>SUM(AG7:AG25)</f>
        <v>0</v>
      </c>
      <c r="AH6" s="114" t="e">
        <f t="shared" ref="AH6:AM6" si="1">SUM(AH7:AH25)</f>
        <v>#DIV/0!</v>
      </c>
      <c r="AI6" s="114" t="e">
        <f t="shared" si="1"/>
        <v>#DIV/0!</v>
      </c>
      <c r="AJ6" s="114" t="e">
        <f t="shared" si="1"/>
        <v>#DIV/0!</v>
      </c>
      <c r="AK6" s="114" t="e">
        <f t="shared" si="1"/>
        <v>#DIV/0!</v>
      </c>
      <c r="AL6" s="114" t="e">
        <f t="shared" si="1"/>
        <v>#DIV/0!</v>
      </c>
      <c r="AM6" s="114" t="e">
        <f t="shared" si="1"/>
        <v>#DIV/0!</v>
      </c>
    </row>
    <row r="7" spans="1:39" ht="38">
      <c r="C7" s="26" t="s">
        <v>690</v>
      </c>
      <c r="D7" s="111"/>
      <c r="E7" s="36" t="s">
        <v>692</v>
      </c>
      <c r="F7" s="36" t="s">
        <v>379</v>
      </c>
      <c r="G7" s="336">
        <v>0.11</v>
      </c>
      <c r="H7" s="36" t="s">
        <v>379</v>
      </c>
      <c r="I7" s="248">
        <f>'Paso 3-Metales-Materias primas'!C$26*('Paso 3-Metales-Materias primas'!G30+'Paso 3-Metales-Materias primas'!H30+'Paso 3-Metales-Materias primas'!I30+'Paso 3-Metales-Materias primas'!J30+'Paso 3-Metales-Materias primas'!K30)/100</f>
        <v>0</v>
      </c>
      <c r="J7" s="9" t="s">
        <v>328</v>
      </c>
      <c r="K7" s="649">
        <f>I7*G7/1000+SUM(K9:K13)</f>
        <v>0</v>
      </c>
      <c r="L7" s="648" t="s">
        <v>754</v>
      </c>
      <c r="M7" s="14" t="s">
        <v>734</v>
      </c>
      <c r="N7" s="634">
        <f>$K$6*'Paso 3-Metales-Materias primas'!G$28/100</f>
        <v>0</v>
      </c>
      <c r="O7" s="3" t="s">
        <v>36</v>
      </c>
      <c r="P7" s="284">
        <v>0.8</v>
      </c>
      <c r="Q7" s="284"/>
      <c r="R7" s="284"/>
      <c r="S7" s="284">
        <v>0.2</v>
      </c>
      <c r="T7" s="284"/>
      <c r="U7" s="284"/>
      <c r="V7" s="635">
        <f t="shared" ref="V7:AA17" si="2">$N7*P7</f>
        <v>0</v>
      </c>
      <c r="W7" s="635">
        <f t="shared" si="2"/>
        <v>0</v>
      </c>
      <c r="X7" s="635">
        <f t="shared" si="2"/>
        <v>0</v>
      </c>
      <c r="Y7" s="635">
        <f t="shared" si="2"/>
        <v>0</v>
      </c>
      <c r="Z7" s="635">
        <f t="shared" si="2"/>
        <v>0</v>
      </c>
      <c r="AA7" s="635">
        <f t="shared" si="2"/>
        <v>0</v>
      </c>
      <c r="AB7" s="76"/>
      <c r="AC7" s="701"/>
      <c r="AD7" s="701"/>
      <c r="AE7" s="701"/>
      <c r="AF7" s="701"/>
      <c r="AG7" s="701"/>
      <c r="AH7" s="701"/>
      <c r="AI7" s="701"/>
      <c r="AJ7" s="701"/>
      <c r="AK7" s="701"/>
      <c r="AL7" s="701"/>
      <c r="AM7" s="701"/>
    </row>
    <row r="8" spans="1:39" ht="97.25" customHeight="1">
      <c r="C8" s="636" t="s">
        <v>775</v>
      </c>
      <c r="D8" s="111"/>
      <c r="E8" s="637"/>
      <c r="F8" s="638"/>
      <c r="G8" s="639"/>
      <c r="H8" s="232"/>
      <c r="I8" s="640"/>
      <c r="J8" s="9"/>
      <c r="K8" s="641"/>
      <c r="L8" s="3"/>
      <c r="M8" s="32" t="s">
        <v>735</v>
      </c>
      <c r="N8" s="634"/>
      <c r="O8" s="3"/>
      <c r="P8" s="284"/>
      <c r="Q8" s="284"/>
      <c r="R8" s="284"/>
      <c r="S8" s="284"/>
      <c r="T8" s="284"/>
      <c r="U8" s="284"/>
      <c r="V8" s="635"/>
      <c r="W8" s="635"/>
      <c r="X8" s="635"/>
      <c r="Y8" s="635"/>
      <c r="Z8" s="635"/>
      <c r="AA8" s="635"/>
      <c r="AB8" s="76"/>
      <c r="AC8" s="702"/>
      <c r="AD8" s="701"/>
      <c r="AE8" s="702"/>
      <c r="AF8" s="701"/>
      <c r="AG8" s="701"/>
      <c r="AH8" s="701"/>
      <c r="AI8" s="701"/>
      <c r="AJ8" s="701"/>
      <c r="AK8" s="701"/>
      <c r="AL8" s="701"/>
      <c r="AM8" s="701"/>
    </row>
    <row r="9" spans="1:39" ht="38">
      <c r="C9" s="593" t="s">
        <v>742</v>
      </c>
      <c r="D9" s="111"/>
      <c r="E9" s="642" t="s">
        <v>743</v>
      </c>
      <c r="F9" s="643" t="s">
        <v>744</v>
      </c>
      <c r="G9" s="644">
        <v>2E-3</v>
      </c>
      <c r="H9" s="638" t="s">
        <v>379</v>
      </c>
      <c r="I9" s="640">
        <f>0.2*$I$7</f>
        <v>0</v>
      </c>
      <c r="J9" s="594" t="s">
        <v>745</v>
      </c>
      <c r="K9" s="654">
        <f>I9*G9/1000</f>
        <v>0</v>
      </c>
      <c r="L9" s="638" t="s">
        <v>36</v>
      </c>
      <c r="M9" s="631" t="s">
        <v>736</v>
      </c>
      <c r="N9" s="634"/>
      <c r="O9" s="3" t="s">
        <v>36</v>
      </c>
      <c r="P9" s="284">
        <v>0.6</v>
      </c>
      <c r="Q9" s="284"/>
      <c r="R9" s="284"/>
      <c r="S9" s="284">
        <v>0.2</v>
      </c>
      <c r="T9" s="284"/>
      <c r="U9" s="284">
        <v>0.2</v>
      </c>
      <c r="V9" s="635">
        <f t="shared" si="2"/>
        <v>0</v>
      </c>
      <c r="W9" s="635">
        <f t="shared" si="2"/>
        <v>0</v>
      </c>
      <c r="X9" s="635">
        <f t="shared" si="2"/>
        <v>0</v>
      </c>
      <c r="Y9" s="635">
        <f t="shared" si="2"/>
        <v>0</v>
      </c>
      <c r="Z9" s="635">
        <f t="shared" si="2"/>
        <v>0</v>
      </c>
      <c r="AA9" s="635">
        <f t="shared" si="2"/>
        <v>0</v>
      </c>
      <c r="AB9" s="76"/>
      <c r="AC9" s="703">
        <v>0.09</v>
      </c>
      <c r="AD9" s="704" t="s">
        <v>782</v>
      </c>
      <c r="AE9" s="705">
        <f>ROUND(I9*AC9,-3)</f>
        <v>0</v>
      </c>
      <c r="AF9" s="706" t="s">
        <v>783</v>
      </c>
      <c r="AG9" s="701">
        <f>K9</f>
        <v>0</v>
      </c>
      <c r="AH9" s="701" t="e">
        <f>$AG9*(V$6/$K$6)</f>
        <v>#DIV/0!</v>
      </c>
      <c r="AI9" s="701" t="e">
        <f t="shared" ref="AI9:AM9" si="3">$AG9*(W$6/$K$6)</f>
        <v>#DIV/0!</v>
      </c>
      <c r="AJ9" s="701" t="e">
        <f t="shared" si="3"/>
        <v>#DIV/0!</v>
      </c>
      <c r="AK9" s="701" t="e">
        <f t="shared" si="3"/>
        <v>#DIV/0!</v>
      </c>
      <c r="AL9" s="701" t="e">
        <f t="shared" si="3"/>
        <v>#DIV/0!</v>
      </c>
      <c r="AM9" s="701" t="e">
        <f t="shared" si="3"/>
        <v>#DIV/0!</v>
      </c>
    </row>
    <row r="10" spans="1:39" ht="38">
      <c r="C10" s="594" t="s">
        <v>746</v>
      </c>
      <c r="D10" s="111"/>
      <c r="E10" s="642" t="s">
        <v>747</v>
      </c>
      <c r="F10" s="643" t="s">
        <v>744</v>
      </c>
      <c r="G10" s="646">
        <v>1.6E-2</v>
      </c>
      <c r="H10" s="638" t="s">
        <v>379</v>
      </c>
      <c r="I10" s="640">
        <f t="shared" ref="I10:I13" si="4">0.2*$I$7</f>
        <v>0</v>
      </c>
      <c r="J10" s="594" t="s">
        <v>745</v>
      </c>
      <c r="K10" s="654">
        <f>I10*G10/1000</f>
        <v>0</v>
      </c>
      <c r="L10" s="638" t="s">
        <v>36</v>
      </c>
      <c r="M10" s="631" t="s">
        <v>737</v>
      </c>
      <c r="N10" s="634"/>
      <c r="O10" s="3" t="s">
        <v>36</v>
      </c>
      <c r="P10" s="284">
        <v>0.4</v>
      </c>
      <c r="Q10" s="284"/>
      <c r="R10" s="284"/>
      <c r="S10" s="284">
        <v>0.2</v>
      </c>
      <c r="T10" s="284"/>
      <c r="U10" s="284">
        <v>0.4</v>
      </c>
      <c r="V10" s="635">
        <f t="shared" si="2"/>
        <v>0</v>
      </c>
      <c r="W10" s="635">
        <f t="shared" si="2"/>
        <v>0</v>
      </c>
      <c r="X10" s="635">
        <f t="shared" si="2"/>
        <v>0</v>
      </c>
      <c r="Y10" s="635">
        <f t="shared" si="2"/>
        <v>0</v>
      </c>
      <c r="Z10" s="635">
        <f t="shared" si="2"/>
        <v>0</v>
      </c>
      <c r="AA10" s="635">
        <f t="shared" si="2"/>
        <v>0</v>
      </c>
      <c r="AB10" s="76"/>
      <c r="AC10" s="703">
        <v>0.10571428571428573</v>
      </c>
      <c r="AD10" s="704" t="s">
        <v>782</v>
      </c>
      <c r="AE10" s="705">
        <f>ROUND(I10*AC10,-3)</f>
        <v>0</v>
      </c>
      <c r="AF10" s="706" t="s">
        <v>783</v>
      </c>
      <c r="AG10" s="701">
        <f t="shared" ref="AG10:AG13" si="5">K10</f>
        <v>0</v>
      </c>
      <c r="AH10" s="701" t="e">
        <f t="shared" ref="AH10:AH13" si="6">$AG10*(V$6/$K$6)</f>
        <v>#DIV/0!</v>
      </c>
      <c r="AI10" s="701" t="e">
        <f t="shared" ref="AI10:AI13" si="7">$AG10*(W$6/$K$6)</f>
        <v>#DIV/0!</v>
      </c>
      <c r="AJ10" s="701" t="e">
        <f t="shared" ref="AJ10:AJ13" si="8">$AG10*(X$6/$K$6)</f>
        <v>#DIV/0!</v>
      </c>
      <c r="AK10" s="701" t="e">
        <f t="shared" ref="AK10:AK13" si="9">$AG10*(Y$6/$K$6)</f>
        <v>#DIV/0!</v>
      </c>
      <c r="AL10" s="701" t="e">
        <f t="shared" ref="AL10:AL13" si="10">$AG10*(Z$6/$K$6)</f>
        <v>#DIV/0!</v>
      </c>
      <c r="AM10" s="701" t="e">
        <f t="shared" ref="AM10:AM13" si="11">$AG10*(AA$6/$K$6)</f>
        <v>#DIV/0!</v>
      </c>
    </row>
    <row r="11" spans="1:39" ht="38">
      <c r="C11" s="593" t="s">
        <v>748</v>
      </c>
      <c r="D11" s="111"/>
      <c r="E11" s="642" t="s">
        <v>763</v>
      </c>
      <c r="F11" s="643" t="s">
        <v>744</v>
      </c>
      <c r="G11" s="644">
        <v>1.7000000000000001E-2</v>
      </c>
      <c r="H11" s="638" t="s">
        <v>379</v>
      </c>
      <c r="I11" s="640">
        <f t="shared" si="4"/>
        <v>0</v>
      </c>
      <c r="J11" s="594" t="s">
        <v>745</v>
      </c>
      <c r="K11" s="654">
        <f>I11*G11/1000</f>
        <v>0</v>
      </c>
      <c r="L11" s="638" t="s">
        <v>36</v>
      </c>
      <c r="M11" s="631" t="s">
        <v>738</v>
      </c>
      <c r="N11" s="634"/>
      <c r="O11" s="3" t="s">
        <v>36</v>
      </c>
      <c r="P11" s="284">
        <v>0.2</v>
      </c>
      <c r="Q11" s="284"/>
      <c r="R11" s="284"/>
      <c r="S11" s="284">
        <v>0.2</v>
      </c>
      <c r="T11" s="284"/>
      <c r="U11" s="284">
        <v>0.6</v>
      </c>
      <c r="V11" s="635">
        <f t="shared" si="2"/>
        <v>0</v>
      </c>
      <c r="W11" s="635">
        <f t="shared" si="2"/>
        <v>0</v>
      </c>
      <c r="X11" s="635">
        <f t="shared" si="2"/>
        <v>0</v>
      </c>
      <c r="Y11" s="635">
        <f t="shared" si="2"/>
        <v>0</v>
      </c>
      <c r="Z11" s="635">
        <f t="shared" si="2"/>
        <v>0</v>
      </c>
      <c r="AA11" s="635">
        <f t="shared" si="2"/>
        <v>0</v>
      </c>
      <c r="AB11" s="76"/>
      <c r="AC11" s="703">
        <v>0.17411764705882354</v>
      </c>
      <c r="AD11" s="704" t="s">
        <v>782</v>
      </c>
      <c r="AE11" s="705">
        <f>ROUND(I11*AC11,-3)</f>
        <v>0</v>
      </c>
      <c r="AF11" s="706" t="s">
        <v>783</v>
      </c>
      <c r="AG11" s="701">
        <f t="shared" si="5"/>
        <v>0</v>
      </c>
      <c r="AH11" s="701" t="e">
        <f t="shared" si="6"/>
        <v>#DIV/0!</v>
      </c>
      <c r="AI11" s="701" t="e">
        <f t="shared" si="7"/>
        <v>#DIV/0!</v>
      </c>
      <c r="AJ11" s="701" t="e">
        <f t="shared" si="8"/>
        <v>#DIV/0!</v>
      </c>
      <c r="AK11" s="701" t="e">
        <f t="shared" si="9"/>
        <v>#DIV/0!</v>
      </c>
      <c r="AL11" s="701" t="e">
        <f t="shared" si="10"/>
        <v>#DIV/0!</v>
      </c>
      <c r="AM11" s="701" t="e">
        <f t="shared" si="11"/>
        <v>#DIV/0!</v>
      </c>
    </row>
    <row r="12" spans="1:39" ht="38">
      <c r="C12" s="593" t="s">
        <v>749</v>
      </c>
      <c r="D12" s="111"/>
      <c r="E12" s="642" t="s">
        <v>764</v>
      </c>
      <c r="F12" s="643" t="s">
        <v>744</v>
      </c>
      <c r="G12" s="644">
        <v>1E-3</v>
      </c>
      <c r="H12" s="638" t="s">
        <v>379</v>
      </c>
      <c r="I12" s="640">
        <f t="shared" si="4"/>
        <v>0</v>
      </c>
      <c r="J12" s="594" t="s">
        <v>745</v>
      </c>
      <c r="K12" s="654">
        <f>I12*G12/1000</f>
        <v>0</v>
      </c>
      <c r="L12" s="638" t="s">
        <v>36</v>
      </c>
      <c r="M12" s="631" t="s">
        <v>739</v>
      </c>
      <c r="N12" s="634"/>
      <c r="O12" s="3" t="s">
        <v>36</v>
      </c>
      <c r="P12" s="284">
        <v>0.04</v>
      </c>
      <c r="Q12" s="284"/>
      <c r="R12" s="284"/>
      <c r="S12" s="284">
        <v>0.2</v>
      </c>
      <c r="T12" s="284"/>
      <c r="U12" s="284">
        <v>0.76</v>
      </c>
      <c r="V12" s="635">
        <f t="shared" si="2"/>
        <v>0</v>
      </c>
      <c r="W12" s="635">
        <f t="shared" si="2"/>
        <v>0</v>
      </c>
      <c r="X12" s="635">
        <f t="shared" si="2"/>
        <v>0</v>
      </c>
      <c r="Y12" s="635">
        <f t="shared" si="2"/>
        <v>0</v>
      </c>
      <c r="Z12" s="635">
        <f t="shared" si="2"/>
        <v>0</v>
      </c>
      <c r="AA12" s="635">
        <f t="shared" si="2"/>
        <v>0</v>
      </c>
      <c r="AB12" s="76"/>
      <c r="AC12" s="703">
        <v>7.0000000000000007E-2</v>
      </c>
      <c r="AD12" s="704" t="s">
        <v>782</v>
      </c>
      <c r="AE12" s="705">
        <f>ROUND(I12*AC12,-3)</f>
        <v>0</v>
      </c>
      <c r="AF12" s="706" t="s">
        <v>783</v>
      </c>
      <c r="AG12" s="701">
        <f t="shared" si="5"/>
        <v>0</v>
      </c>
      <c r="AH12" s="701" t="e">
        <f t="shared" si="6"/>
        <v>#DIV/0!</v>
      </c>
      <c r="AI12" s="701" t="e">
        <f t="shared" si="7"/>
        <v>#DIV/0!</v>
      </c>
      <c r="AJ12" s="701" t="e">
        <f t="shared" si="8"/>
        <v>#DIV/0!</v>
      </c>
      <c r="AK12" s="701" t="e">
        <f t="shared" si="9"/>
        <v>#DIV/0!</v>
      </c>
      <c r="AL12" s="701" t="e">
        <f t="shared" si="10"/>
        <v>#DIV/0!</v>
      </c>
      <c r="AM12" s="701" t="e">
        <f t="shared" si="11"/>
        <v>#DIV/0!</v>
      </c>
    </row>
    <row r="13" spans="1:39" ht="38">
      <c r="C13" s="593" t="s">
        <v>751</v>
      </c>
      <c r="D13" s="111"/>
      <c r="E13" s="643" t="s">
        <v>752</v>
      </c>
      <c r="F13" s="643" t="s">
        <v>744</v>
      </c>
      <c r="G13" s="644">
        <v>2.0000000000000002E-5</v>
      </c>
      <c r="H13" s="638" t="s">
        <v>379</v>
      </c>
      <c r="I13" s="640">
        <f t="shared" si="4"/>
        <v>0</v>
      </c>
      <c r="J13" s="594" t="s">
        <v>745</v>
      </c>
      <c r="K13" s="654">
        <f>I13*G13/1000</f>
        <v>0</v>
      </c>
      <c r="L13" s="638" t="s">
        <v>36</v>
      </c>
      <c r="M13" s="32" t="s">
        <v>740</v>
      </c>
      <c r="N13" s="634"/>
      <c r="O13" s="3" t="s">
        <v>36</v>
      </c>
      <c r="P13" s="284"/>
      <c r="Q13" s="284"/>
      <c r="R13" s="284"/>
      <c r="S13" s="284"/>
      <c r="T13" s="284"/>
      <c r="U13" s="284"/>
      <c r="V13" s="635">
        <f t="shared" si="2"/>
        <v>0</v>
      </c>
      <c r="W13" s="635">
        <f t="shared" si="2"/>
        <v>0</v>
      </c>
      <c r="X13" s="635">
        <f t="shared" si="2"/>
        <v>0</v>
      </c>
      <c r="Y13" s="635">
        <f t="shared" si="2"/>
        <v>0</v>
      </c>
      <c r="Z13" s="635">
        <f t="shared" si="2"/>
        <v>0</v>
      </c>
      <c r="AA13" s="635">
        <f t="shared" si="2"/>
        <v>0</v>
      </c>
      <c r="AB13" s="76"/>
      <c r="AC13" s="703">
        <v>75.897435897435898</v>
      </c>
      <c r="AD13" s="702" t="s">
        <v>784</v>
      </c>
      <c r="AE13" s="705">
        <f>ROUND(I13*AC13,-5)</f>
        <v>0</v>
      </c>
      <c r="AF13" s="706" t="s">
        <v>785</v>
      </c>
      <c r="AG13" s="701">
        <f t="shared" si="5"/>
        <v>0</v>
      </c>
      <c r="AH13" s="701" t="e">
        <f t="shared" si="6"/>
        <v>#DIV/0!</v>
      </c>
      <c r="AI13" s="701" t="e">
        <f t="shared" si="7"/>
        <v>#DIV/0!</v>
      </c>
      <c r="AJ13" s="701" t="e">
        <f t="shared" si="8"/>
        <v>#DIV/0!</v>
      </c>
      <c r="AK13" s="701" t="e">
        <f t="shared" si="9"/>
        <v>#DIV/0!</v>
      </c>
      <c r="AL13" s="701" t="e">
        <f t="shared" si="10"/>
        <v>#DIV/0!</v>
      </c>
      <c r="AM13" s="701" t="e">
        <f t="shared" si="11"/>
        <v>#DIV/0!</v>
      </c>
    </row>
    <row r="14" spans="1:39" ht="50.5">
      <c r="C14" s="593"/>
      <c r="D14" s="111"/>
      <c r="E14" s="642"/>
      <c r="F14" s="643"/>
      <c r="G14" s="644"/>
      <c r="H14" s="638"/>
      <c r="I14" s="647">
        <f>SUM(I9:I13)</f>
        <v>0</v>
      </c>
      <c r="J14" s="594" t="s">
        <v>753</v>
      </c>
      <c r="K14" s="645"/>
      <c r="L14" s="638"/>
      <c r="M14" s="631" t="s">
        <v>736</v>
      </c>
      <c r="N14" s="634">
        <f>$K$6*'Paso 3-Metales-Materias primas'!H$28/100</f>
        <v>0</v>
      </c>
      <c r="O14" s="3" t="s">
        <v>36</v>
      </c>
      <c r="P14" s="284">
        <v>0.7</v>
      </c>
      <c r="Q14" s="284"/>
      <c r="R14" s="284"/>
      <c r="S14" s="284">
        <v>0.3</v>
      </c>
      <c r="T14" s="284"/>
      <c r="U14" s="284"/>
      <c r="V14" s="635">
        <f t="shared" si="2"/>
        <v>0</v>
      </c>
      <c r="W14" s="635">
        <f t="shared" si="2"/>
        <v>0</v>
      </c>
      <c r="X14" s="635">
        <f t="shared" si="2"/>
        <v>0</v>
      </c>
      <c r="Y14" s="635">
        <f t="shared" si="2"/>
        <v>0</v>
      </c>
      <c r="Z14" s="635">
        <f t="shared" si="2"/>
        <v>0</v>
      </c>
      <c r="AA14" s="635">
        <f t="shared" si="2"/>
        <v>0</v>
      </c>
      <c r="AB14" s="76"/>
      <c r="AC14" s="703"/>
      <c r="AD14" s="701"/>
      <c r="AE14" s="701"/>
      <c r="AF14" s="701"/>
      <c r="AG14" s="701"/>
      <c r="AH14" s="701"/>
      <c r="AI14" s="701"/>
      <c r="AJ14" s="701"/>
      <c r="AK14" s="701"/>
      <c r="AL14" s="701"/>
      <c r="AM14" s="701"/>
    </row>
    <row r="15" spans="1:39" ht="38">
      <c r="C15" s="26"/>
      <c r="D15" s="111"/>
      <c r="E15" s="36"/>
      <c r="F15" s="36"/>
      <c r="G15" s="336"/>
      <c r="H15" s="36"/>
      <c r="I15" s="248"/>
      <c r="J15" s="9"/>
      <c r="K15" s="172"/>
      <c r="L15" s="3"/>
      <c r="M15" s="631" t="s">
        <v>737</v>
      </c>
      <c r="N15" s="634">
        <f>$K$6*'Paso 3-Metales-Materias primas'!I$28/100</f>
        <v>0</v>
      </c>
      <c r="O15" s="3" t="s">
        <v>36</v>
      </c>
      <c r="P15" s="284">
        <v>0.6</v>
      </c>
      <c r="Q15" s="284"/>
      <c r="R15" s="284"/>
      <c r="S15" s="284">
        <v>0.4</v>
      </c>
      <c r="T15" s="284"/>
      <c r="U15" s="284"/>
      <c r="V15" s="635">
        <f t="shared" si="2"/>
        <v>0</v>
      </c>
      <c r="W15" s="635">
        <f t="shared" si="2"/>
        <v>0</v>
      </c>
      <c r="X15" s="635">
        <f t="shared" si="2"/>
        <v>0</v>
      </c>
      <c r="Y15" s="635">
        <f t="shared" si="2"/>
        <v>0</v>
      </c>
      <c r="Z15" s="635">
        <f t="shared" si="2"/>
        <v>0</v>
      </c>
      <c r="AA15" s="635">
        <f t="shared" si="2"/>
        <v>0</v>
      </c>
      <c r="AB15" s="76"/>
      <c r="AC15" s="703"/>
      <c r="AD15" s="701"/>
      <c r="AE15" s="701"/>
      <c r="AF15" s="701"/>
      <c r="AG15" s="701"/>
      <c r="AH15" s="701"/>
      <c r="AI15" s="701"/>
      <c r="AJ15" s="701"/>
      <c r="AK15" s="701"/>
      <c r="AL15" s="701"/>
      <c r="AM15" s="701"/>
    </row>
    <row r="16" spans="1:39" ht="38">
      <c r="C16" s="26"/>
      <c r="D16" s="111"/>
      <c r="E16" s="36"/>
      <c r="F16" s="36"/>
      <c r="G16" s="336"/>
      <c r="H16" s="36"/>
      <c r="I16" s="248"/>
      <c r="J16" s="9"/>
      <c r="K16" s="172"/>
      <c r="L16" s="3"/>
      <c r="M16" s="631" t="s">
        <v>738</v>
      </c>
      <c r="N16" s="634">
        <f>$K$6*'Paso 3-Metales-Materias primas'!J$28/100</f>
        <v>0</v>
      </c>
      <c r="O16" s="3" t="s">
        <v>36</v>
      </c>
      <c r="P16" s="284">
        <v>0.5</v>
      </c>
      <c r="Q16" s="284"/>
      <c r="R16" s="284"/>
      <c r="S16" s="284">
        <v>0.5</v>
      </c>
      <c r="T16" s="284"/>
      <c r="U16" s="284"/>
      <c r="V16" s="635">
        <f t="shared" si="2"/>
        <v>0</v>
      </c>
      <c r="W16" s="635">
        <f t="shared" si="2"/>
        <v>0</v>
      </c>
      <c r="X16" s="635">
        <f t="shared" si="2"/>
        <v>0</v>
      </c>
      <c r="Y16" s="635">
        <f t="shared" si="2"/>
        <v>0</v>
      </c>
      <c r="Z16" s="635">
        <f t="shared" si="2"/>
        <v>0</v>
      </c>
      <c r="AA16" s="635">
        <f t="shared" si="2"/>
        <v>0</v>
      </c>
      <c r="AB16" s="76"/>
      <c r="AC16" s="703"/>
      <c r="AD16" s="701"/>
      <c r="AE16" s="701"/>
      <c r="AF16" s="701"/>
      <c r="AG16" s="701"/>
      <c r="AH16" s="701"/>
      <c r="AI16" s="701"/>
      <c r="AJ16" s="701"/>
      <c r="AK16" s="701"/>
      <c r="AL16" s="701"/>
      <c r="AM16" s="701"/>
    </row>
    <row r="17" spans="2:39" ht="50.5">
      <c r="C17" s="26"/>
      <c r="D17" s="111"/>
      <c r="E17" s="36"/>
      <c r="F17" s="36"/>
      <c r="G17" s="336"/>
      <c r="H17" s="36"/>
      <c r="I17" s="248"/>
      <c r="J17" s="9"/>
      <c r="K17" s="172"/>
      <c r="L17" s="3"/>
      <c r="M17" s="631" t="s">
        <v>741</v>
      </c>
      <c r="N17" s="634">
        <f>$K$6*'Paso 3-Metales-Materias primas'!K$28/100</f>
        <v>0</v>
      </c>
      <c r="O17" s="3" t="s">
        <v>36</v>
      </c>
      <c r="P17" s="284">
        <v>0.04</v>
      </c>
      <c r="Q17" s="284"/>
      <c r="R17" s="284"/>
      <c r="S17" s="284">
        <v>0.5</v>
      </c>
      <c r="T17" s="284"/>
      <c r="U17" s="284">
        <v>0.46</v>
      </c>
      <c r="V17" s="635">
        <f t="shared" si="2"/>
        <v>0</v>
      </c>
      <c r="W17" s="635">
        <f t="shared" si="2"/>
        <v>0</v>
      </c>
      <c r="X17" s="635">
        <f t="shared" si="2"/>
        <v>0</v>
      </c>
      <c r="Y17" s="635">
        <f t="shared" si="2"/>
        <v>0</v>
      </c>
      <c r="Z17" s="635">
        <f t="shared" si="2"/>
        <v>0</v>
      </c>
      <c r="AA17" s="635">
        <f t="shared" si="2"/>
        <v>0</v>
      </c>
      <c r="AB17" s="76"/>
      <c r="AC17" s="703"/>
      <c r="AD17" s="701"/>
      <c r="AE17" s="701"/>
      <c r="AF17" s="701"/>
      <c r="AG17" s="701"/>
      <c r="AH17" s="701"/>
      <c r="AI17" s="701"/>
      <c r="AJ17" s="701"/>
      <c r="AK17" s="701"/>
      <c r="AL17" s="701"/>
      <c r="AM17" s="701"/>
    </row>
    <row r="18" spans="2:39" ht="13">
      <c r="C18" s="26"/>
      <c r="D18" s="111"/>
      <c r="E18" s="36"/>
      <c r="F18" s="36"/>
      <c r="G18" s="336"/>
      <c r="H18" s="36"/>
      <c r="I18" s="248"/>
      <c r="J18" s="9"/>
      <c r="K18" s="172"/>
      <c r="L18" s="3"/>
      <c r="M18" s="442"/>
      <c r="N18" s="252"/>
      <c r="O18" s="3"/>
      <c r="P18" s="284"/>
      <c r="Q18" s="284"/>
      <c r="R18" s="284"/>
      <c r="S18" s="284"/>
      <c r="T18" s="284"/>
      <c r="U18" s="284"/>
      <c r="V18" s="171"/>
      <c r="W18" s="171"/>
      <c r="X18" s="171"/>
      <c r="Y18" s="171"/>
      <c r="Z18" s="171"/>
      <c r="AA18" s="171"/>
      <c r="AB18" s="76"/>
      <c r="AC18" s="701"/>
      <c r="AD18" s="701"/>
      <c r="AE18" s="701"/>
      <c r="AF18" s="701"/>
      <c r="AG18" s="701"/>
      <c r="AH18" s="701"/>
      <c r="AI18" s="701"/>
      <c r="AJ18" s="701"/>
      <c r="AK18" s="701"/>
      <c r="AL18" s="701"/>
      <c r="AM18" s="701"/>
    </row>
    <row r="19" spans="2:39" ht="38">
      <c r="C19" s="26" t="s">
        <v>691</v>
      </c>
      <c r="D19" s="111"/>
      <c r="E19" s="278" t="s">
        <v>693</v>
      </c>
      <c r="F19" s="36" t="s">
        <v>379</v>
      </c>
      <c r="G19" s="336">
        <v>0.15</v>
      </c>
      <c r="H19" s="36" t="s">
        <v>379</v>
      </c>
      <c r="I19" s="248">
        <f>'Paso 3-Metales-Materias primas'!C$26*('Paso 3-Metales-Materias primas'!G28+'Paso 3-Metales-Materias primas'!H28+'Paso 3-Metales-Materias primas'!I28+'Paso 3-Metales-Materias primas'!J28+'Paso 3-Metales-Materias primas'!K28)/100</f>
        <v>0</v>
      </c>
      <c r="J19" s="9" t="s">
        <v>328</v>
      </c>
      <c r="K19" s="649">
        <f>I19*G19/1000+SUM(K21:K25)</f>
        <v>0</v>
      </c>
      <c r="L19" s="648" t="s">
        <v>754</v>
      </c>
      <c r="M19" s="14" t="s">
        <v>734</v>
      </c>
      <c r="N19" s="634">
        <f>$K$6*'Paso 3-Metales-Materias primas'!G$30/100</f>
        <v>0</v>
      </c>
      <c r="O19" s="3" t="s">
        <v>36</v>
      </c>
      <c r="P19" s="284">
        <v>0.8</v>
      </c>
      <c r="Q19" s="284"/>
      <c r="R19" s="284"/>
      <c r="S19" s="284">
        <v>0.2</v>
      </c>
      <c r="T19" s="284"/>
      <c r="U19" s="284"/>
      <c r="V19" s="635">
        <f t="shared" ref="V19:AA29" si="12">$N19*P19</f>
        <v>0</v>
      </c>
      <c r="W19" s="635">
        <f t="shared" si="12"/>
        <v>0</v>
      </c>
      <c r="X19" s="635">
        <f t="shared" si="12"/>
        <v>0</v>
      </c>
      <c r="Y19" s="635">
        <f t="shared" si="12"/>
        <v>0</v>
      </c>
      <c r="Z19" s="635">
        <f t="shared" si="12"/>
        <v>0</v>
      </c>
      <c r="AA19" s="635">
        <f t="shared" si="12"/>
        <v>0</v>
      </c>
      <c r="AB19" s="76"/>
      <c r="AC19" s="701"/>
      <c r="AD19" s="701"/>
      <c r="AE19" s="701"/>
      <c r="AF19" s="701"/>
      <c r="AG19" s="701"/>
      <c r="AH19" s="701"/>
      <c r="AI19" s="701"/>
      <c r="AJ19" s="701"/>
      <c r="AK19" s="701"/>
      <c r="AL19" s="701"/>
      <c r="AM19" s="701"/>
    </row>
    <row r="20" spans="2:39" ht="88">
      <c r="C20" s="636" t="s">
        <v>765</v>
      </c>
      <c r="D20" s="111"/>
      <c r="E20" s="637"/>
      <c r="F20" s="638"/>
      <c r="G20" s="639"/>
      <c r="H20" s="232"/>
      <c r="I20" s="253"/>
      <c r="J20" s="9"/>
      <c r="K20" s="641"/>
      <c r="L20" s="3"/>
      <c r="M20" s="32" t="s">
        <v>735</v>
      </c>
      <c r="N20" s="634"/>
      <c r="O20" s="3" t="s">
        <v>36</v>
      </c>
      <c r="P20" s="284"/>
      <c r="Q20" s="284"/>
      <c r="R20" s="284"/>
      <c r="S20" s="284"/>
      <c r="T20" s="284"/>
      <c r="U20" s="284"/>
      <c r="V20" s="635">
        <f t="shared" si="12"/>
        <v>0</v>
      </c>
      <c r="W20" s="635">
        <f t="shared" si="12"/>
        <v>0</v>
      </c>
      <c r="X20" s="635">
        <f t="shared" si="12"/>
        <v>0</v>
      </c>
      <c r="Y20" s="635">
        <f t="shared" si="12"/>
        <v>0</v>
      </c>
      <c r="Z20" s="635">
        <f t="shared" si="12"/>
        <v>0</v>
      </c>
      <c r="AA20" s="635">
        <f t="shared" si="12"/>
        <v>0</v>
      </c>
      <c r="AB20" s="76"/>
      <c r="AC20" s="702" t="s">
        <v>780</v>
      </c>
      <c r="AD20" s="701"/>
      <c r="AE20" s="702" t="s">
        <v>781</v>
      </c>
      <c r="AF20" s="701"/>
      <c r="AG20" s="701"/>
      <c r="AH20" s="701"/>
      <c r="AI20" s="701"/>
      <c r="AJ20" s="701"/>
      <c r="AK20" s="701"/>
      <c r="AL20" s="701"/>
      <c r="AM20" s="701"/>
    </row>
    <row r="21" spans="2:39" ht="38">
      <c r="C21" s="593" t="s">
        <v>742</v>
      </c>
      <c r="D21" s="111"/>
      <c r="E21" s="642" t="s">
        <v>750</v>
      </c>
      <c r="F21" s="643" t="s">
        <v>744</v>
      </c>
      <c r="G21" s="644">
        <v>2E-3</v>
      </c>
      <c r="H21" s="638" t="s">
        <v>379</v>
      </c>
      <c r="I21" s="640">
        <f>0.2*$I$19</f>
        <v>0</v>
      </c>
      <c r="J21" s="594" t="s">
        <v>745</v>
      </c>
      <c r="K21" s="654">
        <f>I21*G21/1000</f>
        <v>0</v>
      </c>
      <c r="L21" s="638" t="s">
        <v>36</v>
      </c>
      <c r="M21" s="631" t="s">
        <v>736</v>
      </c>
      <c r="N21" s="634"/>
      <c r="O21" s="3" t="s">
        <v>36</v>
      </c>
      <c r="P21" s="284">
        <v>0.6</v>
      </c>
      <c r="Q21" s="284"/>
      <c r="R21" s="284"/>
      <c r="S21" s="284">
        <v>0.2</v>
      </c>
      <c r="T21" s="284"/>
      <c r="U21" s="284">
        <v>0.2</v>
      </c>
      <c r="V21" s="635">
        <f t="shared" si="12"/>
        <v>0</v>
      </c>
      <c r="W21" s="635">
        <f t="shared" si="12"/>
        <v>0</v>
      </c>
      <c r="X21" s="635">
        <f t="shared" si="12"/>
        <v>0</v>
      </c>
      <c r="Y21" s="635">
        <f t="shared" si="12"/>
        <v>0</v>
      </c>
      <c r="Z21" s="635">
        <f t="shared" si="12"/>
        <v>0</v>
      </c>
      <c r="AA21" s="635">
        <f t="shared" si="12"/>
        <v>0</v>
      </c>
      <c r="AB21" s="76"/>
      <c r="AC21" s="703">
        <v>0.09</v>
      </c>
      <c r="AD21" s="704" t="s">
        <v>782</v>
      </c>
      <c r="AE21" s="705">
        <f>ROUND(I21*AC21,-3)</f>
        <v>0</v>
      </c>
      <c r="AF21" s="706" t="s">
        <v>783</v>
      </c>
      <c r="AG21" s="701">
        <f>K21</f>
        <v>0</v>
      </c>
      <c r="AH21" s="701" t="e">
        <f>$AG21*(V$6/$K$6)</f>
        <v>#DIV/0!</v>
      </c>
      <c r="AI21" s="701" t="e">
        <f t="shared" ref="AI21:AI25" si="13">$AG21*(W$6/$K$6)</f>
        <v>#DIV/0!</v>
      </c>
      <c r="AJ21" s="701" t="e">
        <f t="shared" ref="AJ21:AJ25" si="14">$AG21*(X$6/$K$6)</f>
        <v>#DIV/0!</v>
      </c>
      <c r="AK21" s="701" t="e">
        <f t="shared" ref="AK21:AK25" si="15">$AG21*(Y$6/$K$6)</f>
        <v>#DIV/0!</v>
      </c>
      <c r="AL21" s="701" t="e">
        <f t="shared" ref="AL21:AL25" si="16">$AG21*(Z$6/$K$6)</f>
        <v>#DIV/0!</v>
      </c>
      <c r="AM21" s="701" t="e">
        <f t="shared" ref="AM21:AM25" si="17">$AG21*(AA$6/$K$6)</f>
        <v>#DIV/0!</v>
      </c>
    </row>
    <row r="22" spans="2:39" ht="38">
      <c r="C22" s="594" t="s">
        <v>746</v>
      </c>
      <c r="D22" s="111"/>
      <c r="E22" s="642" t="s">
        <v>755</v>
      </c>
      <c r="F22" s="643" t="s">
        <v>744</v>
      </c>
      <c r="G22" s="644">
        <v>1.4E-2</v>
      </c>
      <c r="H22" s="638" t="s">
        <v>379</v>
      </c>
      <c r="I22" s="640">
        <f t="shared" ref="I22:I25" si="18">0.2*$I$19</f>
        <v>0</v>
      </c>
      <c r="J22" s="594" t="s">
        <v>745</v>
      </c>
      <c r="K22" s="654">
        <f>I22*G22/1000</f>
        <v>0</v>
      </c>
      <c r="L22" s="638" t="s">
        <v>36</v>
      </c>
      <c r="M22" s="631" t="s">
        <v>737</v>
      </c>
      <c r="N22" s="634"/>
      <c r="O22" s="3" t="s">
        <v>36</v>
      </c>
      <c r="P22" s="284">
        <v>0.4</v>
      </c>
      <c r="Q22" s="284"/>
      <c r="R22" s="284"/>
      <c r="S22" s="284">
        <v>0.2</v>
      </c>
      <c r="T22" s="284"/>
      <c r="U22" s="284">
        <v>0.4</v>
      </c>
      <c r="V22" s="635">
        <f t="shared" si="12"/>
        <v>0</v>
      </c>
      <c r="W22" s="635">
        <f t="shared" si="12"/>
        <v>0</v>
      </c>
      <c r="X22" s="635">
        <f t="shared" si="12"/>
        <v>0</v>
      </c>
      <c r="Y22" s="635">
        <f t="shared" si="12"/>
        <v>0</v>
      </c>
      <c r="Z22" s="635">
        <f t="shared" si="12"/>
        <v>0</v>
      </c>
      <c r="AA22" s="635">
        <f t="shared" si="12"/>
        <v>0</v>
      </c>
      <c r="AB22" s="76"/>
      <c r="AC22" s="703">
        <v>0.10571428571428573</v>
      </c>
      <c r="AD22" s="704" t="s">
        <v>782</v>
      </c>
      <c r="AE22" s="705">
        <f>ROUND(I22*AC22,-3)</f>
        <v>0</v>
      </c>
      <c r="AF22" s="706" t="s">
        <v>783</v>
      </c>
      <c r="AG22" s="701">
        <f t="shared" ref="AG22:AG25" si="19">K22</f>
        <v>0</v>
      </c>
      <c r="AH22" s="701" t="e">
        <f t="shared" ref="AH22:AH25" si="20">$AG22*(V$6/$K$6)</f>
        <v>#DIV/0!</v>
      </c>
      <c r="AI22" s="701" t="e">
        <f t="shared" si="13"/>
        <v>#DIV/0!</v>
      </c>
      <c r="AJ22" s="701" t="e">
        <f t="shared" si="14"/>
        <v>#DIV/0!</v>
      </c>
      <c r="AK22" s="701" t="e">
        <f t="shared" si="15"/>
        <v>#DIV/0!</v>
      </c>
      <c r="AL22" s="701" t="e">
        <f t="shared" si="16"/>
        <v>#DIV/0!</v>
      </c>
      <c r="AM22" s="701" t="e">
        <f t="shared" si="17"/>
        <v>#DIV/0!</v>
      </c>
    </row>
    <row r="23" spans="2:39" ht="38">
      <c r="C23" s="593" t="s">
        <v>748</v>
      </c>
      <c r="D23" s="111"/>
      <c r="E23" s="642" t="s">
        <v>756</v>
      </c>
      <c r="F23" s="643" t="s">
        <v>744</v>
      </c>
      <c r="G23" s="644">
        <v>1.4999999999999999E-2</v>
      </c>
      <c r="H23" s="638" t="s">
        <v>379</v>
      </c>
      <c r="I23" s="640">
        <f t="shared" si="18"/>
        <v>0</v>
      </c>
      <c r="J23" s="594" t="s">
        <v>745</v>
      </c>
      <c r="K23" s="654">
        <f>I23*G23/1000</f>
        <v>0</v>
      </c>
      <c r="L23" s="638" t="s">
        <v>36</v>
      </c>
      <c r="M23" s="631" t="s">
        <v>738</v>
      </c>
      <c r="N23" s="634"/>
      <c r="O23" s="3" t="s">
        <v>36</v>
      </c>
      <c r="P23" s="284">
        <v>0.2</v>
      </c>
      <c r="Q23" s="284"/>
      <c r="R23" s="284"/>
      <c r="S23" s="284">
        <v>0.2</v>
      </c>
      <c r="T23" s="284"/>
      <c r="U23" s="284">
        <v>0.6</v>
      </c>
      <c r="V23" s="635">
        <f t="shared" si="12"/>
        <v>0</v>
      </c>
      <c r="W23" s="635">
        <f t="shared" si="12"/>
        <v>0</v>
      </c>
      <c r="X23" s="635">
        <f t="shared" si="12"/>
        <v>0</v>
      </c>
      <c r="Y23" s="635">
        <f t="shared" si="12"/>
        <v>0</v>
      </c>
      <c r="Z23" s="635">
        <f t="shared" si="12"/>
        <v>0</v>
      </c>
      <c r="AA23" s="635">
        <f t="shared" si="12"/>
        <v>0</v>
      </c>
      <c r="AB23" s="76"/>
      <c r="AC23" s="703">
        <v>0.17411764705882354</v>
      </c>
      <c r="AD23" s="704" t="s">
        <v>782</v>
      </c>
      <c r="AE23" s="705">
        <f>ROUND(I23*AC23,-3)</f>
        <v>0</v>
      </c>
      <c r="AF23" s="706" t="s">
        <v>783</v>
      </c>
      <c r="AG23" s="701">
        <f t="shared" si="19"/>
        <v>0</v>
      </c>
      <c r="AH23" s="701" t="e">
        <f t="shared" si="20"/>
        <v>#DIV/0!</v>
      </c>
      <c r="AI23" s="701" t="e">
        <f t="shared" si="13"/>
        <v>#DIV/0!</v>
      </c>
      <c r="AJ23" s="701" t="e">
        <f t="shared" si="14"/>
        <v>#DIV/0!</v>
      </c>
      <c r="AK23" s="701" t="e">
        <f t="shared" si="15"/>
        <v>#DIV/0!</v>
      </c>
      <c r="AL23" s="701" t="e">
        <f t="shared" si="16"/>
        <v>#DIV/0!</v>
      </c>
      <c r="AM23" s="701" t="e">
        <f t="shared" si="17"/>
        <v>#DIV/0!</v>
      </c>
    </row>
    <row r="24" spans="2:39" ht="38">
      <c r="C24" s="593" t="s">
        <v>749</v>
      </c>
      <c r="D24" s="111"/>
      <c r="E24" s="642" t="s">
        <v>757</v>
      </c>
      <c r="F24" s="643" t="s">
        <v>744</v>
      </c>
      <c r="G24" s="644">
        <v>1E-3</v>
      </c>
      <c r="H24" s="638" t="s">
        <v>379</v>
      </c>
      <c r="I24" s="640">
        <f t="shared" si="18"/>
        <v>0</v>
      </c>
      <c r="J24" s="594" t="s">
        <v>745</v>
      </c>
      <c r="K24" s="654">
        <f>I24*G24/1000</f>
        <v>0</v>
      </c>
      <c r="L24" s="638" t="s">
        <v>36</v>
      </c>
      <c r="M24" s="631" t="s">
        <v>739</v>
      </c>
      <c r="N24" s="634"/>
      <c r="O24" s="3" t="s">
        <v>36</v>
      </c>
      <c r="P24" s="284">
        <v>0.04</v>
      </c>
      <c r="Q24" s="284"/>
      <c r="R24" s="284"/>
      <c r="S24" s="284">
        <v>0.2</v>
      </c>
      <c r="T24" s="284"/>
      <c r="U24" s="284">
        <v>0.76</v>
      </c>
      <c r="V24" s="635">
        <f t="shared" si="12"/>
        <v>0</v>
      </c>
      <c r="W24" s="635">
        <f t="shared" si="12"/>
        <v>0</v>
      </c>
      <c r="X24" s="635">
        <f t="shared" si="12"/>
        <v>0</v>
      </c>
      <c r="Y24" s="635">
        <f t="shared" si="12"/>
        <v>0</v>
      </c>
      <c r="Z24" s="635">
        <f t="shared" si="12"/>
        <v>0</v>
      </c>
      <c r="AA24" s="635">
        <f t="shared" si="12"/>
        <v>0</v>
      </c>
      <c r="AB24" s="76"/>
      <c r="AC24" s="703">
        <v>7.0000000000000007E-2</v>
      </c>
      <c r="AD24" s="704" t="s">
        <v>782</v>
      </c>
      <c r="AE24" s="705">
        <f>ROUND(I24*AC24,-3)</f>
        <v>0</v>
      </c>
      <c r="AF24" s="706" t="s">
        <v>783</v>
      </c>
      <c r="AG24" s="701">
        <f t="shared" si="19"/>
        <v>0</v>
      </c>
      <c r="AH24" s="701" t="e">
        <f t="shared" si="20"/>
        <v>#DIV/0!</v>
      </c>
      <c r="AI24" s="701" t="e">
        <f t="shared" si="13"/>
        <v>#DIV/0!</v>
      </c>
      <c r="AJ24" s="701" t="e">
        <f t="shared" si="14"/>
        <v>#DIV/0!</v>
      </c>
      <c r="AK24" s="701" t="e">
        <f t="shared" si="15"/>
        <v>#DIV/0!</v>
      </c>
      <c r="AL24" s="701" t="e">
        <f t="shared" si="16"/>
        <v>#DIV/0!</v>
      </c>
      <c r="AM24" s="701" t="e">
        <f t="shared" si="17"/>
        <v>#DIV/0!</v>
      </c>
    </row>
    <row r="25" spans="2:39" ht="38">
      <c r="C25" s="593" t="s">
        <v>751</v>
      </c>
      <c r="D25" s="111"/>
      <c r="E25" s="643" t="s">
        <v>752</v>
      </c>
      <c r="F25" s="643" t="s">
        <v>744</v>
      </c>
      <c r="G25" s="644">
        <v>2.0000000000000002E-5</v>
      </c>
      <c r="H25" s="638" t="s">
        <v>379</v>
      </c>
      <c r="I25" s="640">
        <f t="shared" si="18"/>
        <v>0</v>
      </c>
      <c r="J25" s="594" t="s">
        <v>745</v>
      </c>
      <c r="K25" s="654">
        <f>I25*G25/1000</f>
        <v>0</v>
      </c>
      <c r="L25" s="638" t="s">
        <v>36</v>
      </c>
      <c r="M25" s="32" t="s">
        <v>740</v>
      </c>
      <c r="N25" s="634"/>
      <c r="O25" s="3" t="s">
        <v>36</v>
      </c>
      <c r="P25" s="284"/>
      <c r="Q25" s="284"/>
      <c r="R25" s="284"/>
      <c r="S25" s="284"/>
      <c r="T25" s="284"/>
      <c r="U25" s="284"/>
      <c r="V25" s="635">
        <f t="shared" si="12"/>
        <v>0</v>
      </c>
      <c r="W25" s="635">
        <f t="shared" si="12"/>
        <v>0</v>
      </c>
      <c r="X25" s="635">
        <f t="shared" si="12"/>
        <v>0</v>
      </c>
      <c r="Y25" s="635">
        <f t="shared" si="12"/>
        <v>0</v>
      </c>
      <c r="Z25" s="635">
        <f t="shared" si="12"/>
        <v>0</v>
      </c>
      <c r="AA25" s="635">
        <f t="shared" si="12"/>
        <v>0</v>
      </c>
      <c r="AB25" s="76"/>
      <c r="AC25" s="703">
        <v>75.897435897435898</v>
      </c>
      <c r="AD25" s="702" t="s">
        <v>784</v>
      </c>
      <c r="AE25" s="705">
        <f>ROUND(I25*AC25,-5)</f>
        <v>0</v>
      </c>
      <c r="AF25" s="706" t="s">
        <v>785</v>
      </c>
      <c r="AG25" s="701">
        <f t="shared" si="19"/>
        <v>0</v>
      </c>
      <c r="AH25" s="701" t="e">
        <f t="shared" si="20"/>
        <v>#DIV/0!</v>
      </c>
      <c r="AI25" s="701" t="e">
        <f t="shared" si="13"/>
        <v>#DIV/0!</v>
      </c>
      <c r="AJ25" s="701" t="e">
        <f t="shared" si="14"/>
        <v>#DIV/0!</v>
      </c>
      <c r="AK25" s="701" t="e">
        <f t="shared" si="15"/>
        <v>#DIV/0!</v>
      </c>
      <c r="AL25" s="701" t="e">
        <f t="shared" si="16"/>
        <v>#DIV/0!</v>
      </c>
      <c r="AM25" s="701" t="e">
        <f t="shared" si="17"/>
        <v>#DIV/0!</v>
      </c>
    </row>
    <row r="26" spans="2:39" ht="50.5">
      <c r="C26" s="593"/>
      <c r="D26" s="111"/>
      <c r="E26" s="642"/>
      <c r="F26" s="643"/>
      <c r="G26" s="644"/>
      <c r="H26" s="638"/>
      <c r="I26" s="647">
        <f>SUM(I21:I25)</f>
        <v>0</v>
      </c>
      <c r="J26" s="594" t="s">
        <v>753</v>
      </c>
      <c r="K26" s="645"/>
      <c r="L26" s="638"/>
      <c r="M26" s="631" t="s">
        <v>736</v>
      </c>
      <c r="N26" s="634">
        <f>$K$6*'Paso 3-Metales-Materias primas'!H$30/100</f>
        <v>0</v>
      </c>
      <c r="O26" s="3" t="s">
        <v>36</v>
      </c>
      <c r="P26" s="284">
        <v>0.7</v>
      </c>
      <c r="Q26" s="284"/>
      <c r="R26" s="284"/>
      <c r="S26" s="284">
        <v>0.3</v>
      </c>
      <c r="T26" s="284"/>
      <c r="U26" s="284"/>
      <c r="V26" s="635">
        <f t="shared" si="12"/>
        <v>0</v>
      </c>
      <c r="W26" s="635">
        <f t="shared" si="12"/>
        <v>0</v>
      </c>
      <c r="X26" s="635">
        <f t="shared" si="12"/>
        <v>0</v>
      </c>
      <c r="Y26" s="635">
        <f t="shared" si="12"/>
        <v>0</v>
      </c>
      <c r="Z26" s="635">
        <f t="shared" si="12"/>
        <v>0</v>
      </c>
      <c r="AA26" s="635">
        <f t="shared" si="12"/>
        <v>0</v>
      </c>
      <c r="AB26" s="76"/>
      <c r="AC26" s="703"/>
      <c r="AD26" s="701"/>
      <c r="AE26" s="701"/>
      <c r="AF26" s="701"/>
    </row>
    <row r="27" spans="2:39" ht="38">
      <c r="C27" s="26"/>
      <c r="D27" s="111"/>
      <c r="E27" s="278"/>
      <c r="F27" s="36"/>
      <c r="G27" s="336"/>
      <c r="H27" s="36"/>
      <c r="I27" s="248"/>
      <c r="J27" s="9"/>
      <c r="K27" s="172"/>
      <c r="L27" s="3"/>
      <c r="M27" s="631" t="s">
        <v>737</v>
      </c>
      <c r="N27" s="634">
        <f>$K$6*'Paso 3-Metales-Materias primas'!I$30/100</f>
        <v>0</v>
      </c>
      <c r="O27" s="3" t="s">
        <v>36</v>
      </c>
      <c r="P27" s="284">
        <v>0.6</v>
      </c>
      <c r="Q27" s="284"/>
      <c r="R27" s="284"/>
      <c r="S27" s="284">
        <v>0.4</v>
      </c>
      <c r="T27" s="284"/>
      <c r="U27" s="284"/>
      <c r="V27" s="635">
        <f t="shared" si="12"/>
        <v>0</v>
      </c>
      <c r="W27" s="635">
        <f t="shared" si="12"/>
        <v>0</v>
      </c>
      <c r="X27" s="635">
        <f t="shared" si="12"/>
        <v>0</v>
      </c>
      <c r="Y27" s="635">
        <f t="shared" si="12"/>
        <v>0</v>
      </c>
      <c r="Z27" s="635">
        <f t="shared" si="12"/>
        <v>0</v>
      </c>
      <c r="AA27" s="635">
        <f t="shared" si="12"/>
        <v>0</v>
      </c>
      <c r="AB27" s="76"/>
      <c r="AC27" s="703"/>
      <c r="AD27" s="701"/>
      <c r="AE27" s="701"/>
      <c r="AF27" s="701"/>
    </row>
    <row r="28" spans="2:39" ht="38">
      <c r="C28" s="26"/>
      <c r="D28" s="111"/>
      <c r="E28" s="278"/>
      <c r="F28" s="36"/>
      <c r="G28" s="336"/>
      <c r="H28" s="36"/>
      <c r="I28" s="248"/>
      <c r="J28" s="9"/>
      <c r="K28" s="172"/>
      <c r="L28" s="3"/>
      <c r="M28" s="631" t="s">
        <v>738</v>
      </c>
      <c r="N28" s="634">
        <f>$K$6*'Paso 3-Metales-Materias primas'!J$30/100</f>
        <v>0</v>
      </c>
      <c r="O28" s="3" t="s">
        <v>36</v>
      </c>
      <c r="P28" s="284">
        <v>0.5</v>
      </c>
      <c r="Q28" s="284"/>
      <c r="R28" s="284"/>
      <c r="S28" s="284">
        <v>0.5</v>
      </c>
      <c r="T28" s="284"/>
      <c r="U28" s="284"/>
      <c r="V28" s="635">
        <f t="shared" si="12"/>
        <v>0</v>
      </c>
      <c r="W28" s="635">
        <f t="shared" si="12"/>
        <v>0</v>
      </c>
      <c r="X28" s="635">
        <f t="shared" si="12"/>
        <v>0</v>
      </c>
      <c r="Y28" s="635">
        <f t="shared" si="12"/>
        <v>0</v>
      </c>
      <c r="Z28" s="635">
        <f t="shared" si="12"/>
        <v>0</v>
      </c>
      <c r="AA28" s="635">
        <f t="shared" si="12"/>
        <v>0</v>
      </c>
      <c r="AB28" s="76"/>
      <c r="AC28" s="703"/>
      <c r="AD28" s="701"/>
      <c r="AE28" s="701"/>
      <c r="AF28" s="701"/>
    </row>
    <row r="29" spans="2:39" ht="50.5">
      <c r="C29" s="26"/>
      <c r="D29" s="111"/>
      <c r="E29" s="278"/>
      <c r="F29" s="36"/>
      <c r="G29" s="336"/>
      <c r="H29" s="36"/>
      <c r="I29" s="248"/>
      <c r="J29" s="9"/>
      <c r="K29" s="172"/>
      <c r="L29" s="3"/>
      <c r="M29" s="631" t="s">
        <v>741</v>
      </c>
      <c r="N29" s="634">
        <f>$K$6*'Paso 3-Metales-Materias primas'!K$30/100</f>
        <v>0</v>
      </c>
      <c r="O29" s="3" t="s">
        <v>36</v>
      </c>
      <c r="P29" s="284">
        <v>0.04</v>
      </c>
      <c r="Q29" s="284"/>
      <c r="R29" s="284"/>
      <c r="S29" s="284">
        <v>0.5</v>
      </c>
      <c r="T29" s="284"/>
      <c r="U29" s="284">
        <v>0.46</v>
      </c>
      <c r="V29" s="635">
        <f t="shared" si="12"/>
        <v>0</v>
      </c>
      <c r="W29" s="635">
        <f t="shared" si="12"/>
        <v>0</v>
      </c>
      <c r="X29" s="635">
        <f t="shared" si="12"/>
        <v>0</v>
      </c>
      <c r="Y29" s="635">
        <f t="shared" si="12"/>
        <v>0</v>
      </c>
      <c r="Z29" s="635">
        <f t="shared" si="12"/>
        <v>0</v>
      </c>
      <c r="AA29" s="635">
        <f t="shared" si="12"/>
        <v>0</v>
      </c>
      <c r="AB29" s="76"/>
      <c r="AC29" s="703"/>
      <c r="AD29" s="701"/>
      <c r="AE29" s="701"/>
      <c r="AF29" s="701"/>
    </row>
    <row r="30" spans="2:39" s="55" customFormat="1" ht="13">
      <c r="C30" s="137"/>
      <c r="D30" s="76"/>
      <c r="E30" s="104"/>
      <c r="F30" s="104"/>
      <c r="G30" s="76"/>
      <c r="H30" s="104"/>
      <c r="I30" s="248"/>
      <c r="K30" s="172"/>
      <c r="L30" s="104"/>
      <c r="M30" s="33"/>
      <c r="N30" s="248"/>
      <c r="O30" s="3"/>
      <c r="P30" s="131"/>
      <c r="Q30" s="131"/>
      <c r="R30" s="131"/>
      <c r="S30" s="131"/>
      <c r="T30" s="131"/>
      <c r="U30" s="131"/>
      <c r="V30" s="171"/>
      <c r="W30" s="171"/>
      <c r="X30" s="171"/>
      <c r="Y30" s="171"/>
      <c r="Z30" s="171"/>
      <c r="AA30" s="171"/>
      <c r="AB30" s="76"/>
    </row>
    <row r="31" spans="2:39" ht="13">
      <c r="B31" s="3" t="s">
        <v>189</v>
      </c>
      <c r="C31" s="26" t="s">
        <v>190</v>
      </c>
      <c r="D31" s="111"/>
      <c r="E31" s="36" t="s">
        <v>417</v>
      </c>
      <c r="F31" s="278" t="s">
        <v>418</v>
      </c>
      <c r="G31" s="76">
        <v>0.03</v>
      </c>
      <c r="H31" s="36" t="s">
        <v>401</v>
      </c>
      <c r="I31" s="248">
        <f>'Paso 3-Metales-Materias primas'!C31</f>
        <v>0</v>
      </c>
      <c r="J31" s="3" t="s">
        <v>377</v>
      </c>
      <c r="K31" s="235">
        <f>I31*G31/1000</f>
        <v>0</v>
      </c>
      <c r="L31" s="3" t="s">
        <v>36</v>
      </c>
      <c r="M31" s="442"/>
      <c r="N31" s="248"/>
      <c r="O31" s="3"/>
      <c r="P31" s="342"/>
      <c r="Q31" s="342"/>
      <c r="R31" s="342"/>
      <c r="S31" s="342"/>
      <c r="T31" s="342"/>
      <c r="U31" s="342"/>
      <c r="V31" s="114">
        <f>SUM(V32:V33)</f>
        <v>0</v>
      </c>
      <c r="W31" s="114">
        <f t="shared" ref="W31:Z31" si="21">SUM(W32:W33)</f>
        <v>0</v>
      </c>
      <c r="X31" s="114">
        <f t="shared" si="21"/>
        <v>0</v>
      </c>
      <c r="Y31" s="114">
        <f t="shared" si="21"/>
        <v>0</v>
      </c>
      <c r="Z31" s="114">
        <f t="shared" si="21"/>
        <v>0</v>
      </c>
      <c r="AA31" s="114">
        <f>SUM(AA32:AA33)</f>
        <v>0</v>
      </c>
      <c r="AB31" s="76"/>
    </row>
    <row r="32" spans="2:39" ht="13">
      <c r="B32" s="3"/>
      <c r="C32" s="26"/>
      <c r="D32" s="111"/>
      <c r="E32" s="36"/>
      <c r="F32" s="278"/>
      <c r="G32" s="76"/>
      <c r="H32" s="36"/>
      <c r="I32" s="248"/>
      <c r="J32" s="3"/>
      <c r="K32" s="235"/>
      <c r="L32" s="3"/>
      <c r="M32" s="442" t="s">
        <v>428</v>
      </c>
      <c r="N32" s="683">
        <f>K31*'Paso 3-Metales-Materias primas'!G33/100</f>
        <v>0</v>
      </c>
      <c r="O32" s="3" t="s">
        <v>36</v>
      </c>
      <c r="P32" s="342">
        <v>1</v>
      </c>
      <c r="Q32" s="342"/>
      <c r="R32" s="342"/>
      <c r="S32" s="342"/>
      <c r="T32" s="342"/>
      <c r="U32" s="342"/>
      <c r="V32" s="171">
        <f t="shared" ref="V32" si="22">$N32*P32</f>
        <v>0</v>
      </c>
      <c r="W32" s="171">
        <f t="shared" ref="W32" si="23">$N32*Q32</f>
        <v>0</v>
      </c>
      <c r="X32" s="171">
        <f t="shared" ref="X32" si="24">$N32*R32</f>
        <v>0</v>
      </c>
      <c r="Y32" s="171">
        <f t="shared" ref="Y32" si="25">$N32*S32</f>
        <v>0</v>
      </c>
      <c r="Z32" s="171">
        <f t="shared" ref="Z32" si="26">$N32*T32</f>
        <v>0</v>
      </c>
      <c r="AA32" s="171">
        <f t="shared" ref="AA32" si="27">$N32*U32</f>
        <v>0</v>
      </c>
      <c r="AB32" s="76"/>
    </row>
    <row r="33" spans="2:28" s="55" customFormat="1" ht="25.5">
      <c r="B33" s="104"/>
      <c r="C33" s="137"/>
      <c r="D33" s="76"/>
      <c r="E33" s="149"/>
      <c r="F33" s="104"/>
      <c r="G33" s="76"/>
      <c r="H33" s="104"/>
      <c r="I33" s="248"/>
      <c r="K33" s="115"/>
      <c r="L33" s="104"/>
      <c r="M33" s="33" t="s">
        <v>400</v>
      </c>
      <c r="N33" s="683">
        <f>K31*'Paso 3-Metales-Materias primas'!H33/100</f>
        <v>0</v>
      </c>
      <c r="O33" s="3" t="s">
        <v>36</v>
      </c>
      <c r="P33" s="284">
        <v>0.9</v>
      </c>
      <c r="Q33" s="284"/>
      <c r="R33" s="284"/>
      <c r="S33" s="284"/>
      <c r="T33" s="284">
        <v>0.1</v>
      </c>
      <c r="U33" s="284"/>
      <c r="V33" s="171">
        <f t="shared" ref="V33:AA33" si="28">$N33*P33</f>
        <v>0</v>
      </c>
      <c r="W33" s="171">
        <f t="shared" si="28"/>
        <v>0</v>
      </c>
      <c r="X33" s="171">
        <f t="shared" si="28"/>
        <v>0</v>
      </c>
      <c r="Y33" s="171">
        <f t="shared" si="28"/>
        <v>0</v>
      </c>
      <c r="Z33" s="171">
        <f t="shared" si="28"/>
        <v>0</v>
      </c>
      <c r="AA33" s="171">
        <f t="shared" si="28"/>
        <v>0</v>
      </c>
      <c r="AB33" s="76"/>
    </row>
    <row r="34" spans="2:28" ht="26">
      <c r="B34" t="s">
        <v>168</v>
      </c>
      <c r="C34" s="26" t="s">
        <v>191</v>
      </c>
      <c r="D34" s="76"/>
      <c r="E34" s="11"/>
      <c r="F34" s="3"/>
      <c r="G34" s="76"/>
      <c r="H34" s="3"/>
      <c r="I34" s="248"/>
      <c r="K34" s="114"/>
      <c r="L34" s="3" t="s">
        <v>36</v>
      </c>
      <c r="M34" s="33"/>
      <c r="N34" s="248"/>
      <c r="O34" s="3"/>
      <c r="P34" s="130"/>
      <c r="Q34" s="130"/>
      <c r="R34" s="130"/>
      <c r="S34" s="130"/>
      <c r="T34" s="130"/>
      <c r="U34" s="127"/>
      <c r="V34" s="114">
        <f t="shared" ref="V34:AA34" si="29">SUM(V35:V36)</f>
        <v>0</v>
      </c>
      <c r="W34" s="114">
        <f t="shared" si="29"/>
        <v>0</v>
      </c>
      <c r="X34" s="114">
        <f t="shared" si="29"/>
        <v>0</v>
      </c>
      <c r="Y34" s="114">
        <f t="shared" si="29"/>
        <v>0</v>
      </c>
      <c r="Z34" s="114">
        <f t="shared" si="29"/>
        <v>0</v>
      </c>
      <c r="AA34" s="114">
        <f t="shared" si="29"/>
        <v>0</v>
      </c>
      <c r="AB34" s="76"/>
    </row>
    <row r="35" spans="2:28" ht="13">
      <c r="C35" s="26" t="s">
        <v>192</v>
      </c>
      <c r="D35" s="76"/>
      <c r="E35" s="29" t="s">
        <v>43</v>
      </c>
      <c r="F35" s="3"/>
      <c r="G35" s="76" t="s">
        <v>43</v>
      </c>
      <c r="H35" s="3" t="s">
        <v>43</v>
      </c>
      <c r="I35" s="248"/>
      <c r="K35" s="172" t="s">
        <v>43</v>
      </c>
      <c r="L35" s="3" t="s">
        <v>36</v>
      </c>
      <c r="M35" s="33"/>
      <c r="N35" s="247"/>
      <c r="O35" s="3" t="s">
        <v>36</v>
      </c>
      <c r="P35" s="127"/>
      <c r="Q35" s="127"/>
      <c r="R35" s="127"/>
      <c r="S35" s="127"/>
      <c r="T35" s="127"/>
      <c r="U35" s="127"/>
      <c r="V35" s="116">
        <f t="shared" ref="V35:AA35" si="30">$N35*P35</f>
        <v>0</v>
      </c>
      <c r="W35" s="116">
        <f t="shared" si="30"/>
        <v>0</v>
      </c>
      <c r="X35" s="116">
        <f t="shared" si="30"/>
        <v>0</v>
      </c>
      <c r="Y35" s="116">
        <f t="shared" si="30"/>
        <v>0</v>
      </c>
      <c r="Z35" s="116">
        <f t="shared" si="30"/>
        <v>0</v>
      </c>
      <c r="AA35" s="116">
        <f t="shared" si="30"/>
        <v>0</v>
      </c>
      <c r="AB35" s="76"/>
    </row>
    <row r="36" spans="2:28" ht="13">
      <c r="C36" s="26" t="s">
        <v>193</v>
      </c>
      <c r="D36" s="76"/>
      <c r="E36" s="29" t="s">
        <v>43</v>
      </c>
      <c r="F36" s="3" t="s">
        <v>43</v>
      </c>
      <c r="G36" s="76" t="s">
        <v>43</v>
      </c>
      <c r="H36" s="3" t="s">
        <v>43</v>
      </c>
      <c r="I36" s="248"/>
      <c r="K36" s="172" t="s">
        <v>43</v>
      </c>
      <c r="L36" s="3" t="s">
        <v>36</v>
      </c>
      <c r="M36" s="33"/>
      <c r="N36" s="247"/>
      <c r="O36" s="3" t="s">
        <v>36</v>
      </c>
      <c r="P36" s="127"/>
      <c r="Q36" s="127"/>
      <c r="R36" s="127"/>
      <c r="S36" s="127"/>
      <c r="T36" s="127"/>
      <c r="U36" s="127"/>
      <c r="V36" s="116">
        <f t="shared" ref="V36:AA36" si="31">$N36*P36</f>
        <v>0</v>
      </c>
      <c r="W36" s="116">
        <f t="shared" si="31"/>
        <v>0</v>
      </c>
      <c r="X36" s="116">
        <f t="shared" si="31"/>
        <v>0</v>
      </c>
      <c r="Y36" s="116">
        <f t="shared" si="31"/>
        <v>0</v>
      </c>
      <c r="Z36" s="116">
        <f t="shared" si="31"/>
        <v>0</v>
      </c>
      <c r="AA36" s="116">
        <f t="shared" si="31"/>
        <v>0</v>
      </c>
      <c r="AB36" s="76"/>
    </row>
    <row r="37" spans="2:28" s="55" customFormat="1" ht="13">
      <c r="C37" s="150"/>
      <c r="D37" s="76"/>
      <c r="E37" s="104"/>
      <c r="F37" s="104"/>
      <c r="G37" s="76"/>
      <c r="I37" s="247"/>
      <c r="K37" s="173"/>
      <c r="M37" s="107"/>
      <c r="N37" s="248"/>
      <c r="O37" s="104"/>
      <c r="P37" s="127"/>
      <c r="Q37" s="127"/>
      <c r="R37" s="127"/>
      <c r="S37" s="127"/>
      <c r="T37" s="127"/>
      <c r="U37" s="127"/>
      <c r="V37" s="58"/>
      <c r="W37" s="58"/>
      <c r="X37" s="58"/>
      <c r="Y37" s="58"/>
      <c r="Z37" s="58"/>
      <c r="AA37" s="58"/>
      <c r="AB37" s="76"/>
    </row>
    <row r="38" spans="2:28" ht="13">
      <c r="B38" s="3" t="s">
        <v>169</v>
      </c>
      <c r="C38" s="26" t="s">
        <v>357</v>
      </c>
      <c r="D38" s="111"/>
      <c r="E38" s="3" t="s">
        <v>43</v>
      </c>
      <c r="F38" s="3" t="s">
        <v>43</v>
      </c>
      <c r="G38" s="76" t="s">
        <v>43</v>
      </c>
      <c r="H38" s="3" t="s">
        <v>43</v>
      </c>
      <c r="I38" s="248"/>
      <c r="J38" t="s">
        <v>43</v>
      </c>
      <c r="K38" s="172" t="s">
        <v>43</v>
      </c>
      <c r="L38" s="3" t="s">
        <v>36</v>
      </c>
      <c r="M38" s="33"/>
      <c r="N38" s="248"/>
      <c r="O38" s="3" t="s">
        <v>36</v>
      </c>
      <c r="P38" s="127"/>
      <c r="Q38" s="127"/>
      <c r="R38" s="127"/>
      <c r="S38" s="127"/>
      <c r="T38" s="127"/>
      <c r="U38" s="127"/>
      <c r="V38" s="114">
        <f t="shared" ref="V38:AA38" si="32">$N38*P38</f>
        <v>0</v>
      </c>
      <c r="W38" s="114">
        <f t="shared" si="32"/>
        <v>0</v>
      </c>
      <c r="X38" s="114">
        <f t="shared" si="32"/>
        <v>0</v>
      </c>
      <c r="Y38" s="114">
        <f t="shared" si="32"/>
        <v>0</v>
      </c>
      <c r="Z38" s="114">
        <f t="shared" si="32"/>
        <v>0</v>
      </c>
      <c r="AA38" s="114">
        <f t="shared" si="32"/>
        <v>0</v>
      </c>
      <c r="AB38" s="76"/>
    </row>
    <row r="39" spans="2:28" s="55" customFormat="1" ht="13">
      <c r="B39" s="104"/>
      <c r="C39" s="137"/>
      <c r="D39" s="76"/>
      <c r="E39" s="149"/>
      <c r="F39" s="104"/>
      <c r="G39" s="76"/>
      <c r="H39" s="104"/>
      <c r="I39" s="248"/>
      <c r="K39" s="115"/>
      <c r="L39" s="104"/>
      <c r="M39" s="138"/>
      <c r="N39" s="248"/>
      <c r="O39" s="104"/>
      <c r="P39" s="130"/>
      <c r="Q39" s="130"/>
      <c r="R39" s="130"/>
      <c r="S39" s="130"/>
      <c r="T39" s="130"/>
      <c r="U39" s="127"/>
      <c r="V39" s="116"/>
      <c r="W39" s="116"/>
      <c r="X39" s="116"/>
      <c r="Y39" s="116"/>
      <c r="Z39" s="116"/>
      <c r="AA39" s="116"/>
      <c r="AB39" s="76"/>
    </row>
    <row r="40" spans="2:28" ht="13">
      <c r="C40" s="9"/>
      <c r="M40" s="14"/>
      <c r="N40" s="239"/>
      <c r="O40" s="3"/>
    </row>
    <row r="41" spans="2:28" ht="13">
      <c r="C41" s="9"/>
      <c r="M41" s="14"/>
      <c r="N41" s="249"/>
      <c r="O41" s="3"/>
    </row>
    <row r="42" spans="2:28" ht="13">
      <c r="C42" s="12"/>
      <c r="D42" s="8"/>
    </row>
    <row r="43" spans="2:28">
      <c r="D43" s="8"/>
    </row>
    <row r="44" spans="2:28">
      <c r="C44" s="48"/>
      <c r="D44" s="95"/>
      <c r="E44" s="48"/>
    </row>
    <row r="45" spans="2:28" ht="13">
      <c r="C45" s="48"/>
      <c r="D45" s="441"/>
      <c r="E45" s="48"/>
    </row>
    <row r="46" spans="2:28" ht="13">
      <c r="C46" s="48"/>
      <c r="D46" s="441"/>
      <c r="E46" s="48"/>
    </row>
    <row r="47" spans="2:28">
      <c r="C47" s="48"/>
      <c r="D47" s="48"/>
      <c r="E47" s="48"/>
    </row>
    <row r="48" spans="2:28">
      <c r="C48" s="48"/>
      <c r="D48" s="48"/>
      <c r="E48" s="48"/>
    </row>
  </sheetData>
  <sheetProtection algorithmName="SHA-512" hashValue="kIkOY8bKOwqU15JzVQU9zAteat6GRL2bbCsnIQDyAqhYbjx0EWqskEf7SYny07mjaU6wqH/hMjDEUxoKN47PAQ==" saltValue="nYL0lRXsutx/giK1q2MRyA==" spinCount="100000" sheet="1" objects="1" scenarios="1"/>
  <phoneticPr fontId="2" type="noConversion"/>
  <pageMargins left="0.39370078740157483" right="0.39370078740157483" top="0.74803149606299213" bottom="0.74803149606299213" header="0.31496062992125984" footer="0.31496062992125984"/>
  <pageSetup paperSize="9" orientation="landscape" r:id="rId1"/>
  <headerFooter>
    <oddFooter>&amp;L&amp;A
Printed &amp;D</oddFooter>
  </headerFooter>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A1:N23"/>
  <sheetViews>
    <sheetView workbookViewId="0">
      <selection activeCell="C16" sqref="C16"/>
    </sheetView>
  </sheetViews>
  <sheetFormatPr defaultColWidth="9.1796875" defaultRowHeight="12.5"/>
  <cols>
    <col min="1" max="1" width="43.1796875" style="339" customWidth="1"/>
    <col min="2" max="2" width="8.81640625" style="360" customWidth="1"/>
    <col min="3" max="3" width="14.1796875" style="339" customWidth="1"/>
    <col min="4" max="4" width="29.453125" style="339" customWidth="1"/>
    <col min="5" max="5" width="14.453125" style="339" customWidth="1"/>
    <col min="6" max="6" width="11.453125" style="339" customWidth="1"/>
    <col min="7" max="7" width="13" style="339" customWidth="1"/>
    <col min="8" max="8" width="13.1796875" style="339" customWidth="1"/>
    <col min="9" max="9" width="12.453125" style="339" customWidth="1"/>
    <col min="10" max="10" width="11.453125" style="339" customWidth="1"/>
    <col min="11" max="11" width="16.1796875" style="339" customWidth="1"/>
    <col min="12" max="12" width="5.6328125" style="339" customWidth="1"/>
    <col min="13" max="13" width="9.1796875" style="339"/>
    <col min="14" max="14" width="0" style="339" hidden="1" customWidth="1"/>
    <col min="15" max="16384" width="9.1796875" style="339"/>
  </cols>
  <sheetData>
    <row r="1" spans="1:14" ht="13">
      <c r="A1" s="390" t="s">
        <v>907</v>
      </c>
      <c r="B1" s="357"/>
    </row>
    <row r="2" spans="1:14" ht="30" customHeight="1">
      <c r="A2" s="807" t="str">
        <f>IF(ISNA(MATCH("n",N5:N17,0)),"","
The Estimated Hg input (or equivalent inserted IL2 results) marked in red colour is very high compared to previous observations. Data may be correct, but please confirm your activity rate data (or inserted IL2 data).")</f>
        <v/>
      </c>
      <c r="B2" s="808"/>
      <c r="C2" s="808"/>
      <c r="D2" s="808"/>
      <c r="E2" s="808"/>
      <c r="F2" s="808"/>
      <c r="G2" s="808"/>
      <c r="H2" s="808"/>
      <c r="I2" s="808"/>
      <c r="J2" s="808"/>
      <c r="K2" s="808"/>
      <c r="L2" s="809"/>
    </row>
    <row r="3" spans="1:14" s="361" customFormat="1" ht="38.25" customHeight="1">
      <c r="A3" s="721" t="s">
        <v>837</v>
      </c>
      <c r="B3" s="722" t="s">
        <v>840</v>
      </c>
      <c r="C3" s="723" t="s">
        <v>839</v>
      </c>
      <c r="D3" s="721"/>
      <c r="E3" s="735" t="s">
        <v>854</v>
      </c>
      <c r="F3" s="804" t="s">
        <v>855</v>
      </c>
      <c r="G3" s="805"/>
      <c r="H3" s="805"/>
      <c r="I3" s="805"/>
      <c r="J3" s="805"/>
      <c r="K3" s="806"/>
      <c r="L3" s="721"/>
    </row>
    <row r="4" spans="1:14" ht="43.5" customHeight="1" thickBot="1">
      <c r="A4" s="721" t="s">
        <v>913</v>
      </c>
      <c r="B4" s="720" t="str">
        <f>quest</f>
        <v>S/N/?</v>
      </c>
      <c r="C4" s="725" t="s">
        <v>842</v>
      </c>
      <c r="D4" s="723" t="s">
        <v>843</v>
      </c>
      <c r="E4" s="736" t="s">
        <v>856</v>
      </c>
      <c r="F4" s="727" t="s">
        <v>857</v>
      </c>
      <c r="G4" s="727" t="s">
        <v>858</v>
      </c>
      <c r="H4" s="727" t="s">
        <v>859</v>
      </c>
      <c r="I4" s="736" t="s">
        <v>860</v>
      </c>
      <c r="J4" s="736" t="s">
        <v>861</v>
      </c>
      <c r="K4" s="736" t="s">
        <v>862</v>
      </c>
      <c r="L4" s="721" t="s">
        <v>863</v>
      </c>
      <c r="M4" s="323" t="s">
        <v>864</v>
      </c>
    </row>
    <row r="5" spans="1:14">
      <c r="A5" s="270" t="s">
        <v>908</v>
      </c>
      <c r="B5" s="626"/>
      <c r="C5" s="378"/>
      <c r="D5" s="271" t="s">
        <v>914</v>
      </c>
      <c r="E5" s="461" t="str">
        <f>IF(OR($B5=yes,$B5=yes),'5-4 Int Hg in Industry'!K7, IF(OR($B5=no,$B5=no),"-", IF($B5=que,que, pres)))</f>
        <v>¿Presente?</v>
      </c>
      <c r="F5" s="280" t="str">
        <f>IF(OR($B5=yes,$B5=yes),SUM('5-4 Int Hg in Industry'!V7:V8), IF(OR($B5=no,$B5=no),"-", IF($B5=que,que, pres)))</f>
        <v>¿Presente?</v>
      </c>
      <c r="G5" s="280" t="str">
        <f>IF(OR($B5=yes,$B5=yes),SUM('5-4 Int Hg in Industry'!W7:W8), IF(OR($B5=no,$B5=no),"-", IF($B5=que,que, pres)))</f>
        <v>¿Presente?</v>
      </c>
      <c r="H5" s="280" t="str">
        <f>IF(OR($B5=yes,$B5=yes),SUM('5-4 Int Hg in Industry'!X7:X8), IF(OR($B5=no,$B5=no),"-", IF($B5=que,que, pres)))</f>
        <v>¿Presente?</v>
      </c>
      <c r="I5" s="280" t="str">
        <f>IF(OR($B5=yes,$B5=yes),SUM('5-4 Int Hg in Industry'!Y7:Y8), IF(OR($B5=no,$B5=no),"-", IF($B5=que,que, pres)))</f>
        <v>¿Presente?</v>
      </c>
      <c r="J5" s="280" t="str">
        <f>IF(OR($B5=yes,$B5=yes),SUM('5-4 Int Hg in Industry'!Z7:Z8), IF(OR($B5=no,$B5=no),"-", IF($B5=que,que, pres)))</f>
        <v>¿Presente?</v>
      </c>
      <c r="K5" s="280" t="str">
        <f>IF(OR($B5=yes,$B5=yes),SUM('5-4 Int Hg in Industry'!AA7:AA8), IF(OR($B5=no,$B5=no),"-", IF($B5=que,que, pres)))</f>
        <v>¿Presente?</v>
      </c>
      <c r="L5" s="273" t="s">
        <v>146</v>
      </c>
      <c r="M5" s="463"/>
      <c r="N5" s="339" t="str">
        <f>INDEX('Range-thresholds'!$G$6:$G$73,MATCH(A5,'Range-thresholds'!$A$6:$A$73,0))</f>
        <v/>
      </c>
    </row>
    <row r="6" spans="1:14">
      <c r="A6" s="270" t="s">
        <v>910</v>
      </c>
      <c r="B6" s="627"/>
      <c r="C6" s="379"/>
      <c r="D6" s="271" t="s">
        <v>911</v>
      </c>
      <c r="E6" s="461" t="str">
        <f>IF(OR($B6=yes,$B6=yes),'5-4 Int Hg in Industry'!K10, IF(OR($B6=no,$B6=no),"-", IF($B6=que,que, pres)))</f>
        <v>¿Presente?</v>
      </c>
      <c r="F6" s="280" t="str">
        <f>IF(OR($B6=yes,$B6=yes),'5-4 Int Hg in Industry'!V10, IF(OR($B6=no,$B6=no),"-", IF($B6=que,que, pres)))</f>
        <v>¿Presente?</v>
      </c>
      <c r="G6" s="280" t="str">
        <f>IF(OR($B6=yes,$B6=yes),'5-4 Int Hg in Industry'!W10, IF(OR($B6=no,$B6=no),"-", IF($B6=que,que, pres)))</f>
        <v>¿Presente?</v>
      </c>
      <c r="H6" s="280" t="str">
        <f>IF(OR($B6=yes,$B6=yes),'5-4 Int Hg in Industry'!X10, IF(OR($B6=no,$B6=no),"-", IF($B6=que,que, pres)))</f>
        <v>¿Presente?</v>
      </c>
      <c r="I6" s="280" t="str">
        <f>IF(OR($B6=yes,$B6=yes),'5-4 Int Hg in Industry'!Y10, IF(OR($B6=no,$B6=no),"-", IF($B6=que,que, pres)))</f>
        <v>¿Presente?</v>
      </c>
      <c r="J6" s="280" t="str">
        <f>IF(OR($B6=yes,$B6=yes),'5-4 Int Hg in Industry'!Z10, IF(OR($B6=no,$B6=no),"-", IF($B6=que,que, pres)))</f>
        <v>¿Presente?</v>
      </c>
      <c r="K6" s="280" t="str">
        <f>IF(OR($B6=yes,$B6=yes),'5-4 Int Hg in Industry'!AA10, IF(OR($B6=no,$B6=no),"-", IF($B6=que,que, pres)))</f>
        <v>¿Presente?</v>
      </c>
      <c r="L6" s="273" t="s">
        <v>148</v>
      </c>
      <c r="M6" s="463"/>
      <c r="N6" s="339" t="str">
        <f>INDEX('Range-thresholds'!$G$6:$G$73,MATCH(A6,'Range-thresholds'!$A$6:$A$73,0))</f>
        <v/>
      </c>
    </row>
    <row r="7" spans="1:14" ht="25.5" thickBot="1">
      <c r="A7" s="270" t="s">
        <v>912</v>
      </c>
      <c r="B7" s="628"/>
      <c r="C7" s="401"/>
      <c r="D7" s="348" t="s">
        <v>915</v>
      </c>
      <c r="E7" s="461" t="str">
        <f>IF(OR($B7=yes,$B7=yes),'5-4 Int Hg in Industry'!K12, IF(OR($B7=no,$B7=no),"-", IF($B7=que,que, pres)))</f>
        <v>¿Presente?</v>
      </c>
      <c r="F7" s="280" t="str">
        <f>IF(OR($B7=yes,$B7=yes),'5-4 Int Hg in Industry'!V12, IF(OR($B7=no,$B7=no),"-", IF($B7=que,que, pres)))</f>
        <v>¿Presente?</v>
      </c>
      <c r="G7" s="280" t="str">
        <f>IF(OR($B7=yes,$B7=yes),'5-4 Int Hg in Industry'!W12, IF(OR($B7=no,$B7=no),"-", IF($B7=que,que, pres)))</f>
        <v>¿Presente?</v>
      </c>
      <c r="H7" s="280" t="str">
        <f>IF(OR($B7=yes,$B7=yes),'5-4 Int Hg in Industry'!X12, IF(OR($B7=no,$B7=no),"-", IF($B7=que,que, pres)))</f>
        <v>¿Presente?</v>
      </c>
      <c r="I7" s="280" t="str">
        <f>IF(OR($B7=yes,$B7=yes),'5-4 Int Hg in Industry'!Y12, IF(OR($B7=no,$B7=no),"-", IF($B7=que,que, pres)))</f>
        <v>¿Presente?</v>
      </c>
      <c r="J7" s="280" t="str">
        <f>IF(OR($B7=yes,$B7=yes),'5-4 Int Hg in Industry'!Z12, IF(OR($B7=no,$B7=no),"-", IF($B7=que,que, pres)))</f>
        <v>¿Presente?</v>
      </c>
      <c r="K7" s="280" t="str">
        <f>IF(OR($B7=yes,$B7=yes),'5-4 Int Hg in Industry'!AA12, IF(OR($B7=no,$B7=no),"-", IF($B7=que,que, pres)))</f>
        <v>¿Presente?</v>
      </c>
      <c r="L7" s="273" t="s">
        <v>368</v>
      </c>
      <c r="M7" s="463"/>
      <c r="N7" s="339" t="str">
        <f>INDEX('Range-thresholds'!$G$6:$G$73,MATCH(A7,'Range-thresholds'!$A$6:$A$73,0))</f>
        <v/>
      </c>
    </row>
    <row r="8" spans="1:14">
      <c r="A8" s="263"/>
      <c r="B8" s="483"/>
      <c r="C8" s="350"/>
      <c r="D8" s="273"/>
      <c r="E8" s="279"/>
      <c r="F8" s="280"/>
      <c r="G8" s="280"/>
      <c r="H8" s="280"/>
      <c r="I8" s="280"/>
      <c r="J8" s="280"/>
      <c r="K8" s="280"/>
      <c r="L8" s="273"/>
      <c r="M8" s="463"/>
    </row>
    <row r="9" spans="1:14" ht="26.5" thickBot="1">
      <c r="A9" s="265" t="s">
        <v>916</v>
      </c>
      <c r="B9" s="484"/>
      <c r="C9" s="347"/>
      <c r="D9" s="273"/>
      <c r="E9" s="279"/>
      <c r="F9" s="280"/>
      <c r="G9" s="280"/>
      <c r="H9" s="280"/>
      <c r="I9" s="280"/>
      <c r="J9" s="280"/>
      <c r="K9" s="280"/>
      <c r="L9" s="273"/>
      <c r="M9" s="463"/>
    </row>
    <row r="10" spans="1:14" ht="25">
      <c r="A10" s="275" t="s">
        <v>917</v>
      </c>
      <c r="B10" s="626"/>
      <c r="C10" s="378"/>
      <c r="D10" s="345" t="s">
        <v>918</v>
      </c>
      <c r="E10" s="461" t="str">
        <f>IF(OR($B10=yes,$B10=yes),'5-5 Cons prod'!K7, IF(OR($B10=no,$B10=no),"-", IF($B10=que,que, pres)))</f>
        <v>¿Presente?</v>
      </c>
      <c r="F10" s="280" t="str">
        <f>IF(OR($B10=yes,$B10=yes),'5-5 Cons prod'!V7, IF(OR($B10=no,$B10=no),"-", IF($B10=que,que, pres)))</f>
        <v>¿Presente?</v>
      </c>
      <c r="G10" s="280" t="str">
        <f>IF(OR($B10=yes,$B10=yes),'5-5 Cons prod'!W7, IF(OR($B10=no,$B10=no),"-", IF($B10=que,que, pres)))</f>
        <v>¿Presente?</v>
      </c>
      <c r="H10" s="280" t="str">
        <f>IF(OR($B10=yes,$B10=yes),'5-5 Cons prod'!X7, IF(OR($B10=no,$B10=no),"-", IF($B10=que,que, pres)))</f>
        <v>¿Presente?</v>
      </c>
      <c r="I10" s="280" t="str">
        <f>IF(OR($B10=yes,$B10=yes),'5-5 Cons prod'!Y7, IF(OR($B10=no,$B10=no),"-", IF($B10=que,que, pres)))</f>
        <v>¿Presente?</v>
      </c>
      <c r="J10" s="280" t="str">
        <f>IF(OR($B10=yes,$B10=yes),'5-5 Cons prod'!Z7, IF(OR($B10=no,$B10=no),"-", IF($B10=que,que, pres)))</f>
        <v>¿Presente?</v>
      </c>
      <c r="K10" s="280" t="str">
        <f>IF(OR($B10=yes,$B10=yes),'5-5 Cons prod'!AA7, IF(OR($B10=no,$B10=no),"-", IF($B10=que,que, pres)))</f>
        <v>¿Presente?</v>
      </c>
      <c r="L10" s="273" t="s">
        <v>89</v>
      </c>
      <c r="M10" s="464"/>
      <c r="N10" s="339" t="str">
        <f>INDEX('Range-thresholds'!$G$6:$G$73,MATCH(A10,'Range-thresholds'!$A$6:$A$73,0))</f>
        <v/>
      </c>
    </row>
    <row r="11" spans="1:14">
      <c r="A11" s="275" t="s">
        <v>919</v>
      </c>
      <c r="B11" s="627"/>
      <c r="C11" s="379"/>
      <c r="D11" s="345" t="s">
        <v>918</v>
      </c>
      <c r="E11" s="461" t="str">
        <f>IF(OR($B11=yes,$B11=yes),'5-5 Cons prod'!K19, IF(OR($B11=no,$B11=no),"-", IF($B11=que,que, pres)))</f>
        <v>¿Presente?</v>
      </c>
      <c r="F11" s="280" t="str">
        <f>IF(OR($B11=yes,$B11=yes),'5-5 Cons prod'!V19, IF(OR($B11=no,$B11=no),"-", IF($B11=que,que, pres)))</f>
        <v>¿Presente?</v>
      </c>
      <c r="G11" s="280" t="str">
        <f>IF(OR($B11=yes,$B11=yes),'5-5 Cons prod'!W19, IF(OR($B11=no,$B11=no),"-", IF($B11=que,que, pres)))</f>
        <v>¿Presente?</v>
      </c>
      <c r="H11" s="280" t="str">
        <f>IF(OR($B11=yes,$B11=yes),'5-5 Cons prod'!X19, IF(OR($B11=no,$B11=no),"-", IF($B11=que,que, pres)))</f>
        <v>¿Presente?</v>
      </c>
      <c r="I11" s="280" t="str">
        <f>IF(OR($B11=yes,$B11=yes),'5-5 Cons prod'!Y19, IF(OR($B11=no,$B11=no),"-", IF($B11=que,que, pres)))</f>
        <v>¿Presente?</v>
      </c>
      <c r="J11" s="280" t="str">
        <f>IF(OR($B11=yes,$B11=yes),'5-5 Cons prod'!Z19, IF(OR($B11=no,$B11=no),"-", IF($B11=que,que, pres)))</f>
        <v>¿Presente?</v>
      </c>
      <c r="K11" s="280" t="str">
        <f>IF(OR($B11=yes,$B11=yes),'5-5 Cons prod'!AA19, IF(OR($B11=no,$B11=no),"-", IF($B11=que,que, pres)))</f>
        <v>¿Presente?</v>
      </c>
      <c r="L11" s="273" t="s">
        <v>114</v>
      </c>
      <c r="M11" s="464"/>
      <c r="N11" s="339" t="str">
        <f>INDEX('Range-thresholds'!$G$6:$G$73,MATCH(A11,'Range-thresholds'!$A$6:$A$73,0))</f>
        <v/>
      </c>
    </row>
    <row r="12" spans="1:14" ht="25">
      <c r="A12" s="275" t="s">
        <v>920</v>
      </c>
      <c r="B12" s="627"/>
      <c r="C12" s="379"/>
      <c r="D12" s="345" t="s">
        <v>918</v>
      </c>
      <c r="E12" s="461" t="str">
        <f>IF(OR($B12=yes,$B12=yes),'5-5 Cons prod'!K26, IF(OR($B12=no,$B12=no),"-", IF($B12=que,que, pres)))</f>
        <v>¿Presente?</v>
      </c>
      <c r="F12" s="280" t="str">
        <f>IF(OR($B12=yes,$B12=yes),'5-5 Cons prod'!V26, IF(OR($B12=no,$B12=no),"-", IF($B12=que,que, pres)))</f>
        <v>¿Presente?</v>
      </c>
      <c r="G12" s="280" t="str">
        <f>IF(OR($B12=yes,$B12=yes),'5-5 Cons prod'!W26, IF(OR($B12=no,$B12=no),"-", IF($B12=que,que, pres)))</f>
        <v>¿Presente?</v>
      </c>
      <c r="H12" s="280" t="str">
        <f>IF(OR($B12=yes,$B12=yes),'5-5 Cons prod'!X26, IF(OR($B12=no,$B12=no),"-", IF($B12=que,que, pres)))</f>
        <v>¿Presente?</v>
      </c>
      <c r="I12" s="280" t="str">
        <f>IF(OR($B12=yes,$B12=yes),'5-5 Cons prod'!Y26, IF(OR($B12=no,$B12=no),"-", IF($B12=que,que, pres)))</f>
        <v>¿Presente?</v>
      </c>
      <c r="J12" s="280" t="str">
        <f>IF(OR($B12=yes,$B12=yes),'5-5 Cons prod'!Z26, IF(OR($B12=no,$B12=no),"-", IF($B12=que,que, pres)))</f>
        <v>¿Presente?</v>
      </c>
      <c r="K12" s="280" t="str">
        <f>IF(OR($B12=yes,$B12=yes),'5-5 Cons prod'!AA26, IF(OR($B12=no,$B12=no),"-", IF($B12=que,que, pres)))</f>
        <v>¿Presente?</v>
      </c>
      <c r="L12" s="273" t="s">
        <v>119</v>
      </c>
      <c r="M12" s="463"/>
      <c r="N12" s="339" t="str">
        <f>INDEX('Range-thresholds'!$G$6:$G$73,MATCH(A12,'Range-thresholds'!$A$6:$A$73,0))</f>
        <v/>
      </c>
    </row>
    <row r="13" spans="1:14">
      <c r="A13" s="275" t="s">
        <v>921</v>
      </c>
      <c r="B13" s="627"/>
      <c r="C13" s="379"/>
      <c r="D13" s="345" t="s">
        <v>918</v>
      </c>
      <c r="E13" s="461" t="str">
        <f>IF(OR($B13=yes,$B13=yes),'5-5 Cons prod'!K36, IF(OR($B13=no,$B13=no),"-", IF($B13=que,que, pres)))</f>
        <v>¿Presente?</v>
      </c>
      <c r="F13" s="280" t="str">
        <f>IF(OR($B13=yes,$B13=yes),'5-5 Cons prod'!V36, IF(OR($B13=no,$B13=no),"-", IF($B13=que,que, pres)))</f>
        <v>¿Presente?</v>
      </c>
      <c r="G13" s="280" t="str">
        <f>IF(OR($B13=yes,$B13=yes),'5-5 Cons prod'!W36, IF(OR($B13=no,$B13=no),"-", IF($B13=que,que, pres)))</f>
        <v>¿Presente?</v>
      </c>
      <c r="H13" s="280" t="str">
        <f>IF(OR($B13=yes,$B13=yes),'5-5 Cons prod'!X36, IF(OR($B13=no,$B13=no),"-", IF($B13=que,que, pres)))</f>
        <v>¿Presente?</v>
      </c>
      <c r="I13" s="280" t="str">
        <f>IF(OR($B13=yes,$B13=yes),'5-5 Cons prod'!Y36, IF(OR($B13=no,$B13=no),"-", IF($B13=que,que, pres)))</f>
        <v>¿Presente?</v>
      </c>
      <c r="J13" s="280" t="str">
        <f>IF(OR($B13=yes,$B13=yes),'5-5 Cons prod'!Z36, IF(OR($B13=no,$B13=no),"-", IF($B13=que,que, pres)))</f>
        <v>¿Presente?</v>
      </c>
      <c r="K13" s="280" t="str">
        <f>IF(OR($B13=yes,$B13=yes),'5-5 Cons prod'!AA36, IF(OR($B13=no,$B13=no),"-", IF($B13=que,que, pres)))</f>
        <v>¿Presente?</v>
      </c>
      <c r="L13" s="273" t="s">
        <v>131</v>
      </c>
      <c r="M13" s="463"/>
      <c r="N13" s="339" t="str">
        <f>INDEX('Range-thresholds'!$G$6:$G$73,MATCH(A13,'Range-thresholds'!$A$6:$A$73,0))</f>
        <v/>
      </c>
    </row>
    <row r="14" spans="1:14">
      <c r="A14" s="275" t="s">
        <v>922</v>
      </c>
      <c r="B14" s="627"/>
      <c r="C14" s="379"/>
      <c r="D14" s="345" t="s">
        <v>918</v>
      </c>
      <c r="E14" s="461" t="str">
        <f>IF(OR($B14=yes,$B14=yes),'5-6 Other int use'!N14, IF(OR($B14=no,$B14=no),"-", IF($B14=que,que, pres)))</f>
        <v>¿Presente?</v>
      </c>
      <c r="F14" s="280" t="str">
        <f>IF(OR($B14=yes,$B14=yes),'5-6 Other int use'!V14, IF(OR($B14=no,$B14=no),"-", IF($B14=que,que, pres)))</f>
        <v>¿Presente?</v>
      </c>
      <c r="G14" s="280" t="str">
        <f>IF(OR($B14=yes,$B14=yes),'5-6 Other int use'!W14, IF(OR($B14=no,$B14=no),"-", IF($B14=que,que, pres)))</f>
        <v>¿Presente?</v>
      </c>
      <c r="H14" s="280" t="str">
        <f>IF(OR($B14=yes,$B14=yes),'5-6 Other int use'!X14, IF(OR($B14=no,$B14=no),"-", IF($B14=que,que, pres)))</f>
        <v>¿Presente?</v>
      </c>
      <c r="I14" s="280" t="str">
        <f>IF(OR($B14=yes,$B14=yes),'5-6 Other int use'!Y14, IF(OR($B14=no,$B14=no),"-", IF($B14=que,que, pres)))</f>
        <v>¿Presente?</v>
      </c>
      <c r="J14" s="280" t="str">
        <f>IF(OR($B14=yes,$B14=yes),'5-6 Other int use'!Z14, IF(OR($B14=no,$B14=no),"-", IF($B14=que,que, pres)))</f>
        <v>¿Presente?</v>
      </c>
      <c r="K14" s="280" t="str">
        <f>IF(OR($B14=yes,$B14=yes),'5-6 Other int use'!AA14, IF(OR($B14=no,$B14=no),"-", IF($B14=que,que, pres)))</f>
        <v>¿Presente?</v>
      </c>
      <c r="L14" s="273" t="s">
        <v>226</v>
      </c>
      <c r="M14" s="463"/>
      <c r="N14" s="339" t="str">
        <f>INDEX('Range-thresholds'!$G$6:$G$73,MATCH(A14,'Range-thresholds'!$A$6:$A$73,0))</f>
        <v/>
      </c>
    </row>
    <row r="15" spans="1:14">
      <c r="A15" s="275" t="s">
        <v>923</v>
      </c>
      <c r="B15" s="627"/>
      <c r="C15" s="379"/>
      <c r="D15" s="345" t="s">
        <v>918</v>
      </c>
      <c r="E15" s="461" t="str">
        <f>IF(OR($B15=yes,$B15=yes),'5-5 Cons prod'!K56, IF(OR($B15=no,$B15=no),"-", IF($B15=que,que, pres)))</f>
        <v>¿Presente?</v>
      </c>
      <c r="F15" s="280" t="str">
        <f>IF(OR($B15=yes,$B15=yes),'5-5 Cons prod'!V56, IF(OR($B15=no,$B15=no),"-", IF($B15=que,que, pres)))</f>
        <v>¿Presente?</v>
      </c>
      <c r="G15" s="280" t="str">
        <f>IF(OR($B15=yes,$B15=yes),'5-5 Cons prod'!W56, IF(OR($B15=no,$B15=no),"-", IF($B15=que,que, pres)))</f>
        <v>¿Presente?</v>
      </c>
      <c r="H15" s="280" t="str">
        <f>IF(OR($B15=yes,$B15=yes),'5-5 Cons prod'!X56, IF(OR($B15=no,$B15=no),"-", IF($B15=que,que, pres)))</f>
        <v>¿Presente?</v>
      </c>
      <c r="I15" s="280" t="str">
        <f>IF(OR($B15=yes,$B15=yes),'5-5 Cons prod'!Y56, IF(OR($B15=no,$B15=no),"-", IF($B15=que,que, pres)))</f>
        <v>¿Presente?</v>
      </c>
      <c r="J15" s="280" t="str">
        <f>IF(OR($B15=yes,$B15=yes),'5-5 Cons prod'!Z56, IF(OR($B15=no,$B15=no),"-", IF($B15=que,que, pres)))</f>
        <v>¿Presente?</v>
      </c>
      <c r="K15" s="280" t="str">
        <f>IF(OR($B15=yes,$B15=yes),'5-5 Cons prod'!AA56, IF(OR($B15=no,$B15=no),"-", IF($B15=que,que, pres)))</f>
        <v>¿Presente?</v>
      </c>
      <c r="L15" s="273" t="s">
        <v>130</v>
      </c>
      <c r="M15" s="463"/>
      <c r="N15" s="339" t="str">
        <f>INDEX('Range-thresholds'!$G$6:$G$73,MATCH(A15,'Range-thresholds'!$A$6:$A$73,0))</f>
        <v/>
      </c>
    </row>
    <row r="16" spans="1:14">
      <c r="A16" s="275" t="s">
        <v>924</v>
      </c>
      <c r="B16" s="629"/>
      <c r="C16" s="379"/>
      <c r="D16" s="345" t="s">
        <v>918</v>
      </c>
      <c r="E16" s="461" t="str">
        <f>IF(OR($B16=yes,$B16=yes),'5-5 Cons prod'!K60, IF(OR($B16=no,$B16=no),"-", IF($B16=que,que, pres)))</f>
        <v>¿Presente?</v>
      </c>
      <c r="F16" s="280" t="str">
        <f>IF(OR($B16=yes,$B16=yes),'5-5 Cons prod'!V60, IF(OR($B16=no,$B16=no),"-", IF($B16=que,que, pres)))</f>
        <v>¿Presente?</v>
      </c>
      <c r="G16" s="280" t="str">
        <f>IF(OR($B16=yes,$B16=yes),'5-5 Cons prod'!W60, IF(OR($B16=no,$B16=no),"-", IF($B16=que,que, pres)))</f>
        <v>¿Presente?</v>
      </c>
      <c r="H16" s="280" t="str">
        <f>IF(OR($B16=yes,$B16=yes),'5-5 Cons prod'!X60, IF(OR($B16=no,$B16=no),"-", IF($B16=que,que, pres)))</f>
        <v>¿Presente?</v>
      </c>
      <c r="I16" s="280" t="str">
        <f>IF(OR($B16=yes,$B16=yes),'5-5 Cons prod'!Y60, IF(OR($B16=no,$B16=no),"-", IF($B16=que,que, pres)))</f>
        <v>¿Presente?</v>
      </c>
      <c r="J16" s="280" t="str">
        <f>IF(OR($B16=yes,$B16=yes),'5-5 Cons prod'!Z60, IF(OR($B16=no,$B16=no),"-", IF($B16=que,que, pres)))</f>
        <v>¿Presente?</v>
      </c>
      <c r="K16" s="280" t="str">
        <f>IF(OR($B16=yes,$B16=yes),'5-5 Cons prod'!AA60, IF(OR($B16=no,$B16=no),"-", IF($B16=que,que, pres)))</f>
        <v>¿Presente?</v>
      </c>
      <c r="L16" s="273" t="s">
        <v>139</v>
      </c>
      <c r="M16" s="463"/>
      <c r="N16" s="339" t="str">
        <f>INDEX('Range-thresholds'!$G$6:$G$73,MATCH(A16,'Range-thresholds'!$A$6:$A$73,0))</f>
        <v/>
      </c>
    </row>
    <row r="17" spans="1:14" ht="25.5" thickBot="1">
      <c r="A17" s="275" t="s">
        <v>925</v>
      </c>
      <c r="B17" s="628"/>
      <c r="C17" s="401"/>
      <c r="D17" s="345" t="s">
        <v>918</v>
      </c>
      <c r="E17" s="461" t="str">
        <f>IF(OR($B17=yes,$B17=yes),'5-5 Cons prod'!K64, IF(OR($B17=no,$B17=no),"-", IF($B17=que,que, pres)))</f>
        <v>¿Presente?</v>
      </c>
      <c r="F17" s="280" t="str">
        <f>IF(OR($B17=yes,$B17=yes),'5-5 Cons prod'!V64, IF(OR($B17=no,$B17=no),"-", IF($B17=que,que, pres)))</f>
        <v>¿Presente?</v>
      </c>
      <c r="G17" s="280" t="str">
        <f>IF(OR($B17=yes,$B17=yes),'5-5 Cons prod'!W64, IF(OR($B17=no,$B17=no),"-", IF($B17=que,que, pres)))</f>
        <v>¿Presente?</v>
      </c>
      <c r="H17" s="280" t="str">
        <f>IF(OR($B17=yes,$B17=yes),'5-5 Cons prod'!X64, IF(OR($B17=no,$B17=no),"-", IF($B17=que,que, pres)))</f>
        <v>¿Presente?</v>
      </c>
      <c r="I17" s="280" t="str">
        <f>IF(OR($B17=yes,$B17=yes),'5-5 Cons prod'!Y64, IF(OR($B17=no,$B17=no),"-", IF($B17=que,que, pres)))</f>
        <v>¿Presente?</v>
      </c>
      <c r="J17" s="280" t="str">
        <f>IF(OR($B17=yes,$B17=yes),'5-5 Cons prod'!Z64, IF(OR($B17=no,$B17=no),"-", IF($B17=que,que, pres)))</f>
        <v>¿Presente?</v>
      </c>
      <c r="K17" s="280" t="str">
        <f>IF(OR($B17=yes,$B17=yes),'5-5 Cons prod'!AA64, IF(OR($B17=no,$B17=no),"-", IF($B17=que,que, pres)))</f>
        <v>¿Presente?</v>
      </c>
      <c r="L17" s="273" t="s">
        <v>370</v>
      </c>
      <c r="M17" s="464"/>
      <c r="N17" s="339" t="str">
        <f>INDEX('Range-thresholds'!$G$6:$G$73,MATCH(A17,'Range-thresholds'!$A$6:$A$73,0))</f>
        <v/>
      </c>
    </row>
    <row r="18" spans="1:14">
      <c r="A18" s="358"/>
      <c r="B18" s="359"/>
    </row>
    <row r="19" spans="1:14">
      <c r="A19" s="358"/>
      <c r="B19" s="359"/>
    </row>
    <row r="20" spans="1:14">
      <c r="A20" s="600" t="s">
        <v>716</v>
      </c>
    </row>
    <row r="21" spans="1:14">
      <c r="A21" s="600"/>
    </row>
    <row r="23" spans="1:14">
      <c r="A23" s="543"/>
      <c r="B23" s="599"/>
      <c r="C23" s="543"/>
      <c r="D23" s="543"/>
    </row>
  </sheetData>
  <sheetProtection algorithmName="SHA-512" hashValue="vrKIt0EIR6rhxs4FPM0Mfvl9uqHNmggq5JVSWf8zeGqbA9/UaMknaoGh9nLsF+ovbfyLZd4mgRSLANv/jnt6yw==" saltValue="YneQ+LY8PPpY1DMJd+gxHQ==" spinCount="100000" sheet="1" objects="1" scenarios="1"/>
  <mergeCells count="2">
    <mergeCell ref="F3:K3"/>
    <mergeCell ref="A2:L2"/>
  </mergeCells>
  <conditionalFormatting sqref="A2">
    <cfRule type="expression" dxfId="44" priority="9" stopIfTrue="1">
      <formula>$A$2&lt;&gt;""</formula>
    </cfRule>
  </conditionalFormatting>
  <conditionalFormatting sqref="E10:E17 E5:E7">
    <cfRule type="expression" dxfId="43" priority="135" stopIfTrue="1">
      <formula>AND(B5="y",N5="n")</formula>
    </cfRule>
  </conditionalFormatting>
  <dataValidations xWindow="441" yWindow="461" count="2">
    <dataValidation type="decimal" allowBlank="1" showInputMessage="1" showErrorMessage="1" errorTitle="Input error" error="Use digits and decimal mark only." prompt="Use sólo dígitos y decimales" sqref="C5:C7 C10:C17" xr:uid="{88EE7BA3-0EF4-534D-B0CE-C6E44495AE6B}">
      <formula1>-9.99999999999999E+22</formula1>
      <formula2>9.99999999999999E+22</formula2>
    </dataValidation>
    <dataValidation type="list" allowBlank="1" showInputMessage="1" showErrorMessage="1" errorTitle="Input error" error="Enter only y, n or ? (or translation of these)" prompt="Ingrese sólo s, n ó ?" sqref="B5:B7 B10:B17" xr:uid="{55F7259F-3111-314D-8099-A587A4A80549}">
      <formula1>yn?</formula1>
    </dataValidation>
  </dataValidations>
  <pageMargins left="0.39370078740157483" right="0.39370078740157483" top="0.74803149606299213" bottom="0.74803149606299213" header="0.31496062992125984" footer="0.31496062992125984"/>
  <pageSetup paperSize="9" scale="73" orientation="landscape" r:id="rId1"/>
  <headerFooter>
    <oddFooter>&amp;L&amp;A
Printed &amp;D</oddFooter>
  </headerFooter>
  <extLst>
    <ext xmlns:x14="http://schemas.microsoft.com/office/spreadsheetml/2009/9/main" uri="{78C0D931-6437-407d-A8EE-F0AAD7539E65}">
      <x14:conditionalFormattings>
        <x14:conditionalFormatting xmlns:xm="http://schemas.microsoft.com/office/excel/2006/main">
          <x14:cfRule type="expression" priority="6" id="{2DA2B224-945B-4AAB-83A3-2A4A860F2BEE}">
            <xm:f>'Inserte resultados de NI2'!$K$38&lt;&gt;""</xm:f>
            <x14:dxf>
              <font>
                <color rgb="FFFF0000"/>
              </font>
            </x14:dxf>
          </x14:cfRule>
          <xm:sqref>A20</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AB77"/>
  <sheetViews>
    <sheetView zoomScale="70" zoomScaleNormal="70" workbookViewId="0">
      <selection activeCell="A27" sqref="A27"/>
    </sheetView>
  </sheetViews>
  <sheetFormatPr defaultColWidth="8.81640625" defaultRowHeight="12.5"/>
  <cols>
    <col min="1" max="1" width="3" customWidth="1"/>
    <col min="2" max="2" width="6.1796875" customWidth="1"/>
    <col min="3" max="3" width="40" customWidth="1"/>
    <col min="4" max="4" width="7.36328125" customWidth="1"/>
    <col min="5" max="5" width="14.453125" customWidth="1"/>
    <col min="6" max="6" width="20.6328125" customWidth="1"/>
    <col min="7" max="7" width="10.36328125" customWidth="1"/>
    <col min="8" max="8" width="9.453125" customWidth="1"/>
    <col min="9" max="9" width="12.453125" customWidth="1"/>
    <col min="10" max="10" width="19.1796875" customWidth="1"/>
    <col min="11" max="11" width="11.36328125" customWidth="1"/>
    <col min="12" max="12" width="11.453125" customWidth="1"/>
    <col min="13" max="13" width="21.1796875" style="13" customWidth="1"/>
    <col min="14" max="14" width="9.1796875" style="240"/>
    <col min="16" max="16" width="5.453125" customWidth="1"/>
    <col min="17" max="17" width="5.36328125" customWidth="1"/>
    <col min="18" max="18" width="5" customWidth="1"/>
    <col min="19" max="19" width="8.453125" customWidth="1"/>
    <col min="21" max="21" width="17.453125" customWidth="1"/>
    <col min="22" max="22" width="12.453125" customWidth="1"/>
    <col min="24" max="24" width="9.6328125" customWidth="1"/>
    <col min="25" max="25" width="11.1796875" customWidth="1"/>
    <col min="26" max="26" width="11.453125" customWidth="1"/>
    <col min="27" max="27" width="17" customWidth="1"/>
    <col min="28" max="28" width="63.453125" customWidth="1"/>
  </cols>
  <sheetData>
    <row r="1" spans="1:28" ht="18">
      <c r="A1" s="1" t="s">
        <v>733</v>
      </c>
      <c r="L1" s="48"/>
      <c r="M1" s="48"/>
      <c r="N1" s="231"/>
    </row>
    <row r="2" spans="1:28" ht="14">
      <c r="A2" s="54" t="s">
        <v>313</v>
      </c>
      <c r="L2" s="48"/>
      <c r="M2" s="48"/>
      <c r="N2" s="231"/>
    </row>
    <row r="3" spans="1:28" s="5" customFormat="1" ht="13">
      <c r="D3" s="7"/>
      <c r="E3" s="7"/>
      <c r="F3" s="7"/>
      <c r="G3" s="7"/>
      <c r="H3" s="7"/>
      <c r="I3" s="7"/>
      <c r="J3" s="7"/>
      <c r="K3" s="7"/>
      <c r="L3" s="30"/>
      <c r="M3" s="30"/>
      <c r="N3" s="255"/>
      <c r="O3" s="7"/>
      <c r="P3" s="65" t="s">
        <v>55</v>
      </c>
      <c r="Q3" s="65"/>
      <c r="R3" s="65"/>
      <c r="S3" s="65"/>
      <c r="T3" s="65"/>
      <c r="U3" s="65"/>
      <c r="V3" s="10" t="s">
        <v>54</v>
      </c>
      <c r="W3" s="103"/>
      <c r="X3" s="103"/>
      <c r="Y3" s="103"/>
      <c r="Z3" s="103"/>
      <c r="AA3" s="103"/>
      <c r="AB3" s="65"/>
    </row>
    <row r="4" spans="1:28" s="144" customFormat="1" ht="39">
      <c r="A4" s="144" t="s">
        <v>52</v>
      </c>
      <c r="B4" s="144" t="s">
        <v>50</v>
      </c>
      <c r="C4" s="134" t="s">
        <v>59</v>
      </c>
      <c r="D4" s="112" t="s">
        <v>153</v>
      </c>
      <c r="E4" s="134" t="s">
        <v>49</v>
      </c>
      <c r="F4" s="143" t="s">
        <v>35</v>
      </c>
      <c r="G4" s="112" t="s">
        <v>37</v>
      </c>
      <c r="H4" s="143" t="s">
        <v>35</v>
      </c>
      <c r="I4" s="112" t="s">
        <v>51</v>
      </c>
      <c r="J4" s="144" t="s">
        <v>35</v>
      </c>
      <c r="K4" s="84" t="s">
        <v>61</v>
      </c>
      <c r="L4" s="143" t="s">
        <v>35</v>
      </c>
      <c r="M4" s="126" t="s">
        <v>210</v>
      </c>
      <c r="N4" s="245" t="s">
        <v>92</v>
      </c>
      <c r="O4" s="143" t="s">
        <v>35</v>
      </c>
      <c r="P4" s="111" t="s">
        <v>38</v>
      </c>
      <c r="Q4" s="111" t="s">
        <v>39</v>
      </c>
      <c r="R4" s="111" t="s">
        <v>40</v>
      </c>
      <c r="S4" s="111" t="s">
        <v>41</v>
      </c>
      <c r="T4" s="112" t="s">
        <v>42</v>
      </c>
      <c r="U4" s="112" t="s">
        <v>228</v>
      </c>
      <c r="V4" s="56" t="s">
        <v>38</v>
      </c>
      <c r="W4" s="56" t="s">
        <v>39</v>
      </c>
      <c r="X4" s="56" t="s">
        <v>40</v>
      </c>
      <c r="Y4" s="56" t="s">
        <v>41</v>
      </c>
      <c r="Z4" s="57" t="s">
        <v>42</v>
      </c>
      <c r="AA4" s="57" t="s">
        <v>228</v>
      </c>
      <c r="AB4" s="111" t="s">
        <v>87</v>
      </c>
    </row>
    <row r="5" spans="1:28" s="129" customFormat="1" ht="26">
      <c r="A5" s="129" t="s">
        <v>145</v>
      </c>
      <c r="C5" s="134" t="s">
        <v>144</v>
      </c>
      <c r="D5" s="111"/>
      <c r="F5" s="128"/>
      <c r="G5" s="76"/>
      <c r="H5" s="128"/>
      <c r="I5" s="253"/>
      <c r="K5" s="113"/>
      <c r="L5" s="128"/>
      <c r="M5" s="123"/>
      <c r="N5" s="247"/>
      <c r="O5" s="128"/>
      <c r="P5" s="283"/>
      <c r="Q5" s="76"/>
      <c r="R5" s="76"/>
      <c r="S5" s="76"/>
      <c r="T5" s="76"/>
      <c r="U5" s="76"/>
      <c r="V5" s="58"/>
      <c r="W5" s="58"/>
      <c r="X5" s="58"/>
      <c r="Y5" s="58"/>
      <c r="Z5" s="58"/>
      <c r="AA5" s="58"/>
      <c r="AB5" s="76"/>
    </row>
    <row r="6" spans="1:28" ht="26">
      <c r="B6" t="s">
        <v>146</v>
      </c>
      <c r="C6" s="12" t="s">
        <v>147</v>
      </c>
      <c r="D6" s="111"/>
      <c r="G6" s="288"/>
      <c r="I6" s="289"/>
      <c r="K6" s="290">
        <f>K7</f>
        <v>0</v>
      </c>
      <c r="L6" s="28"/>
      <c r="M6" s="157" t="s">
        <v>154</v>
      </c>
      <c r="N6" s="247"/>
      <c r="O6" s="3"/>
      <c r="P6" s="76"/>
      <c r="Q6" s="76"/>
      <c r="R6" s="76"/>
      <c r="S6" s="76"/>
      <c r="T6" s="76"/>
      <c r="U6" s="76"/>
      <c r="V6" s="650">
        <f>SUM(V7:V8)</f>
        <v>0</v>
      </c>
      <c r="W6" s="650">
        <f>SUM(W7:W8)</f>
        <v>0</v>
      </c>
      <c r="X6" s="650">
        <f>SUM(X7:X8)</f>
        <v>0</v>
      </c>
      <c r="Y6" s="650">
        <f t="shared" ref="Y6:Z6" si="0">SUM(Y7:Y8)</f>
        <v>0</v>
      </c>
      <c r="Z6" s="650">
        <f t="shared" si="0"/>
        <v>0</v>
      </c>
      <c r="AA6" s="650">
        <f>SUM(AA7:AA8)</f>
        <v>0</v>
      </c>
      <c r="AB6" s="76"/>
    </row>
    <row r="7" spans="1:28" ht="39">
      <c r="C7" s="12"/>
      <c r="D7" s="111"/>
      <c r="E7" s="551" t="s">
        <v>694</v>
      </c>
      <c r="F7" s="294" t="s">
        <v>340</v>
      </c>
      <c r="G7" s="76">
        <v>100</v>
      </c>
      <c r="H7" s="128" t="s">
        <v>340</v>
      </c>
      <c r="I7" s="254">
        <f>'Paso 4-Uso industrial de Hg'!C5</f>
        <v>0</v>
      </c>
      <c r="J7" s="129" t="s">
        <v>329</v>
      </c>
      <c r="K7" s="169">
        <f>G7*I7/1000</f>
        <v>0</v>
      </c>
      <c r="L7" s="28" t="s">
        <v>36</v>
      </c>
      <c r="M7" s="158" t="s">
        <v>769</v>
      </c>
      <c r="N7" s="248"/>
      <c r="O7" s="3"/>
      <c r="P7" s="131">
        <v>0.1</v>
      </c>
      <c r="Q7" s="131">
        <v>0.01</v>
      </c>
      <c r="R7" s="131">
        <v>0.01</v>
      </c>
      <c r="S7" s="131">
        <v>0.01</v>
      </c>
      <c r="T7" s="131"/>
      <c r="U7" s="131">
        <v>0.87</v>
      </c>
      <c r="V7" s="635">
        <f t="shared" ref="V7:AA7" si="1">$N7*P7</f>
        <v>0</v>
      </c>
      <c r="W7" s="635">
        <f t="shared" si="1"/>
        <v>0</v>
      </c>
      <c r="X7" s="635">
        <f t="shared" si="1"/>
        <v>0</v>
      </c>
      <c r="Y7" s="635">
        <f t="shared" si="1"/>
        <v>0</v>
      </c>
      <c r="Z7" s="635">
        <f t="shared" si="1"/>
        <v>0</v>
      </c>
      <c r="AA7" s="635">
        <f t="shared" si="1"/>
        <v>0</v>
      </c>
      <c r="AB7" s="76"/>
    </row>
    <row r="8" spans="1:28" ht="26">
      <c r="C8" s="9"/>
      <c r="D8" s="76"/>
      <c r="E8" s="286"/>
      <c r="F8" s="128"/>
      <c r="G8" s="76"/>
      <c r="H8" s="128"/>
      <c r="I8" s="254"/>
      <c r="J8" s="295"/>
      <c r="K8" s="291"/>
      <c r="L8" s="28"/>
      <c r="M8" s="158" t="s">
        <v>770</v>
      </c>
      <c r="N8" s="248">
        <f>K7</f>
        <v>0</v>
      </c>
      <c r="O8" s="3"/>
      <c r="P8" s="284">
        <v>0.2</v>
      </c>
      <c r="Q8" s="284">
        <v>0.02</v>
      </c>
      <c r="R8" s="284">
        <v>0.38</v>
      </c>
      <c r="S8" s="284">
        <v>0.1</v>
      </c>
      <c r="T8" s="284"/>
      <c r="U8" s="284">
        <v>0.3</v>
      </c>
      <c r="V8" s="635">
        <f t="shared" ref="V8:V14" si="2">$N8*P8</f>
        <v>0</v>
      </c>
      <c r="W8" s="635">
        <f t="shared" ref="W8:W14" si="3">$N8*Q8</f>
        <v>0</v>
      </c>
      <c r="X8" s="635">
        <f t="shared" ref="X8:X14" si="4">$N8*R8</f>
        <v>0</v>
      </c>
      <c r="Y8" s="635">
        <f t="shared" ref="Y8:Y14" si="5">$N8*S8</f>
        <v>0</v>
      </c>
      <c r="Z8" s="635">
        <f t="shared" ref="Z8:Z14" si="6">$N8*T8</f>
        <v>0</v>
      </c>
      <c r="AA8" s="635">
        <f>$N8*U8</f>
        <v>0</v>
      </c>
      <c r="AB8" s="76"/>
    </row>
    <row r="9" spans="1:28" s="55" customFormat="1" ht="13">
      <c r="C9" s="105"/>
      <c r="D9" s="76"/>
      <c r="G9" s="119"/>
      <c r="I9" s="292"/>
      <c r="K9" s="113"/>
      <c r="M9" s="159"/>
      <c r="N9" s="248"/>
      <c r="O9" s="104"/>
      <c r="P9" s="76"/>
      <c r="Q9" s="76"/>
      <c r="R9" s="76"/>
      <c r="S9" s="76"/>
      <c r="T9" s="76"/>
      <c r="U9" s="76"/>
      <c r="V9" s="114"/>
      <c r="W9" s="114"/>
      <c r="X9" s="114"/>
      <c r="Y9" s="114"/>
      <c r="Z9" s="114"/>
      <c r="AA9" s="114"/>
      <c r="AB9" s="76"/>
    </row>
    <row r="10" spans="1:28" ht="13">
      <c r="A10" s="3"/>
      <c r="B10" s="3" t="s">
        <v>148</v>
      </c>
      <c r="C10" s="26" t="s">
        <v>150</v>
      </c>
      <c r="D10" s="111"/>
      <c r="E10" s="286" t="s">
        <v>149</v>
      </c>
      <c r="F10" s="128" t="s">
        <v>341</v>
      </c>
      <c r="G10" s="76">
        <v>120</v>
      </c>
      <c r="H10" s="128" t="s">
        <v>341</v>
      </c>
      <c r="I10" s="254">
        <f>'Paso 4-Uso industrial de Hg'!C6</f>
        <v>0</v>
      </c>
      <c r="J10" s="287" t="s">
        <v>383</v>
      </c>
      <c r="K10" s="169">
        <f>G10*I10/1000</f>
        <v>0</v>
      </c>
      <c r="L10" s="28" t="s">
        <v>36</v>
      </c>
      <c r="M10" s="157"/>
      <c r="N10" s="248">
        <f>K10</f>
        <v>0</v>
      </c>
      <c r="O10" s="3"/>
      <c r="P10" s="130">
        <v>0.02</v>
      </c>
      <c r="Q10" s="130">
        <v>0.02</v>
      </c>
      <c r="R10" s="130"/>
      <c r="S10" s="130">
        <v>0.36</v>
      </c>
      <c r="T10" s="130"/>
      <c r="U10" s="130">
        <v>0.6</v>
      </c>
      <c r="V10" s="114">
        <f t="shared" si="2"/>
        <v>0</v>
      </c>
      <c r="W10" s="114">
        <f t="shared" si="3"/>
        <v>0</v>
      </c>
      <c r="X10" s="114">
        <f t="shared" si="4"/>
        <v>0</v>
      </c>
      <c r="Y10" s="114">
        <f t="shared" si="5"/>
        <v>0</v>
      </c>
      <c r="Z10" s="114">
        <f t="shared" si="6"/>
        <v>0</v>
      </c>
      <c r="AA10" s="114">
        <f t="shared" ref="AA10:AA14" si="7">$N10*U10</f>
        <v>0</v>
      </c>
      <c r="AB10" s="76"/>
    </row>
    <row r="11" spans="1:28" s="55" customFormat="1" ht="13">
      <c r="A11" s="152"/>
      <c r="B11" s="104"/>
      <c r="C11" s="137"/>
      <c r="D11" s="111"/>
      <c r="E11" s="106"/>
      <c r="F11" s="104"/>
      <c r="G11" s="119"/>
      <c r="H11" s="104"/>
      <c r="I11" s="285"/>
      <c r="K11" s="169"/>
      <c r="L11" s="104"/>
      <c r="M11" s="160"/>
      <c r="N11" s="248"/>
      <c r="O11" s="104"/>
      <c r="P11" s="76"/>
      <c r="Q11" s="76"/>
      <c r="R11" s="76"/>
      <c r="S11" s="76"/>
      <c r="T11" s="76"/>
      <c r="U11" s="76"/>
      <c r="V11" s="114"/>
      <c r="W11" s="114"/>
      <c r="X11" s="114"/>
      <c r="Y11" s="114"/>
      <c r="Z11" s="114"/>
      <c r="AA11" s="114"/>
      <c r="AB11" s="76"/>
    </row>
    <row r="12" spans="1:28" s="3" customFormat="1" ht="26">
      <c r="B12" s="36" t="s">
        <v>368</v>
      </c>
      <c r="C12" s="26" t="s">
        <v>151</v>
      </c>
      <c r="D12" s="111"/>
      <c r="E12" s="293" t="s">
        <v>43</v>
      </c>
      <c r="F12" s="128" t="s">
        <v>43</v>
      </c>
      <c r="G12" s="283">
        <v>120</v>
      </c>
      <c r="H12" s="294" t="s">
        <v>382</v>
      </c>
      <c r="I12" s="254">
        <f>'Paso 4-Uso industrial de Hg'!C7</f>
        <v>0</v>
      </c>
      <c r="J12" s="287" t="s">
        <v>384</v>
      </c>
      <c r="K12" s="169">
        <f>G12*I12/1000</f>
        <v>0</v>
      </c>
      <c r="L12" s="28" t="s">
        <v>36</v>
      </c>
      <c r="M12" s="157"/>
      <c r="N12" s="248">
        <f>K12</f>
        <v>0</v>
      </c>
      <c r="P12" s="337">
        <v>0.02</v>
      </c>
      <c r="Q12" s="337">
        <v>0.02</v>
      </c>
      <c r="R12" s="337"/>
      <c r="S12" s="337">
        <v>0.36</v>
      </c>
      <c r="T12" s="337"/>
      <c r="U12" s="337">
        <v>0.6</v>
      </c>
      <c r="V12" s="114">
        <f t="shared" si="2"/>
        <v>0</v>
      </c>
      <c r="W12" s="114">
        <f t="shared" si="3"/>
        <v>0</v>
      </c>
      <c r="X12" s="114">
        <f t="shared" si="4"/>
        <v>0</v>
      </c>
      <c r="Y12" s="114">
        <f t="shared" si="5"/>
        <v>0</v>
      </c>
      <c r="Z12" s="114">
        <f t="shared" si="6"/>
        <v>0</v>
      </c>
      <c r="AA12" s="114">
        <f t="shared" si="7"/>
        <v>0</v>
      </c>
      <c r="AB12" s="76"/>
    </row>
    <row r="13" spans="1:28" s="104" customFormat="1" ht="13">
      <c r="A13" s="139"/>
      <c r="C13" s="137"/>
      <c r="D13" s="111"/>
      <c r="G13" s="119"/>
      <c r="I13" s="292"/>
      <c r="K13" s="121"/>
      <c r="M13" s="159"/>
      <c r="N13" s="248"/>
      <c r="P13" s="76"/>
      <c r="Q13" s="76"/>
      <c r="R13" s="76"/>
      <c r="S13" s="76"/>
      <c r="T13" s="76"/>
      <c r="U13" s="76"/>
      <c r="V13" s="114"/>
      <c r="W13" s="114"/>
      <c r="X13" s="114"/>
      <c r="Y13" s="114"/>
      <c r="Z13" s="114"/>
      <c r="AA13" s="114"/>
      <c r="AB13" s="76"/>
    </row>
    <row r="14" spans="1:28" s="128" customFormat="1" ht="26">
      <c r="B14" s="294" t="s">
        <v>369</v>
      </c>
      <c r="C14" s="151" t="s">
        <v>152</v>
      </c>
      <c r="D14" s="111"/>
      <c r="E14" s="128" t="s">
        <v>43</v>
      </c>
      <c r="F14" s="128" t="s">
        <v>43</v>
      </c>
      <c r="G14" s="76" t="s">
        <v>43</v>
      </c>
      <c r="H14" s="128" t="s">
        <v>43</v>
      </c>
      <c r="I14" s="253" t="s">
        <v>43</v>
      </c>
      <c r="J14" s="128" t="s">
        <v>43</v>
      </c>
      <c r="K14" s="113" t="s">
        <v>43</v>
      </c>
      <c r="L14" s="128" t="s">
        <v>36</v>
      </c>
      <c r="M14" s="123"/>
      <c r="N14" s="248"/>
      <c r="P14" s="76" t="s">
        <v>43</v>
      </c>
      <c r="Q14" s="76" t="s">
        <v>43</v>
      </c>
      <c r="R14" s="76" t="s">
        <v>43</v>
      </c>
      <c r="S14" s="76" t="s">
        <v>43</v>
      </c>
      <c r="T14" s="76" t="s">
        <v>43</v>
      </c>
      <c r="U14" s="76" t="s">
        <v>43</v>
      </c>
      <c r="V14" s="114" t="e">
        <f t="shared" si="2"/>
        <v>#VALUE!</v>
      </c>
      <c r="W14" s="114" t="e">
        <f t="shared" si="3"/>
        <v>#VALUE!</v>
      </c>
      <c r="X14" s="114" t="e">
        <f t="shared" si="4"/>
        <v>#VALUE!</v>
      </c>
      <c r="Y14" s="114" t="e">
        <f t="shared" si="5"/>
        <v>#VALUE!</v>
      </c>
      <c r="Z14" s="114" t="e">
        <f t="shared" si="6"/>
        <v>#VALUE!</v>
      </c>
      <c r="AA14" s="114" t="e">
        <f t="shared" si="7"/>
        <v>#VALUE!</v>
      </c>
      <c r="AB14" s="76"/>
    </row>
    <row r="15" spans="1:28" s="3" customFormat="1" ht="13">
      <c r="C15" s="3" t="s">
        <v>281</v>
      </c>
      <c r="E15" s="11"/>
      <c r="I15" s="20"/>
      <c r="K15" s="21"/>
      <c r="M15" s="28"/>
      <c r="N15" s="256"/>
      <c r="O15" s="28"/>
      <c r="P15" s="23"/>
      <c r="Q15" s="23"/>
      <c r="R15" s="24"/>
      <c r="S15" s="24"/>
      <c r="T15" s="23"/>
      <c r="V15" s="22"/>
      <c r="W15" s="22"/>
      <c r="X15" s="22"/>
      <c r="Y15" s="22"/>
      <c r="Z15" s="22"/>
      <c r="AA15" s="22"/>
    </row>
    <row r="16" spans="1:28" s="3" customFormat="1" ht="13">
      <c r="C16" s="232" t="s">
        <v>771</v>
      </c>
      <c r="E16" s="11"/>
      <c r="I16" s="20"/>
      <c r="K16" s="21"/>
      <c r="M16" s="28"/>
      <c r="N16" s="256"/>
      <c r="O16" s="28"/>
      <c r="P16" s="23"/>
      <c r="Q16" s="23"/>
      <c r="R16" s="24"/>
      <c r="S16" s="24"/>
      <c r="T16" s="23"/>
      <c r="V16" s="22"/>
      <c r="W16" s="22"/>
      <c r="X16" s="22"/>
      <c r="Y16" s="22"/>
      <c r="Z16" s="22"/>
      <c r="AA16" s="22"/>
    </row>
    <row r="17" spans="3:27" s="3" customFormat="1" ht="13">
      <c r="C17" s="36" t="s">
        <v>318</v>
      </c>
      <c r="E17" s="11"/>
      <c r="I17" s="20"/>
      <c r="K17" s="21"/>
      <c r="M17" s="30"/>
      <c r="N17" s="256"/>
      <c r="O17" s="28"/>
      <c r="P17" s="23"/>
      <c r="Q17" s="23"/>
      <c r="R17" s="24"/>
      <c r="S17" s="24"/>
      <c r="T17" s="23"/>
      <c r="V17" s="22"/>
      <c r="W17" s="22"/>
      <c r="X17" s="22"/>
      <c r="Y17" s="22"/>
      <c r="Z17" s="22"/>
      <c r="AA17" s="22"/>
    </row>
    <row r="18" spans="3:27" s="3" customFormat="1" ht="13">
      <c r="E18" s="11"/>
      <c r="I18" s="20"/>
      <c r="K18" s="21"/>
      <c r="M18" s="30"/>
      <c r="N18" s="256"/>
      <c r="O18" s="28"/>
      <c r="P18" s="23"/>
      <c r="Q18" s="23"/>
      <c r="R18" s="24"/>
      <c r="S18" s="24"/>
      <c r="T18" s="23"/>
      <c r="V18" s="22"/>
      <c r="W18" s="22"/>
      <c r="X18" s="22"/>
      <c r="Y18" s="22"/>
      <c r="Z18" s="22"/>
      <c r="AA18" s="22"/>
    </row>
    <row r="19" spans="3:27" s="3" customFormat="1" ht="13">
      <c r="E19" s="11"/>
      <c r="I19" s="20"/>
      <c r="K19" s="21"/>
      <c r="M19" s="31"/>
      <c r="N19" s="256"/>
      <c r="O19" s="28"/>
      <c r="P19" s="23"/>
      <c r="Q19" s="23"/>
      <c r="R19" s="24"/>
      <c r="S19" s="24"/>
      <c r="T19" s="23"/>
      <c r="V19" s="22"/>
      <c r="W19" s="22"/>
      <c r="X19" s="22"/>
      <c r="Y19" s="22"/>
      <c r="Z19" s="22"/>
      <c r="AA19" s="22"/>
    </row>
    <row r="20" spans="3:27" s="3" customFormat="1" ht="13">
      <c r="C20" s="7"/>
      <c r="D20" s="7"/>
      <c r="E20" s="11"/>
      <c r="I20" s="20"/>
      <c r="K20" s="21"/>
      <c r="M20" s="29"/>
      <c r="N20" s="256"/>
      <c r="O20" s="28"/>
      <c r="P20" s="23"/>
      <c r="Q20" s="23"/>
      <c r="R20" s="24"/>
      <c r="S20" s="24"/>
      <c r="T20" s="23"/>
      <c r="V20" s="25"/>
      <c r="W20" s="25"/>
      <c r="X20" s="25"/>
      <c r="Y20" s="25"/>
      <c r="Z20" s="25"/>
      <c r="AA20" s="25"/>
    </row>
    <row r="21" spans="3:27" s="3" customFormat="1" ht="13">
      <c r="C21" s="7"/>
      <c r="D21" s="7"/>
      <c r="E21" s="11"/>
      <c r="I21" s="20"/>
      <c r="K21" s="21"/>
      <c r="M21" s="29"/>
      <c r="N21" s="256"/>
      <c r="O21" s="28"/>
      <c r="P21" s="23"/>
      <c r="Q21" s="23"/>
      <c r="R21" s="24"/>
      <c r="S21" s="24"/>
      <c r="T21" s="23"/>
      <c r="V21" s="22"/>
      <c r="W21" s="22"/>
      <c r="X21" s="22"/>
      <c r="Y21" s="22"/>
      <c r="Z21" s="22"/>
      <c r="AA21" s="22"/>
    </row>
    <row r="22" spans="3:27" s="3" customFormat="1" ht="13">
      <c r="C22" s="7"/>
      <c r="D22" s="7"/>
      <c r="E22" s="11"/>
      <c r="I22" s="20"/>
      <c r="K22" s="22"/>
      <c r="M22" s="29"/>
      <c r="N22" s="256"/>
      <c r="O22" s="28"/>
      <c r="P22" s="23"/>
      <c r="Q22" s="23"/>
      <c r="R22" s="24"/>
      <c r="S22" s="24"/>
      <c r="T22" s="23"/>
      <c r="V22" s="22"/>
      <c r="W22" s="22"/>
      <c r="X22" s="22"/>
      <c r="Y22" s="22"/>
      <c r="Z22" s="22"/>
      <c r="AA22" s="22"/>
    </row>
    <row r="23" spans="3:27" s="3" customFormat="1" ht="13">
      <c r="E23" s="11"/>
      <c r="I23" s="20"/>
      <c r="K23" s="22"/>
      <c r="M23" s="29"/>
      <c r="N23" s="256"/>
      <c r="O23" s="28"/>
      <c r="P23" s="23"/>
      <c r="Q23" s="23"/>
      <c r="R23" s="24"/>
      <c r="S23" s="24"/>
      <c r="T23" s="23"/>
      <c r="V23" s="22"/>
      <c r="W23" s="22"/>
      <c r="X23" s="22"/>
      <c r="Y23" s="22"/>
      <c r="Z23" s="22"/>
      <c r="AA23" s="22"/>
    </row>
    <row r="24" spans="3:27" s="3" customFormat="1" ht="13">
      <c r="E24" s="11"/>
      <c r="I24" s="20"/>
      <c r="K24" s="22"/>
      <c r="M24" s="30"/>
      <c r="N24" s="256"/>
      <c r="O24" s="28"/>
      <c r="P24" s="23"/>
      <c r="Q24" s="23"/>
      <c r="R24" s="24"/>
      <c r="S24" s="24"/>
      <c r="T24" s="23"/>
      <c r="V24" s="22"/>
      <c r="W24" s="22"/>
      <c r="X24" s="22"/>
      <c r="Y24" s="22"/>
      <c r="Z24" s="22"/>
      <c r="AA24" s="22"/>
    </row>
    <row r="25" spans="3:27" s="3" customFormat="1" ht="13">
      <c r="E25" s="11"/>
      <c r="I25" s="20"/>
      <c r="K25" s="22"/>
      <c r="M25" s="30"/>
      <c r="N25" s="256"/>
      <c r="O25" s="28"/>
      <c r="P25" s="23"/>
      <c r="Q25" s="23"/>
      <c r="R25" s="24"/>
      <c r="S25" s="24"/>
      <c r="T25" s="23"/>
      <c r="V25" s="22"/>
      <c r="W25" s="22"/>
      <c r="X25" s="22"/>
      <c r="Y25" s="22"/>
      <c r="Z25" s="22"/>
      <c r="AA25" s="22"/>
    </row>
    <row r="26" spans="3:27" s="3" customFormat="1" ht="13">
      <c r="C26" s="7"/>
      <c r="D26" s="7"/>
      <c r="E26" s="11"/>
      <c r="I26" s="20"/>
      <c r="K26" s="22"/>
      <c r="M26" s="31"/>
      <c r="N26" s="256"/>
      <c r="O26" s="28"/>
      <c r="P26" s="23"/>
      <c r="Q26" s="23"/>
      <c r="R26" s="24"/>
      <c r="S26" s="24"/>
      <c r="T26" s="23"/>
      <c r="V26" s="22"/>
      <c r="W26" s="22"/>
      <c r="X26" s="22"/>
      <c r="Y26" s="22"/>
      <c r="Z26" s="22"/>
      <c r="AA26" s="22"/>
    </row>
    <row r="27" spans="3:27" s="3" customFormat="1" ht="13">
      <c r="C27" s="26"/>
      <c r="D27" s="26"/>
      <c r="E27" s="11"/>
      <c r="I27" s="20"/>
      <c r="K27" s="22"/>
      <c r="M27" s="29"/>
      <c r="N27" s="256"/>
      <c r="O27" s="28"/>
      <c r="P27" s="23"/>
      <c r="Q27" s="23"/>
      <c r="R27" s="24"/>
      <c r="S27" s="24"/>
      <c r="T27" s="23"/>
      <c r="V27" s="22"/>
      <c r="W27" s="22"/>
      <c r="X27" s="22"/>
      <c r="Y27" s="22"/>
      <c r="Z27" s="22"/>
      <c r="AA27" s="22"/>
    </row>
    <row r="28" spans="3:27" s="3" customFormat="1" ht="13">
      <c r="E28" s="11"/>
      <c r="I28" s="20"/>
      <c r="K28" s="22"/>
      <c r="M28" s="29"/>
      <c r="N28" s="256"/>
      <c r="O28" s="28"/>
      <c r="P28" s="23"/>
      <c r="Q28" s="23"/>
      <c r="R28" s="24"/>
      <c r="S28" s="24"/>
      <c r="T28" s="23"/>
      <c r="V28" s="22"/>
      <c r="W28" s="22"/>
      <c r="X28" s="22"/>
      <c r="Y28" s="22"/>
      <c r="Z28" s="22"/>
      <c r="AA28" s="22"/>
    </row>
    <row r="29" spans="3:27" s="3" customFormat="1" ht="13">
      <c r="E29" s="11"/>
      <c r="I29" s="20"/>
      <c r="K29" s="22"/>
      <c r="M29" s="29"/>
      <c r="N29" s="256"/>
      <c r="O29" s="28"/>
      <c r="P29" s="23"/>
      <c r="Q29" s="23"/>
      <c r="R29" s="24"/>
      <c r="S29" s="24"/>
      <c r="T29" s="23"/>
      <c r="V29" s="22"/>
      <c r="W29" s="22"/>
      <c r="X29" s="22"/>
      <c r="Y29" s="22"/>
      <c r="Z29" s="22"/>
      <c r="AA29" s="22"/>
    </row>
    <row r="30" spans="3:27" s="3" customFormat="1" ht="13">
      <c r="E30" s="11"/>
      <c r="I30" s="20"/>
      <c r="K30" s="22"/>
      <c r="M30" s="28"/>
      <c r="N30" s="256"/>
      <c r="O30" s="28"/>
      <c r="P30" s="23"/>
      <c r="Q30" s="23"/>
      <c r="R30" s="24"/>
      <c r="S30" s="24"/>
      <c r="T30" s="23"/>
      <c r="V30" s="22"/>
      <c r="W30" s="22"/>
      <c r="X30" s="22"/>
      <c r="Y30" s="22"/>
      <c r="Z30" s="22"/>
      <c r="AA30" s="22"/>
    </row>
    <row r="31" spans="3:27" s="3" customFormat="1" ht="13">
      <c r="E31" s="11"/>
      <c r="I31" s="20"/>
      <c r="K31" s="21"/>
      <c r="M31" s="29"/>
      <c r="N31" s="256"/>
      <c r="O31" s="28"/>
      <c r="P31" s="23"/>
      <c r="Q31" s="23"/>
      <c r="R31" s="24"/>
      <c r="S31" s="24"/>
      <c r="T31" s="23"/>
      <c r="V31" s="22"/>
      <c r="W31" s="22"/>
      <c r="X31" s="22"/>
      <c r="Y31" s="22"/>
      <c r="Z31" s="22"/>
      <c r="AA31" s="22"/>
    </row>
    <row r="32" spans="3:27" s="3" customFormat="1" ht="13">
      <c r="E32" s="11"/>
      <c r="I32" s="20"/>
      <c r="K32" s="21"/>
      <c r="M32" s="29"/>
      <c r="N32" s="256"/>
      <c r="O32" s="28"/>
      <c r="P32" s="23"/>
      <c r="Q32" s="23"/>
      <c r="R32" s="24"/>
      <c r="S32" s="24"/>
      <c r="T32" s="23"/>
      <c r="V32" s="22"/>
      <c r="W32" s="22"/>
      <c r="X32" s="22"/>
      <c r="Y32" s="22"/>
      <c r="Z32" s="22"/>
      <c r="AA32" s="22"/>
    </row>
    <row r="33" spans="3:27" s="3" customFormat="1" ht="13">
      <c r="C33" s="7"/>
      <c r="D33" s="7"/>
      <c r="E33" s="11"/>
      <c r="I33" s="20"/>
      <c r="K33" s="21"/>
      <c r="M33" s="29"/>
      <c r="N33" s="256"/>
      <c r="O33" s="28"/>
      <c r="P33" s="23"/>
      <c r="Q33" s="23"/>
      <c r="R33" s="24"/>
      <c r="S33" s="24"/>
      <c r="T33" s="23"/>
      <c r="V33" s="25"/>
      <c r="W33" s="25"/>
      <c r="X33" s="25"/>
      <c r="Y33" s="25"/>
      <c r="Z33" s="25"/>
      <c r="AA33" s="25"/>
    </row>
    <row r="34" spans="3:27" s="3" customFormat="1" ht="13">
      <c r="C34" s="7"/>
      <c r="D34" s="7"/>
      <c r="E34" s="11"/>
      <c r="I34" s="20"/>
      <c r="K34" s="21"/>
      <c r="M34" s="30"/>
      <c r="N34" s="256"/>
      <c r="O34" s="28"/>
      <c r="P34" s="23"/>
      <c r="Q34" s="23"/>
      <c r="R34" s="23"/>
      <c r="S34" s="23"/>
      <c r="T34" s="23"/>
      <c r="U34" s="23"/>
      <c r="V34" s="22"/>
      <c r="W34" s="22"/>
      <c r="X34" s="22"/>
      <c r="Y34" s="22"/>
      <c r="Z34" s="22"/>
      <c r="AA34" s="22"/>
    </row>
    <row r="35" spans="3:27" s="3" customFormat="1" ht="13">
      <c r="C35" s="7"/>
      <c r="D35" s="7"/>
      <c r="E35" s="11"/>
      <c r="I35" s="20"/>
      <c r="K35" s="21"/>
      <c r="M35" s="30"/>
      <c r="N35" s="256"/>
      <c r="O35" s="28"/>
      <c r="P35" s="23"/>
      <c r="Q35" s="23"/>
      <c r="R35" s="24"/>
      <c r="S35" s="24"/>
      <c r="T35" s="23"/>
      <c r="V35" s="22"/>
      <c r="W35" s="22"/>
      <c r="X35" s="22"/>
      <c r="Y35" s="22"/>
      <c r="Z35" s="22"/>
      <c r="AA35" s="22"/>
    </row>
    <row r="36" spans="3:27" s="3" customFormat="1" ht="13">
      <c r="C36" s="7"/>
      <c r="D36" s="7"/>
      <c r="E36" s="11"/>
      <c r="I36" s="20"/>
      <c r="K36" s="21"/>
      <c r="M36" s="29"/>
      <c r="N36" s="256"/>
      <c r="O36" s="28"/>
      <c r="P36" s="23"/>
      <c r="Q36" s="23"/>
      <c r="R36" s="24"/>
      <c r="S36" s="24"/>
      <c r="T36" s="23"/>
      <c r="V36" s="22"/>
      <c r="W36" s="22"/>
      <c r="X36" s="22"/>
      <c r="Y36" s="22"/>
      <c r="Z36" s="22"/>
      <c r="AA36" s="22"/>
    </row>
    <row r="37" spans="3:27" s="3" customFormat="1" ht="13">
      <c r="E37" s="11"/>
      <c r="I37" s="20"/>
      <c r="K37" s="21"/>
      <c r="M37" s="29"/>
      <c r="N37" s="256"/>
      <c r="O37" s="28"/>
      <c r="P37" s="23"/>
      <c r="Q37" s="23"/>
      <c r="R37" s="24"/>
      <c r="S37" s="24"/>
      <c r="T37" s="23"/>
      <c r="V37" s="22"/>
      <c r="W37" s="22"/>
      <c r="X37" s="22"/>
      <c r="Y37" s="22"/>
      <c r="Z37" s="22"/>
      <c r="AA37" s="22"/>
    </row>
    <row r="38" spans="3:27" s="3" customFormat="1" ht="13">
      <c r="E38" s="11"/>
      <c r="I38" s="20"/>
      <c r="K38" s="21"/>
      <c r="M38" s="29"/>
      <c r="N38" s="256"/>
      <c r="O38" s="28"/>
      <c r="P38" s="23"/>
      <c r="Q38" s="23"/>
      <c r="R38" s="24"/>
      <c r="S38" s="24"/>
      <c r="T38" s="23"/>
      <c r="V38" s="22"/>
      <c r="W38" s="22"/>
      <c r="X38" s="22"/>
      <c r="Y38" s="22"/>
      <c r="Z38" s="22"/>
      <c r="AA38" s="22"/>
    </row>
    <row r="39" spans="3:27" s="3" customFormat="1" ht="13">
      <c r="C39" s="7"/>
      <c r="D39" s="7"/>
      <c r="E39" s="11"/>
      <c r="I39" s="20"/>
      <c r="K39" s="21"/>
      <c r="M39" s="28"/>
      <c r="N39" s="256"/>
      <c r="O39" s="28"/>
      <c r="P39" s="23"/>
      <c r="Q39" s="23"/>
      <c r="R39" s="24"/>
      <c r="S39" s="24"/>
      <c r="T39" s="23"/>
      <c r="V39" s="25"/>
      <c r="W39" s="25"/>
      <c r="X39" s="25"/>
      <c r="Y39" s="25"/>
      <c r="Z39" s="25"/>
      <c r="AA39" s="25"/>
    </row>
    <row r="40" spans="3:27" s="3" customFormat="1" ht="13">
      <c r="C40" s="7"/>
      <c r="D40" s="7"/>
      <c r="E40" s="11"/>
      <c r="I40" s="20"/>
      <c r="K40" s="21"/>
      <c r="M40" s="28"/>
      <c r="N40" s="256"/>
      <c r="O40" s="28"/>
      <c r="P40" s="23"/>
      <c r="Q40" s="23"/>
      <c r="R40" s="24"/>
      <c r="S40" s="24"/>
      <c r="T40" s="23"/>
      <c r="V40" s="22"/>
      <c r="W40" s="22"/>
      <c r="X40" s="22"/>
      <c r="Y40" s="22"/>
      <c r="Z40" s="22"/>
      <c r="AA40" s="22"/>
    </row>
    <row r="41" spans="3:27" s="3" customFormat="1" ht="13">
      <c r="C41" s="7"/>
      <c r="D41" s="7"/>
      <c r="I41" s="19"/>
      <c r="M41" s="31"/>
      <c r="N41" s="256"/>
      <c r="O41" s="28"/>
      <c r="P41" s="23"/>
      <c r="Q41" s="23"/>
      <c r="R41" s="24"/>
      <c r="S41" s="24"/>
      <c r="T41" s="23"/>
      <c r="V41" s="22"/>
      <c r="W41" s="22"/>
      <c r="X41" s="22"/>
      <c r="Y41" s="22"/>
      <c r="Z41" s="22"/>
      <c r="AA41" s="22"/>
    </row>
    <row r="42" spans="3:27" s="3" customFormat="1" ht="13">
      <c r="C42" s="7"/>
      <c r="D42" s="7"/>
      <c r="I42" s="19"/>
      <c r="M42" s="29"/>
      <c r="N42" s="256"/>
      <c r="O42" s="28"/>
    </row>
    <row r="43" spans="3:27" s="3" customFormat="1" ht="13">
      <c r="I43" s="19"/>
      <c r="M43" s="29"/>
      <c r="N43" s="256"/>
      <c r="O43" s="28"/>
    </row>
    <row r="44" spans="3:27" s="3" customFormat="1" ht="13">
      <c r="I44" s="19"/>
      <c r="M44" s="29"/>
      <c r="N44" s="256"/>
      <c r="O44" s="28"/>
    </row>
    <row r="45" spans="3:27" s="3" customFormat="1" ht="13">
      <c r="C45" s="7"/>
      <c r="D45" s="7"/>
      <c r="I45" s="19"/>
      <c r="M45" s="28"/>
      <c r="N45" s="256"/>
      <c r="O45" s="28"/>
    </row>
    <row r="46" spans="3:27" s="3" customFormat="1">
      <c r="I46" s="19"/>
      <c r="M46" s="28"/>
      <c r="N46" s="256"/>
      <c r="O46" s="28"/>
    </row>
    <row r="47" spans="3:27" s="3" customFormat="1">
      <c r="I47" s="19"/>
      <c r="M47" s="28"/>
      <c r="N47" s="256"/>
      <c r="O47" s="28"/>
    </row>
    <row r="48" spans="3:27" s="3" customFormat="1" ht="13">
      <c r="I48" s="19"/>
      <c r="M48" s="30"/>
      <c r="N48" s="256"/>
      <c r="O48" s="28"/>
    </row>
    <row r="49" spans="3:15" s="3" customFormat="1" ht="13">
      <c r="C49" s="7"/>
      <c r="D49" s="7"/>
      <c r="I49" s="19"/>
      <c r="M49" s="30"/>
      <c r="N49" s="256"/>
      <c r="O49" s="28"/>
    </row>
    <row r="50" spans="3:15" s="3" customFormat="1" ht="13">
      <c r="I50" s="19"/>
      <c r="M50" s="31"/>
      <c r="N50" s="256"/>
      <c r="O50" s="28"/>
    </row>
    <row r="51" spans="3:15" s="3" customFormat="1" ht="13">
      <c r="I51" s="19"/>
      <c r="M51" s="31"/>
      <c r="N51" s="256"/>
      <c r="O51" s="28"/>
    </row>
    <row r="52" spans="3:15" s="3" customFormat="1" ht="13">
      <c r="I52" s="19"/>
      <c r="M52" s="30"/>
      <c r="N52" s="256"/>
      <c r="O52" s="28"/>
    </row>
    <row r="53" spans="3:15" s="3" customFormat="1" ht="13">
      <c r="I53" s="19"/>
      <c r="M53" s="30"/>
      <c r="N53" s="256"/>
      <c r="O53" s="28"/>
    </row>
    <row r="54" spans="3:15" s="3" customFormat="1" ht="13">
      <c r="I54" s="19"/>
      <c r="M54" s="31"/>
      <c r="N54" s="256"/>
      <c r="O54" s="17"/>
    </row>
    <row r="55" spans="3:15" s="3" customFormat="1" ht="13">
      <c r="I55" s="19"/>
      <c r="M55" s="31"/>
      <c r="N55" s="256"/>
      <c r="O55" s="28"/>
    </row>
    <row r="56" spans="3:15" s="3" customFormat="1" ht="13">
      <c r="I56" s="19"/>
      <c r="M56" s="30"/>
      <c r="N56" s="256"/>
      <c r="O56" s="28"/>
    </row>
    <row r="57" spans="3:15" s="3" customFormat="1" ht="13">
      <c r="I57" s="19"/>
      <c r="M57" s="30"/>
      <c r="N57" s="256"/>
      <c r="O57" s="28"/>
    </row>
    <row r="58" spans="3:15" s="3" customFormat="1" ht="13">
      <c r="I58" s="19"/>
      <c r="M58" s="31"/>
      <c r="N58" s="256"/>
      <c r="O58" s="17"/>
    </row>
    <row r="59" spans="3:15" s="3" customFormat="1" ht="13">
      <c r="I59" s="19"/>
      <c r="M59" s="31"/>
      <c r="N59" s="257"/>
      <c r="O59" s="28"/>
    </row>
    <row r="60" spans="3:15" s="3" customFormat="1" ht="13">
      <c r="I60" s="19"/>
      <c r="M60" s="31"/>
      <c r="N60" s="257"/>
      <c r="O60" s="28"/>
    </row>
    <row r="61" spans="3:15" s="3" customFormat="1" ht="13">
      <c r="I61" s="19"/>
      <c r="M61" s="31"/>
      <c r="N61" s="257"/>
      <c r="O61" s="28"/>
    </row>
    <row r="62" spans="3:15" s="3" customFormat="1" ht="13">
      <c r="I62" s="19"/>
      <c r="M62" s="31"/>
      <c r="N62" s="257"/>
      <c r="O62" s="28"/>
    </row>
    <row r="63" spans="3:15" s="3" customFormat="1" ht="13">
      <c r="I63" s="19"/>
      <c r="M63" s="31"/>
      <c r="N63" s="257"/>
      <c r="O63" s="28"/>
    </row>
    <row r="64" spans="3:15" s="3" customFormat="1" ht="13">
      <c r="I64" s="19"/>
      <c r="M64" s="31"/>
      <c r="N64" s="257"/>
      <c r="O64" s="28"/>
    </row>
    <row r="65" spans="3:15" s="3" customFormat="1" ht="13">
      <c r="I65" s="19"/>
      <c r="M65" s="31"/>
      <c r="N65" s="257"/>
      <c r="O65" s="28"/>
    </row>
    <row r="66" spans="3:15" s="3" customFormat="1" ht="13">
      <c r="M66" s="31"/>
      <c r="N66" s="257"/>
      <c r="O66" s="28"/>
    </row>
    <row r="67" spans="3:15" s="3" customFormat="1" ht="13">
      <c r="M67" s="29"/>
      <c r="N67" s="257"/>
      <c r="O67" s="28"/>
    </row>
    <row r="68" spans="3:15" s="3" customFormat="1" ht="13">
      <c r="M68" s="29"/>
      <c r="N68" s="257"/>
      <c r="O68" s="28"/>
    </row>
    <row r="69" spans="3:15" s="3" customFormat="1" ht="13">
      <c r="C69" s="7"/>
      <c r="D69" s="7"/>
      <c r="M69" s="29"/>
      <c r="N69" s="257"/>
      <c r="O69" s="28"/>
    </row>
    <row r="70" spans="3:15" s="3" customFormat="1">
      <c r="M70" s="28"/>
      <c r="N70" s="257"/>
      <c r="O70" s="28"/>
    </row>
    <row r="71" spans="3:15" s="3" customFormat="1">
      <c r="M71" s="28"/>
      <c r="N71" s="257"/>
      <c r="O71" s="28"/>
    </row>
    <row r="72" spans="3:15">
      <c r="M72" s="28"/>
      <c r="N72" s="257"/>
      <c r="O72" s="28"/>
    </row>
    <row r="73" spans="3:15" ht="13">
      <c r="M73" s="30"/>
      <c r="N73" s="257"/>
      <c r="O73" s="28"/>
    </row>
    <row r="74" spans="3:15" ht="13">
      <c r="M74" s="30"/>
      <c r="N74" s="256"/>
      <c r="O74" s="28"/>
    </row>
    <row r="75" spans="3:15">
      <c r="M75" s="28"/>
      <c r="N75" s="257"/>
      <c r="O75" s="28"/>
    </row>
    <row r="76" spans="3:15">
      <c r="M76" s="28"/>
      <c r="N76" s="257"/>
      <c r="O76" s="28"/>
    </row>
    <row r="77" spans="3:15">
      <c r="M77" s="28"/>
      <c r="N77" s="257"/>
      <c r="O77" s="28"/>
    </row>
  </sheetData>
  <sheetProtection algorithmName="SHA-512" hashValue="BGIp7fhfx05GskVGoZ604xCCXU0H/UpkknrQ0Y1BhVHJL0tb/zDi7ZeU5sfa1rooLaFGaSBeCcrHGB3fgIlONQ==" saltValue="qMSWl2paaTtS7XhLEY5VcQ==" spinCount="100000" sheet="1" objects="1" scenarios="1"/>
  <phoneticPr fontId="2" type="noConversion"/>
  <pageMargins left="0.39370078740157483" right="0.39370078740157483" top="0.74803149606299213" bottom="0.74803149606299213" header="0.31496062992125984" footer="0.31496062992125984"/>
  <pageSetup paperSize="9" orientation="landscape" r:id="rId1"/>
  <headerFooter>
    <oddFooter>&amp;L&amp;A
Printed &amp;D</oddFooter>
  </headerFooter>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pageSetUpPr fitToPage="1"/>
  </sheetPr>
  <dimension ref="A1:O43"/>
  <sheetViews>
    <sheetView topLeftCell="A8" zoomScaleNormal="100" workbookViewId="0">
      <selection activeCell="E20" sqref="E20"/>
    </sheetView>
  </sheetViews>
  <sheetFormatPr defaultColWidth="9.1796875" defaultRowHeight="12.5"/>
  <cols>
    <col min="1" max="1" width="40.453125" style="339" customWidth="1"/>
    <col min="2" max="2" width="8.81640625" style="360" customWidth="1"/>
    <col min="3" max="3" width="16.6328125" style="339" customWidth="1"/>
    <col min="4" max="4" width="28.453125" style="339" customWidth="1"/>
    <col min="5" max="5" width="26.36328125" style="339" customWidth="1"/>
    <col min="6" max="6" width="14.6328125" style="339" customWidth="1"/>
    <col min="7" max="8" width="12.36328125" style="339" customWidth="1"/>
    <col min="9" max="9" width="13.453125" style="339" customWidth="1"/>
    <col min="10" max="11" width="12.36328125" style="339" customWidth="1"/>
    <col min="12" max="12" width="16.1796875" style="339" customWidth="1"/>
    <col min="13" max="13" width="6.6328125" style="339" customWidth="1"/>
    <col min="14" max="14" width="8.6328125" style="339" customWidth="1"/>
    <col min="15" max="15" width="8" style="339" hidden="1" customWidth="1"/>
    <col min="16" max="16384" width="9.1796875" style="339"/>
  </cols>
  <sheetData>
    <row r="1" spans="1:15" s="370" customFormat="1" ht="13">
      <c r="A1" s="391" t="s">
        <v>926</v>
      </c>
      <c r="B1" s="392"/>
    </row>
    <row r="2" spans="1:15" s="370" customFormat="1" ht="30" customHeight="1">
      <c r="A2" s="810" t="str">
        <f>IF(ISNA(MATCH("n",O9:O29,0)),"","
The Estimated Hg input (or equivalent inserted IL2 results) marked in red colour is very high compared to previous observations. Data may be correct, but please confirm your activity rate data (or inserted IL2 data).")</f>
        <v/>
      </c>
      <c r="B2" s="810"/>
      <c r="C2" s="810"/>
      <c r="D2" s="810"/>
      <c r="E2" s="810"/>
      <c r="F2" s="810"/>
      <c r="G2" s="810"/>
      <c r="H2" s="810"/>
      <c r="I2" s="810"/>
      <c r="J2" s="810"/>
      <c r="K2" s="810"/>
      <c r="L2" s="810"/>
      <c r="M2" s="810"/>
    </row>
    <row r="3" spans="1:15" ht="26.5" thickBot="1">
      <c r="A3" s="721" t="s">
        <v>927</v>
      </c>
      <c r="B3" s="728" t="str">
        <f>quest2</f>
        <v>S/N</v>
      </c>
      <c r="C3" s="729"/>
      <c r="D3" s="729"/>
      <c r="E3" s="728" t="str">
        <f>quest2</f>
        <v>S/N</v>
      </c>
      <c r="F3" s="730"/>
      <c r="G3" s="730"/>
      <c r="H3" s="729"/>
      <c r="I3" s="730"/>
      <c r="J3" s="730"/>
      <c r="K3" s="730"/>
      <c r="L3" s="262"/>
      <c r="M3" s="262"/>
      <c r="N3" s="463"/>
    </row>
    <row r="4" spans="1:15" ht="64" thickBot="1">
      <c r="A4" s="674" t="s">
        <v>928</v>
      </c>
      <c r="B4" s="677" t="s">
        <v>435</v>
      </c>
      <c r="C4" s="674"/>
      <c r="D4" s="674" t="s">
        <v>1201</v>
      </c>
      <c r="E4" s="677" t="s">
        <v>435</v>
      </c>
      <c r="F4" s="811" t="s">
        <v>1202</v>
      </c>
      <c r="G4" s="812"/>
      <c r="H4" s="513"/>
      <c r="I4" s="272"/>
      <c r="J4" s="272"/>
      <c r="K4" s="272"/>
      <c r="L4" s="262"/>
      <c r="M4" s="262"/>
      <c r="N4" s="463"/>
    </row>
    <row r="5" spans="1:15">
      <c r="A5" s="485"/>
      <c r="B5" s="676" t="s">
        <v>1203</v>
      </c>
      <c r="C5" s="395"/>
      <c r="D5" s="514"/>
      <c r="E5" s="514"/>
      <c r="F5" s="514"/>
      <c r="G5" s="514"/>
      <c r="H5" s="514"/>
      <c r="I5" s="396"/>
      <c r="J5" s="396"/>
      <c r="K5" s="396"/>
      <c r="L5" s="396"/>
      <c r="M5" s="262"/>
      <c r="N5" s="463"/>
    </row>
    <row r="6" spans="1:15" s="370" customFormat="1" ht="13">
      <c r="A6" s="486" t="s">
        <v>929</v>
      </c>
      <c r="B6" s="397"/>
      <c r="C6" s="396"/>
      <c r="D6" s="396"/>
      <c r="E6" s="396"/>
      <c r="F6" s="396"/>
      <c r="G6" s="396"/>
      <c r="H6" s="396"/>
      <c r="I6" s="396"/>
      <c r="J6" s="396"/>
      <c r="K6" s="396"/>
      <c r="L6" s="396"/>
      <c r="M6" s="396"/>
      <c r="N6" s="465"/>
    </row>
    <row r="7" spans="1:15" s="361" customFormat="1" ht="38.25" customHeight="1">
      <c r="A7" s="721" t="s">
        <v>837</v>
      </c>
      <c r="B7" s="723" t="s">
        <v>840</v>
      </c>
      <c r="C7" s="723" t="s">
        <v>839</v>
      </c>
      <c r="D7" s="721"/>
      <c r="E7" s="721"/>
      <c r="F7" s="736" t="s">
        <v>854</v>
      </c>
      <c r="G7" s="804" t="s">
        <v>855</v>
      </c>
      <c r="H7" s="805"/>
      <c r="I7" s="805"/>
      <c r="J7" s="805"/>
      <c r="K7" s="805"/>
      <c r="L7" s="806"/>
      <c r="M7" s="721"/>
      <c r="N7" s="466"/>
    </row>
    <row r="8" spans="1:15" ht="65.5" thickBot="1">
      <c r="A8" s="721" t="s">
        <v>935</v>
      </c>
      <c r="B8" s="728" t="str">
        <f>quest</f>
        <v>S/N/?</v>
      </c>
      <c r="C8" s="725" t="s">
        <v>930</v>
      </c>
      <c r="D8" s="723" t="s">
        <v>843</v>
      </c>
      <c r="E8" s="759" t="s">
        <v>768</v>
      </c>
      <c r="F8" s="726" t="s">
        <v>856</v>
      </c>
      <c r="G8" s="736" t="s">
        <v>857</v>
      </c>
      <c r="H8" s="727" t="s">
        <v>858</v>
      </c>
      <c r="I8" s="727" t="s">
        <v>859</v>
      </c>
      <c r="J8" s="727" t="s">
        <v>860</v>
      </c>
      <c r="K8" s="736" t="s">
        <v>861</v>
      </c>
      <c r="L8" s="736" t="s">
        <v>862</v>
      </c>
      <c r="M8" s="736" t="s">
        <v>863</v>
      </c>
      <c r="N8" s="93" t="s">
        <v>864</v>
      </c>
    </row>
    <row r="9" spans="1:15" ht="25">
      <c r="A9" s="270" t="s">
        <v>931</v>
      </c>
      <c r="B9" s="622"/>
      <c r="C9" s="378"/>
      <c r="D9" s="271" t="s">
        <v>932</v>
      </c>
      <c r="E9" s="271"/>
      <c r="F9" s="461" t="str">
        <f>IF(OR($B9=yes,$B9=yes),'5-7 Recycl metals'!K6, IF(OR($B9=no,$B9=no),"-", IF($B9=que,que, pres)))</f>
        <v>¿Presente?</v>
      </c>
      <c r="G9" s="462" t="str">
        <f>IF(OR($B9=yes,$B9=yes),'5-7 Recycl metals'!V6, IF(OR($B9=no,$B9=no),"-", IF($B9=que,que, pres)))</f>
        <v>¿Presente?</v>
      </c>
      <c r="H9" s="462" t="str">
        <f>IF(OR($B9=yes,$B9=yes),'5-7 Recycl metals'!W6, IF(OR($B9=no,$B9=no),"-", IF($B9=que,que, pres)))</f>
        <v>¿Presente?</v>
      </c>
      <c r="I9" s="462" t="str">
        <f>IF(OR($B9=yes,$B9=yes),'5-7 Recycl metals'!X6, IF(OR($B9=no,$B9=no),"-", IF($B9=que,que, pres)))</f>
        <v>¿Presente?</v>
      </c>
      <c r="J9" s="462" t="str">
        <f>IF(OR($B9=yes,$B9=yes),'5-7 Recycl metals'!Y6, IF(OR($B9=no,$B9=no),"-", IF($B9=que,que, pres)))</f>
        <v>¿Presente?</v>
      </c>
      <c r="K9" s="462" t="str">
        <f>IF(OR($B9=yes,$B9=yes),'5-7 Recycl metals'!Z6, IF(OR($B9=no,$B9=no),"-", IF($B9=que,que, pres)))</f>
        <v>¿Presente?</v>
      </c>
      <c r="L9" s="462" t="str">
        <f>IF(OR($B9=yes,$B9=yes),'5-7 Recycl metals'!AA6, IF(OR($B9=no,$B9=no),"-", IF($B9=que,que, pres)))</f>
        <v>¿Presente?</v>
      </c>
      <c r="M9" s="273" t="s">
        <v>275</v>
      </c>
      <c r="N9" s="463"/>
      <c r="O9" s="339" t="str">
        <f>INDEX('Range-thresholds'!$G$6:$G$73,MATCH(A9,'Range-thresholds'!$A$6:$A$73,0))</f>
        <v/>
      </c>
    </row>
    <row r="10" spans="1:15" ht="25.5" thickBot="1">
      <c r="A10" s="270" t="s">
        <v>933</v>
      </c>
      <c r="B10" s="623"/>
      <c r="C10" s="401"/>
      <c r="D10" s="271" t="s">
        <v>934</v>
      </c>
      <c r="E10" s="271"/>
      <c r="F10" s="461" t="str">
        <f>IF(OR($B10=yes,$B10=yes),'5-7 Recycl metals'!K8, IF(OR($B10=no,$B10=no),"-", IF($B10=que,que, pres)))</f>
        <v>¿Presente?</v>
      </c>
      <c r="G10" s="462" t="str">
        <f>IF(OR($B10=yes,$B10=yes),'5-7 Recycl metals'!V8, IF(OR($B10=no,$B10=no),"-", IF($B10=que,que, pres)))</f>
        <v>¿Presente?</v>
      </c>
      <c r="H10" s="462" t="str">
        <f>IF(OR($B10=yes,$B10=yes),'5-7 Recycl metals'!W8, IF(OR($B10=no,$B10=no),"-", IF($B10=que,que, pres)))</f>
        <v>¿Presente?</v>
      </c>
      <c r="I10" s="462" t="str">
        <f>IF(OR($B10=yes,$B10=yes),'5-7 Recycl metals'!X8, IF(OR($B10=no,$B10=no),"-", IF($B10=que,que, pres)))</f>
        <v>¿Presente?</v>
      </c>
      <c r="J10" s="462" t="str">
        <f>IF(OR($B10=yes,$B10=yes),'5-7 Recycl metals'!Y8, IF(OR($B10=no,$B10=no),"-", IF($B10=que,que, pres)))</f>
        <v>¿Presente?</v>
      </c>
      <c r="K10" s="462" t="str">
        <f>IF(OR($B10=yes,$B10=yes),'5-7 Recycl metals'!Z8, IF(OR($B10=no,$B10=no),"-", IF($B10=que,que, pres)))</f>
        <v>¿Presente?</v>
      </c>
      <c r="L10" s="462" t="str">
        <f>IF(OR($B10=yes,$B10=yes),'5-7 Recycl metals'!AA8, IF(OR($B10=no,$B10=no),"-", IF($B10=que,que, pres)))</f>
        <v>¿Presente?</v>
      </c>
      <c r="M10" s="273" t="s">
        <v>373</v>
      </c>
      <c r="N10" s="463"/>
      <c r="O10" s="339" t="str">
        <f>INDEX('Range-thresholds'!$G$6:$G$73,MATCH(A10,'Range-thresholds'!$A$6:$A$73,0))</f>
        <v/>
      </c>
    </row>
    <row r="11" spans="1:15">
      <c r="A11" s="263"/>
      <c r="B11" s="399"/>
      <c r="C11" s="400"/>
      <c r="D11" s="273"/>
      <c r="E11" s="273"/>
      <c r="F11" s="461"/>
      <c r="G11" s="462"/>
      <c r="H11" s="462"/>
      <c r="I11" s="462"/>
      <c r="J11" s="462"/>
      <c r="K11" s="462"/>
      <c r="L11" s="462"/>
      <c r="M11" s="273"/>
      <c r="N11" s="463"/>
    </row>
    <row r="12" spans="1:15" ht="13.5" thickBot="1">
      <c r="A12" s="265" t="s">
        <v>936</v>
      </c>
      <c r="B12" s="267"/>
      <c r="C12" s="347"/>
      <c r="D12" s="273"/>
      <c r="E12" s="273"/>
      <c r="F12" s="461"/>
      <c r="G12" s="462"/>
      <c r="H12" s="462"/>
      <c r="I12" s="462"/>
      <c r="J12" s="462"/>
      <c r="K12" s="462"/>
      <c r="L12" s="462"/>
      <c r="M12" s="273"/>
      <c r="N12" s="463"/>
    </row>
    <row r="13" spans="1:15" ht="25.5" thickBot="1">
      <c r="A13" s="270" t="s">
        <v>937</v>
      </c>
      <c r="B13" s="625"/>
      <c r="C13" s="404"/>
      <c r="D13" s="271" t="s">
        <v>938</v>
      </c>
      <c r="E13" s="670"/>
      <c r="F13" s="461" t="str">
        <f>IF(OR($B13=yes,$B13=yes),'5-8 Waste incin'!K7, IF(OR($B13=no,$B13=no),"-", IF($B13=que,que, pres)))</f>
        <v>¿Presente?</v>
      </c>
      <c r="G13" s="462" t="str">
        <f>IF(OR($B13=yes,$B13=yes),SUM('5-8 Waste incin'!V7:V10), IF(OR($B13=no,$B13=no),"-", IF($B13=que,que, pres)))</f>
        <v>¿Presente?</v>
      </c>
      <c r="H13" s="462" t="str">
        <f>IF(OR($B13=yes,$B13=yes),SUM('5-8 Waste incin'!W7:W10), IF(OR($B13=no,$B13=no),"-", IF($B13=que,que, pres)))</f>
        <v>¿Presente?</v>
      </c>
      <c r="I13" s="462" t="str">
        <f>IF(OR($B13=yes,$B13=yes),SUM('5-8 Waste incin'!X7:X10), IF(OR($B13=no,$B13=no),"-", IF($B13=que,que, pres)))</f>
        <v>¿Presente?</v>
      </c>
      <c r="J13" s="462" t="str">
        <f>IF(OR($B13=yes,$B13=yes),SUM('5-8 Waste incin'!Y7:Y10), IF(OR($B13=no,$B13=no),"-", IF($B13=que,que, pres)))</f>
        <v>¿Presente?</v>
      </c>
      <c r="K13" s="462" t="str">
        <f>IF(OR($B13=yes,$B13=yes),SUM('5-8 Waste incin'!Z7:Z10), IF(OR($B13=no,$B13=no),"-", IF($B13=que,que, pres)))</f>
        <v>¿Presente?</v>
      </c>
      <c r="L13" s="462" t="str">
        <f>IF(OR($B13=yes,$B13=yes),SUM('5-8 Waste incin'!AA7:AA10), IF(OR($B13=no,$B13=no),"-", IF($B13=que,que, pres)))</f>
        <v>¿Presente?</v>
      </c>
      <c r="M13" s="273" t="s">
        <v>196</v>
      </c>
      <c r="N13" s="464"/>
      <c r="O13" s="339" t="str">
        <f>INDEX('Range-thresholds'!$G$6:$G$73,MATCH(A13,'Range-thresholds'!$A$6:$A$73,0))</f>
        <v/>
      </c>
    </row>
    <row r="14" spans="1:15" ht="82" customHeight="1">
      <c r="A14" s="270"/>
      <c r="B14" s="273"/>
      <c r="C14" s="273"/>
      <c r="D14" s="663"/>
      <c r="E14" s="664" t="s">
        <v>1176</v>
      </c>
      <c r="F14" s="664"/>
      <c r="G14" s="664" t="s">
        <v>1204</v>
      </c>
      <c r="H14" s="664" t="s">
        <v>1205</v>
      </c>
      <c r="I14" s="664" t="s">
        <v>1206</v>
      </c>
      <c r="J14" s="664" t="s">
        <v>1207</v>
      </c>
      <c r="K14" s="462"/>
      <c r="L14" s="462"/>
      <c r="M14" s="273"/>
      <c r="N14" s="464"/>
    </row>
    <row r="15" spans="1:15" ht="25.5" thickBot="1">
      <c r="A15" s="270"/>
      <c r="B15" s="273"/>
      <c r="C15" s="273"/>
      <c r="D15" s="665" t="s">
        <v>766</v>
      </c>
      <c r="E15" s="664" t="s">
        <v>1175</v>
      </c>
      <c r="F15" s="664"/>
      <c r="G15" s="666">
        <f>100-H15-I15-J15-K15-L15</f>
        <v>0</v>
      </c>
      <c r="H15" s="671">
        <v>100</v>
      </c>
      <c r="I15" s="671"/>
      <c r="J15" s="671"/>
      <c r="K15" s="462"/>
      <c r="L15" s="462"/>
      <c r="M15" s="708" t="s">
        <v>1169</v>
      </c>
      <c r="N15" s="464"/>
    </row>
    <row r="16" spans="1:15" ht="13" thickBot="1">
      <c r="A16" s="270" t="s">
        <v>939</v>
      </c>
      <c r="B16" s="625"/>
      <c r="C16" s="404"/>
      <c r="D16" s="271" t="s">
        <v>940</v>
      </c>
      <c r="E16" s="670"/>
      <c r="F16" s="461" t="str">
        <f>IF(OR($B16=yes,$B16=yes),'5-8 Waste incin'!K13, IF(OR($B16=no,$B16=no),"-", IF($B16=que,que, pres)))</f>
        <v>¿Presente?</v>
      </c>
      <c r="G16" s="462" t="str">
        <f>IF(OR($B16=yes,$B16=yes),SUM('5-8 Waste incin'!V13:V16), IF(OR($B16=no,$B16=no),"-", IF($B16=que,que, pres)))</f>
        <v>¿Presente?</v>
      </c>
      <c r="H16" s="462" t="str">
        <f>IF(OR($B16=yes,$B16=yes),SUM('5-8 Waste incin'!W13:W16), IF(OR($B16=no,$B16=no),"-", IF($B16=que,que, pres)))</f>
        <v>¿Presente?</v>
      </c>
      <c r="I16" s="462" t="str">
        <f>IF(OR($B16=yes,$B16=yes),SUM('5-8 Waste incin'!X13:X16), IF(OR($B16=no,$B16=no),"-", IF($B16=que,que, pres)))</f>
        <v>¿Presente?</v>
      </c>
      <c r="J16" s="462" t="str">
        <f>IF(OR($B16=yes,$B16=yes),SUM('5-8 Waste incin'!Y13:Y16), IF(OR($B16=no,$B16=no),"-", IF($B16=que,que, pres)))</f>
        <v>¿Presente?</v>
      </c>
      <c r="K16" s="462" t="str">
        <f>IF(OR($B16=yes,$B16=yes),SUM('5-8 Waste incin'!Z13:Z16), IF(OR($B16=no,$B16=no),"-", IF($B16=que,que, pres)))</f>
        <v>¿Presente?</v>
      </c>
      <c r="L16" s="462" t="str">
        <f>IF(OR($B16=yes,$B16=yes),SUM('5-8 Waste incin'!AA13:AA16), IF(OR($B16=no,$B16=no),"-", IF($B16=que,que, pres)))</f>
        <v>¿Presente?</v>
      </c>
      <c r="M16" s="273" t="s">
        <v>200</v>
      </c>
      <c r="N16" s="463"/>
    </row>
    <row r="17" spans="1:14" ht="81" customHeight="1">
      <c r="A17" s="270"/>
      <c r="B17" s="273"/>
      <c r="C17" s="273"/>
      <c r="D17" s="663"/>
      <c r="E17" s="664" t="s">
        <v>1176</v>
      </c>
      <c r="F17" s="664"/>
      <c r="G17" s="664" t="s">
        <v>1204</v>
      </c>
      <c r="H17" s="664" t="s">
        <v>1205</v>
      </c>
      <c r="I17" s="664" t="s">
        <v>1206</v>
      </c>
      <c r="J17" s="664" t="s">
        <v>1207</v>
      </c>
      <c r="K17" s="462"/>
      <c r="L17" s="462"/>
      <c r="M17" s="273"/>
      <c r="N17" s="463"/>
    </row>
    <row r="18" spans="1:14" ht="25.5" thickBot="1">
      <c r="A18" s="270"/>
      <c r="B18" s="669"/>
      <c r="C18" s="669"/>
      <c r="D18" s="665" t="s">
        <v>766</v>
      </c>
      <c r="E18" s="664" t="s">
        <v>1175</v>
      </c>
      <c r="F18" s="664"/>
      <c r="G18" s="666">
        <f>100-H18-I18-J18-K18-L18</f>
        <v>0</v>
      </c>
      <c r="H18" s="671">
        <v>100</v>
      </c>
      <c r="I18" s="671"/>
      <c r="J18" s="671"/>
      <c r="K18" s="462"/>
      <c r="L18" s="462"/>
      <c r="M18" s="708" t="s">
        <v>1169</v>
      </c>
      <c r="N18" s="464"/>
    </row>
    <row r="19" spans="1:14" ht="27" customHeight="1" thickBot="1">
      <c r="A19" s="603" t="s">
        <v>941</v>
      </c>
      <c r="B19" s="625"/>
      <c r="C19" s="800"/>
      <c r="D19" s="271" t="s">
        <v>938</v>
      </c>
      <c r="E19" s="670"/>
      <c r="F19" s="461" t="str">
        <f>IF(OR($B19=yes,$B19=yes),'5-8 Waste incin'!K19, IF(OR($B19=no,$B19=no),"-", IF($B19=que,que, pres)))</f>
        <v>¿Presente?</v>
      </c>
      <c r="G19" s="462" t="str">
        <f>IF(OR($B19=yes,$B19=yes),SUM('5-8 Waste incin'!V19:V22), IF(OR($B19=no,$B19=no),"-", IF($B19=que,que, pres)))</f>
        <v>¿Presente?</v>
      </c>
      <c r="H19" s="462" t="str">
        <f>IF(OR($B19=yes,$B19=yes),SUM('5-8 Waste incin'!W19:W22), IF(OR($B19=no,$B19=no),"-", IF($B19=que,que, pres)))</f>
        <v>¿Presente?</v>
      </c>
      <c r="I19" s="462" t="str">
        <f>IF(OR($B19=yes,$B19=yes),SUM('5-8 Waste incin'!X19:X22), IF(OR($B19=no,$B19=no),"-", IF($B19=que,que, pres)))</f>
        <v>¿Presente?</v>
      </c>
      <c r="J19" s="462" t="str">
        <f>IF(OR($B19=yes,$B19=yes),SUM('5-8 Waste incin'!Y19:Y22), IF(OR($B19=no,$B19=no),"-", IF($B19=que,que, pres)))</f>
        <v>¿Presente?</v>
      </c>
      <c r="K19" s="462" t="str">
        <f>IF(OR($B19=yes,$B19=yes),'5-8 Waste incin'!Z18, IF(OR($B19=no,$B19=no),"-", IF($B19=que,que, pres)))</f>
        <v>¿Presente?</v>
      </c>
      <c r="L19" s="462" t="str">
        <f>IF(OR($B19=yes,$B19=yes),'5-8 Waste incin'!AA18, IF(OR($B19=no,$B19=no),"-", IF($B19=que,que, pres)))</f>
        <v>¿Presente?</v>
      </c>
      <c r="M19" s="273" t="s">
        <v>205</v>
      </c>
      <c r="N19" s="463"/>
    </row>
    <row r="20" spans="1:14" ht="82" customHeight="1">
      <c r="A20" s="275"/>
      <c r="B20" s="399"/>
      <c r="C20" s="399"/>
      <c r="D20" s="663"/>
      <c r="E20" s="664" t="s">
        <v>1176</v>
      </c>
      <c r="F20" s="664"/>
      <c r="G20" s="664" t="s">
        <v>1204</v>
      </c>
      <c r="H20" s="664" t="s">
        <v>1205</v>
      </c>
      <c r="I20" s="664" t="s">
        <v>1206</v>
      </c>
      <c r="J20" s="664" t="s">
        <v>1207</v>
      </c>
      <c r="K20" s="462"/>
      <c r="L20" s="462"/>
      <c r="M20" s="273"/>
      <c r="N20" s="463"/>
    </row>
    <row r="21" spans="1:14" ht="25.5" thickBot="1">
      <c r="A21" s="275"/>
      <c r="B21" s="273"/>
      <c r="C21" s="273"/>
      <c r="D21" s="665" t="s">
        <v>766</v>
      </c>
      <c r="E21" s="664" t="s">
        <v>1175</v>
      </c>
      <c r="F21" s="664"/>
      <c r="G21" s="666">
        <f>100-H21-I21-J21-K21-L21</f>
        <v>100</v>
      </c>
      <c r="H21" s="671"/>
      <c r="I21" s="671"/>
      <c r="J21" s="671"/>
      <c r="K21" s="462"/>
      <c r="L21" s="462"/>
      <c r="M21" s="708" t="s">
        <v>1169</v>
      </c>
      <c r="N21" s="464"/>
    </row>
    <row r="22" spans="1:14">
      <c r="A22" s="270" t="s">
        <v>942</v>
      </c>
      <c r="B22" s="622"/>
      <c r="C22" s="378"/>
      <c r="D22" s="271" t="s">
        <v>938</v>
      </c>
      <c r="E22" s="271"/>
      <c r="F22" s="461" t="str">
        <f>IF(OR($B22=yes,$B22=yes),'5-8 Waste incin'!K24, IF(OR($B22=no,$B22=no),"-", IF($B22=que,que, pres)))</f>
        <v>¿Presente?</v>
      </c>
      <c r="G22" s="462" t="str">
        <f>IF(OR($B22=yes,$B22=yes),'5-8 Waste incin'!V24, IF(OR($B22=no,$B22=no),"-", IF($B22=que,que, pres)))</f>
        <v>¿Presente?</v>
      </c>
      <c r="H22" s="462" t="str">
        <f>IF(OR($B22=yes,$B22=yes),'5-8 Waste incin'!W24, IF(OR($B22=no,$B22=no),"-", IF($B22=que,que, pres)))</f>
        <v>¿Presente?</v>
      </c>
      <c r="I22" s="462" t="str">
        <f>IF(OR($B22=yes,$B22=yes),'5-8 Waste incin'!X24, IF(OR($B22=no,$B22=no),"-", IF($B22=que,que, pres)))</f>
        <v>¿Presente?</v>
      </c>
      <c r="J22" s="462" t="str">
        <f>IF(OR($B22=yes,$B22=yes),'5-8 Waste incin'!Y24, IF(OR($B22=no,$B22=no),"-", IF($B22=que,que, pres)))</f>
        <v>¿Presente?</v>
      </c>
      <c r="K22" s="462" t="str">
        <f>IF(OR($B22=yes,$B22=yes),'5-8 Waste incin'!Z24, IF(OR($B22=no,$B22=no),"-", IF($B22=que,que, pres)))</f>
        <v>¿Presente?</v>
      </c>
      <c r="L22" s="462" t="str">
        <f>IF(OR($B22=yes,$B22=yes),'5-8 Waste incin'!AA24, IF(OR($B22=no,$B22=no),"-", IF($B22=que,que, pres)))</f>
        <v>¿Presente?</v>
      </c>
      <c r="M22" s="273" t="s">
        <v>207</v>
      </c>
      <c r="N22" s="463"/>
    </row>
    <row r="23" spans="1:14" ht="25.5" thickBot="1">
      <c r="A23" s="275" t="s">
        <v>943</v>
      </c>
      <c r="B23" s="623"/>
      <c r="C23" s="401"/>
      <c r="D23" s="348" t="s">
        <v>944</v>
      </c>
      <c r="E23" s="348"/>
      <c r="F23" s="461" t="str">
        <f>IF(OR($B23=yes,$B23=yes),'5-8 Waste incin'!K26, IF(OR($B23=no,$B23=no),"-", IF($B23=que,que, pres)))</f>
        <v>¿Presente?</v>
      </c>
      <c r="G23" s="462" t="str">
        <f>IF(OR($B23=yes,$B23=yes),'5-8 Waste incin'!V26, IF(OR($B23=no,$B23=no),"-", IF($B23=que,que, pres)))</f>
        <v>¿Presente?</v>
      </c>
      <c r="H23" s="462" t="str">
        <f>IF(OR($B23=yes,$B23=yes),'5-8 Waste incin'!W26, IF(OR($B23=no,$B23=no),"-", IF($B23=que,que, pres)))</f>
        <v>¿Presente?</v>
      </c>
      <c r="I23" s="462" t="str">
        <f>IF(OR($B23=yes,$B23=yes),'5-8 Waste incin'!X26, IF(OR($B23=no,$B23=no),"-", IF($B23=que,que, pres)))</f>
        <v>¿Presente?</v>
      </c>
      <c r="J23" s="462" t="str">
        <f>IF(OR($B23=yes,$B23=yes),'5-8 Waste incin'!Y26, IF(OR($B23=no,$B23=no),"-", IF($B23=que,que, pres)))</f>
        <v>¿Presente?</v>
      </c>
      <c r="K23" s="462" t="str">
        <f>IF(OR($B23=yes,$B23=yes),'5-8 Waste incin'!Z26, IF(OR($B23=no,$B23=no),"-", IF($B23=que,que, pres)))</f>
        <v>¿Presente?</v>
      </c>
      <c r="L23" s="462" t="str">
        <f>IF(OR($B23=yes,$B23=yes),'5-8 Waste incin'!AA26, IF(OR($B23=no,$B23=no),"-", IF($B23=que,que, pres)))</f>
        <v>¿Presente?</v>
      </c>
      <c r="M23" s="273" t="s">
        <v>209</v>
      </c>
      <c r="N23" s="463"/>
    </row>
    <row r="24" spans="1:14">
      <c r="A24" s="263"/>
      <c r="B24" s="349"/>
      <c r="C24" s="350"/>
      <c r="D24" s="273"/>
      <c r="E24" s="273"/>
      <c r="F24" s="461"/>
      <c r="G24" s="462"/>
      <c r="H24" s="462"/>
      <c r="I24" s="462"/>
      <c r="J24" s="462"/>
      <c r="K24" s="462"/>
      <c r="L24" s="462"/>
      <c r="M24" s="273"/>
      <c r="N24" s="463"/>
    </row>
    <row r="25" spans="1:14" ht="26.5" thickBot="1">
      <c r="A25" s="265" t="s">
        <v>945</v>
      </c>
      <c r="B25" s="346"/>
      <c r="C25" s="347"/>
      <c r="D25" s="273"/>
      <c r="E25" s="273"/>
      <c r="F25" s="461"/>
      <c r="G25" s="462"/>
      <c r="H25" s="462"/>
      <c r="I25" s="462"/>
      <c r="J25" s="462"/>
      <c r="K25" s="462"/>
      <c r="L25" s="462"/>
      <c r="M25" s="273"/>
      <c r="N25" s="463"/>
    </row>
    <row r="26" spans="1:14">
      <c r="A26" s="275" t="s">
        <v>946</v>
      </c>
      <c r="B26" s="622"/>
      <c r="C26" s="378"/>
      <c r="D26" s="348" t="s">
        <v>947</v>
      </c>
      <c r="E26" s="348"/>
      <c r="F26" s="461" t="str">
        <f>IF(OR($B26=yes,$B26=yes),'5-9 Waste depo and water treatm'!K6, IF(OR($B26=no,$B26=no),"-", IF($B26=que,que, pres)))</f>
        <v>¿Presente?</v>
      </c>
      <c r="G26" s="462" t="str">
        <f>IF(OR($B26=yes,$B26=yes),'5-9 Waste depo and water treatm'!V6, IF(OR($B26=no,$B26=no),"-", IF($B26=que,que, pres)))</f>
        <v>¿Presente?</v>
      </c>
      <c r="H26" s="462" t="str">
        <f>IF(OR($B26=yes,$B26=yes),'5-9 Waste depo and water treatm'!W6, IF(OR($B26=no,$B26=no),"-", IF($B26=que,que, pres)))</f>
        <v>¿Presente?</v>
      </c>
      <c r="I26" s="462" t="str">
        <f>IF(OR($B26=yes,$B26=yes),'5-9 Waste depo and water treatm'!X6, IF(OR($B26=no,$B26=no),"-", IF($B26=que,que, pres)))</f>
        <v>¿Presente?</v>
      </c>
      <c r="J26" s="462" t="str">
        <f>IF(OR($B26=yes,$B26=yes),'5-9 Waste depo and water treatm'!Y6, IF(OR($B26=no,$B26=no),"-", IF($B26=que,que, pres)))</f>
        <v>¿Presente?</v>
      </c>
      <c r="K26" s="462" t="str">
        <f>IF(OR($B26=yes,$B26=yes),'5-9 Waste depo and water treatm'!Z6, IF(OR($B26=no,$B26=no),"-", IF($B26=que,que, pres)))</f>
        <v>¿Presente?</v>
      </c>
      <c r="L26" s="462" t="str">
        <f>IF(OR($B26=yes,$B26=yes),'5-9 Waste depo and water treatm'!AA6, IF(OR($B26=no,$B26=no),"-", IF($B26=que,que, pres)))</f>
        <v>¿Presente?</v>
      </c>
      <c r="M26" s="273" t="s">
        <v>291</v>
      </c>
      <c r="N26" s="463"/>
    </row>
    <row r="27" spans="1:14" ht="13" thickBot="1">
      <c r="A27" s="275" t="s">
        <v>948</v>
      </c>
      <c r="B27" s="623"/>
      <c r="C27" s="401"/>
      <c r="D27" s="348" t="s">
        <v>947</v>
      </c>
      <c r="E27" s="348"/>
      <c r="F27" s="461" t="str">
        <f>IF(OR($B27=yes,$B27=yes),'5-9 Waste depo and water treatm'!K13, IF(OR($B27=no,$B27=no),"-", IF($B27=que,que, pres)))</f>
        <v>¿Presente?</v>
      </c>
      <c r="G27" s="462" t="str">
        <f>IF(OR($B27=yes,$B27=yes),'5-9 Waste depo and water treatm'!V13, IF(OR($B27=no,$B27=no),"-", IF($B27=que,que, pres)))</f>
        <v>¿Presente?</v>
      </c>
      <c r="H27" s="462" t="str">
        <f>IF(OR($B27=yes,$B27=yes),'5-9 Waste depo and water treatm'!W13, IF(OR($B27=no,$B27=no),"-", IF($B27=que,que, pres)))</f>
        <v>¿Presente?</v>
      </c>
      <c r="I27" s="462" t="str">
        <f>IF(OR($B27=yes,$B27=yes),'5-9 Waste depo and water treatm'!X13, IF(OR($B27=no,$B27=no),"-", IF($B27=que,que, pres)))</f>
        <v>¿Presente?</v>
      </c>
      <c r="J27" s="462" t="str">
        <f>IF(OR($B27=yes,$B27=yes),'5-9 Waste depo and water treatm'!Y13, IF(OR($B27=no,$B27=no),"-", IF($B27=que,que, pres)))</f>
        <v>¿Presente?</v>
      </c>
      <c r="K27" s="462" t="str">
        <f>IF(OR($B27=yes,$B27=yes),'5-9 Waste depo and water treatm'!Z13, IF(OR($B27=no,$B27=no),"-", IF($B27=que,que, pres)))</f>
        <v>¿Presente?</v>
      </c>
      <c r="L27" s="462" t="str">
        <f>IF(OR($B27=yes,$B27=yes),'5-9 Waste depo and water treatm'!AA13, IF(OR($B27=no,$B27=no),"-", IF($B27=que,que, pres)))</f>
        <v>¿Presente?</v>
      </c>
      <c r="M27" s="273" t="s">
        <v>294</v>
      </c>
      <c r="N27" s="463"/>
    </row>
    <row r="28" spans="1:14" ht="13" thickBot="1">
      <c r="A28" s="368"/>
      <c r="B28" s="402"/>
      <c r="C28" s="403"/>
      <c r="D28" s="273"/>
      <c r="E28" s="273"/>
      <c r="F28" s="461"/>
      <c r="G28" s="462"/>
      <c r="H28" s="462"/>
      <c r="I28" s="462"/>
      <c r="J28" s="462"/>
      <c r="K28" s="462"/>
      <c r="L28" s="462"/>
      <c r="M28" s="273"/>
      <c r="N28" s="463"/>
    </row>
    <row r="29" spans="1:14" ht="13" thickBot="1">
      <c r="A29" s="485" t="s">
        <v>949</v>
      </c>
      <c r="B29" s="625"/>
      <c r="C29" s="404"/>
      <c r="D29" s="668" t="s">
        <v>950</v>
      </c>
      <c r="E29" s="670"/>
      <c r="F29" s="656" t="str">
        <f>IF(OR($B29=yes,$B29=yes),'5-9 Waste depo and water treatm'!K16, IF(OR($B29=no,$B29=no),"-", IF($B29=que,que, pres)))</f>
        <v>¿Presente?</v>
      </c>
      <c r="G29" s="657" t="str">
        <f>IF(OR($B29=yes,$B29=yes),SUM('5-9 Waste depo and water treatm'!V16:V19), IF(OR($B29=no,$B29=no),"-", IF($B29=que,que, pres)))</f>
        <v>¿Presente?</v>
      </c>
      <c r="H29" s="657" t="str">
        <f>IF(OR($B29=yes,$B29=yes),SUM('5-9 Waste depo and water treatm'!W16:W19), IF(OR($B29=no,$B29=no),"-", IF($B29=que,que, pres)))</f>
        <v>¿Presente?</v>
      </c>
      <c r="I29" s="657" t="str">
        <f>IF(OR($B29=yes,$B29=yes),SUM('5-9 Waste depo and water treatm'!X16:X19), IF(OR($B29=no,$B29=no),"-", IF($B29=que,que, pres)))</f>
        <v>¿Presente?</v>
      </c>
      <c r="J29" s="657" t="str">
        <f>IF(OR($B29=yes,$B29=yes),SUM('5-9 Waste depo and water treatm'!Y16:Y19), IF(OR($B29=no,$B29=no),"-", IF($B29=que,que, pres)))</f>
        <v>¿Presente?</v>
      </c>
      <c r="K29" s="657" t="str">
        <f>IF(OR($B29=yes,$B29=yes),SUM('5-9 Waste depo and water treatm'!Z16:Z19), IF(OR($B29=no,$B29=no),"-", IF($B29=que,que, pres)))</f>
        <v>¿Presente?</v>
      </c>
      <c r="L29" s="657" t="str">
        <f>IF(OR($B29=yes,$B29=yes),SUM('5-9 Waste depo and water treatm'!AA16:AA19), IF(OR($B29=no,$B29=no),"-", IF($B29=que,que, pres)))</f>
        <v>¿Presente?</v>
      </c>
      <c r="M29" s="669" t="s">
        <v>295</v>
      </c>
      <c r="N29" s="463"/>
    </row>
    <row r="30" spans="1:14" ht="134" customHeight="1">
      <c r="A30" s="368"/>
      <c r="B30" s="273"/>
      <c r="C30" s="273"/>
      <c r="D30" s="663"/>
      <c r="E30" s="664" t="s">
        <v>1176</v>
      </c>
      <c r="F30" s="664"/>
      <c r="G30" s="664" t="s">
        <v>1208</v>
      </c>
      <c r="H30" s="664" t="s">
        <v>1209</v>
      </c>
      <c r="I30" s="664" t="s">
        <v>1210</v>
      </c>
      <c r="J30" s="664" t="s">
        <v>1211</v>
      </c>
      <c r="K30" s="462"/>
      <c r="L30" s="462"/>
      <c r="M30" s="273"/>
      <c r="N30" s="463"/>
    </row>
    <row r="31" spans="1:14" ht="25">
      <c r="A31" s="368"/>
      <c r="B31" s="273"/>
      <c r="C31" s="273"/>
      <c r="D31" s="665" t="s">
        <v>766</v>
      </c>
      <c r="E31" s="664" t="s">
        <v>1175</v>
      </c>
      <c r="F31" s="664"/>
      <c r="G31" s="666">
        <f>100-H31-I31-J31-K31-L31</f>
        <v>0</v>
      </c>
      <c r="H31" s="671">
        <v>100</v>
      </c>
      <c r="I31" s="671"/>
      <c r="J31" s="671"/>
      <c r="K31" s="462"/>
      <c r="L31" s="462"/>
      <c r="M31" s="708" t="s">
        <v>1169</v>
      </c>
      <c r="N31" s="464"/>
    </row>
    <row r="34" spans="1:11">
      <c r="A34" s="600" t="s">
        <v>716</v>
      </c>
    </row>
    <row r="35" spans="1:11">
      <c r="A35" s="600"/>
    </row>
    <row r="36" spans="1:11" ht="13">
      <c r="A36" s="696" t="s">
        <v>951</v>
      </c>
      <c r="B36" s="688"/>
      <c r="C36" s="689"/>
      <c r="D36" s="690"/>
      <c r="E36" s="690"/>
      <c r="F36" s="690"/>
      <c r="G36" s="690"/>
      <c r="H36" s="690"/>
      <c r="I36" s="690"/>
      <c r="J36" s="690"/>
      <c r="K36" s="691"/>
    </row>
    <row r="37" spans="1:11" ht="25">
      <c r="A37" s="692" t="s">
        <v>1212</v>
      </c>
      <c r="B37" s="686"/>
      <c r="C37" s="687">
        <f>SUM('Nivel 1-Resumen total'!E61,'Nivel 1-Resumen total'!E65,'Nivel 1-Resumen total'!E67,'Nivel 1-Resumen total'!E68)</f>
        <v>0</v>
      </c>
      <c r="D37" s="396"/>
      <c r="E37" s="396"/>
      <c r="F37" s="396"/>
      <c r="G37" s="396"/>
      <c r="H37" s="396"/>
      <c r="I37" s="396"/>
      <c r="J37" s="396"/>
      <c r="K37" s="432"/>
    </row>
    <row r="38" spans="1:11" ht="25">
      <c r="A38" s="692" t="s">
        <v>1213</v>
      </c>
      <c r="B38" s="686"/>
      <c r="C38" s="687">
        <f>SUM('Nivel 1-Resumen total'!J26,'Nivel 1-Resumen total'!J27,'Nivel 1-Resumen total'!J32:J56)</f>
        <v>0</v>
      </c>
      <c r="D38" s="396"/>
      <c r="E38" s="396"/>
      <c r="F38" s="396"/>
      <c r="G38" s="396"/>
      <c r="H38" s="396"/>
      <c r="I38" s="396"/>
      <c r="J38" s="396"/>
      <c r="K38" s="432"/>
    </row>
    <row r="39" spans="1:11" ht="25">
      <c r="A39" s="693" t="s">
        <v>1214</v>
      </c>
      <c r="B39" s="694"/>
      <c r="C39" s="695" t="str">
        <f>IF(C37&gt;2*C38,"Los cálculos realizados indican que los factores de entrada default para los residuos generales pueden estar sobre estimando las emisiones de mercurio de estas fuentes.","Los cálculos realizados indican que los factores de entrada default para los residuos generales no están necesariamente sobre estimando las emisiones de mercurio de estas fuentes.")</f>
        <v>Los cálculos realizados indican que los factores de entrada default para los residuos generales no están necesariamente sobre estimando las emisiones de mercurio de estas fuentes.</v>
      </c>
      <c r="D39" s="695"/>
      <c r="E39" s="695"/>
      <c r="F39" s="695"/>
      <c r="G39" s="695"/>
      <c r="H39" s="695"/>
      <c r="I39" s="695"/>
      <c r="J39" s="695"/>
      <c r="K39" s="496"/>
    </row>
    <row r="40" spans="1:11" ht="13">
      <c r="A40" s="696" t="s">
        <v>952</v>
      </c>
      <c r="B40" s="688"/>
      <c r="C40" s="689"/>
      <c r="D40" s="690"/>
      <c r="E40" s="690"/>
      <c r="F40" s="690"/>
      <c r="G40" s="690"/>
      <c r="H40" s="690"/>
      <c r="I40" s="690"/>
      <c r="J40" s="396"/>
      <c r="K40" s="432"/>
    </row>
    <row r="41" spans="1:11" ht="25">
      <c r="A41" s="692" t="s">
        <v>1215</v>
      </c>
      <c r="B41" s="686"/>
      <c r="C41" s="687">
        <f>SUM('Nivel 1-Resumen ejec.'!B19)</f>
        <v>0</v>
      </c>
      <c r="D41" s="396"/>
      <c r="E41" s="396"/>
      <c r="F41" s="396"/>
      <c r="G41" s="396"/>
      <c r="H41" s="396"/>
      <c r="I41" s="396"/>
      <c r="J41" s="396"/>
      <c r="K41" s="432"/>
    </row>
    <row r="42" spans="1:11" ht="25">
      <c r="A42" s="692" t="s">
        <v>1216</v>
      </c>
      <c r="B42" s="686"/>
      <c r="C42" s="687">
        <f>SUM('Nivel 1-Resumen ejec.'!D8,'Nivel 1-Resumen ejec.'!D10:D14)</f>
        <v>0</v>
      </c>
      <c r="D42" s="396"/>
      <c r="E42" s="396"/>
      <c r="F42" s="396"/>
      <c r="G42" s="396"/>
      <c r="H42" s="396"/>
      <c r="I42" s="396"/>
      <c r="J42" s="396"/>
      <c r="K42" s="432"/>
    </row>
    <row r="43" spans="1:11" ht="25">
      <c r="A43" s="693" t="s">
        <v>1214</v>
      </c>
      <c r="B43" s="694"/>
      <c r="C43" s="695" t="str">
        <f>IF(C41&gt;2*C42,"Los cálculos realizados indican que los factores de entrada default para los residuos generales pueden estar sobre estimando las emisiones de mercurio de estas fuentes.","Los cálculos realizados indican que los factores de entrada default para los residuos generales no están necesariamente sobre estimando las emisiones de mercurio de estas fuentes.")</f>
        <v>Los cálculos realizados indican que los factores de entrada default para los residuos generales no están necesariamente sobre estimando las emisiones de mercurio de estas fuentes.</v>
      </c>
      <c r="D43" s="695"/>
      <c r="E43" s="695"/>
      <c r="F43" s="695"/>
      <c r="G43" s="695"/>
      <c r="H43" s="695"/>
      <c r="I43" s="695"/>
      <c r="J43" s="695"/>
      <c r="K43" s="496"/>
    </row>
  </sheetData>
  <sheetProtection algorithmName="SHA-512" hashValue="bgglesmC8LgkONTMJjZSlu3R64zHQ5tG8eKZO9iy72zHacy/7uSvUTxB6hv9LyX91dBvGce7UmlCAi9LL5CFIQ==" saltValue="007nIASubGsXF9bDaGCxRw==" spinCount="100000" sheet="1" objects="1" scenarios="1"/>
  <mergeCells count="3">
    <mergeCell ref="G7:L7"/>
    <mergeCell ref="A2:M2"/>
    <mergeCell ref="F4:G4"/>
  </mergeCells>
  <conditionalFormatting sqref="A2">
    <cfRule type="expression" dxfId="41" priority="34" stopIfTrue="1">
      <formula>$A$2&lt;&gt;""</formula>
    </cfRule>
  </conditionalFormatting>
  <conditionalFormatting sqref="F9:F10 F13 F26:F27 F29 F16 F19 F22:F23">
    <cfRule type="expression" dxfId="40" priority="36" stopIfTrue="1">
      <formula>AND(B9="y",O9="n")</formula>
    </cfRule>
  </conditionalFormatting>
  <conditionalFormatting sqref="E14:J14 E15:G15">
    <cfRule type="expression" dxfId="39" priority="24">
      <formula>OR($E$13="y", $E$13="s", $E$13="o", $E$13="da")</formula>
    </cfRule>
  </conditionalFormatting>
  <conditionalFormatting sqref="H15:J15">
    <cfRule type="expression" dxfId="38" priority="23">
      <formula>OR($E$13="y", $E$13="s", $E$13="o", $E$13="da")</formula>
    </cfRule>
  </conditionalFormatting>
  <conditionalFormatting sqref="G15">
    <cfRule type="expression" dxfId="37" priority="22">
      <formula>$G$15&lt;0</formula>
    </cfRule>
  </conditionalFormatting>
  <conditionalFormatting sqref="D15">
    <cfRule type="expression" dxfId="36" priority="21">
      <formula>$G$15&lt;0</formula>
    </cfRule>
  </conditionalFormatting>
  <conditionalFormatting sqref="E17:H17 E18:G18">
    <cfRule type="expression" dxfId="35" priority="20">
      <formula>OR($E$16="y", $E$16="s", $E$16="o", $E$16="da")</formula>
    </cfRule>
  </conditionalFormatting>
  <conditionalFormatting sqref="H18:J18">
    <cfRule type="expression" dxfId="34" priority="19">
      <formula>OR($E$16="y", $E$16="s", $E$16="o", $E$16="da")</formula>
    </cfRule>
  </conditionalFormatting>
  <conditionalFormatting sqref="G18">
    <cfRule type="expression" dxfId="33" priority="18">
      <formula>$G$18&lt;0</formula>
    </cfRule>
  </conditionalFormatting>
  <conditionalFormatting sqref="D18">
    <cfRule type="expression" dxfId="32" priority="17">
      <formula>$G$18&lt;0</formula>
    </cfRule>
  </conditionalFormatting>
  <conditionalFormatting sqref="E20:J20 E21:G21">
    <cfRule type="expression" dxfId="31" priority="16">
      <formula>OR($E$19="y", $E$19="s", $E$19="o", $E$19="da")</formula>
    </cfRule>
  </conditionalFormatting>
  <conditionalFormatting sqref="H21:J21">
    <cfRule type="expression" dxfId="30" priority="15">
      <formula>OR($E$19="y", $E$19="s", $E$19="o", $E$19="da")</formula>
    </cfRule>
  </conditionalFormatting>
  <conditionalFormatting sqref="G21">
    <cfRule type="expression" dxfId="29" priority="14">
      <formula>$G$21&lt;0</formula>
    </cfRule>
  </conditionalFormatting>
  <conditionalFormatting sqref="D21">
    <cfRule type="expression" dxfId="28" priority="13">
      <formula>$G$21&lt;0</formula>
    </cfRule>
  </conditionalFormatting>
  <conditionalFormatting sqref="E30:J30 E31:G31">
    <cfRule type="expression" dxfId="27" priority="12">
      <formula>OR($E$29="y", $E$29="s", $E$29="o", $E$29="da")</formula>
    </cfRule>
  </conditionalFormatting>
  <conditionalFormatting sqref="H31:J31">
    <cfRule type="expression" dxfId="26" priority="11">
      <formula>OR($E$29="y", $E$29="s", $E$29="o", $E$29="da")</formula>
    </cfRule>
  </conditionalFormatting>
  <conditionalFormatting sqref="G31">
    <cfRule type="expression" dxfId="25" priority="10">
      <formula>$G$31&lt;0</formula>
    </cfRule>
  </conditionalFormatting>
  <conditionalFormatting sqref="D31">
    <cfRule type="expression" dxfId="24" priority="9">
      <formula>$G$31&lt;0</formula>
    </cfRule>
  </conditionalFormatting>
  <conditionalFormatting sqref="I17:J17">
    <cfRule type="expression" dxfId="23" priority="8">
      <formula>OR($E$16="y", $E$16="s", $E$16="o", $E$16="da")</formula>
    </cfRule>
  </conditionalFormatting>
  <conditionalFormatting sqref="B5:G5">
    <cfRule type="expression" dxfId="22" priority="7">
      <formula>OR(AND($B$4=no,$E$4=yes),$B$4="",$E$4="")</formula>
    </cfRule>
  </conditionalFormatting>
  <conditionalFormatting sqref="H5">
    <cfRule type="expression" dxfId="21" priority="6">
      <formula>OR(AND($B$4=no,$E$4=yes),$B$4="",$E$4="")</formula>
    </cfRule>
  </conditionalFormatting>
  <dataValidations xWindow="430" yWindow="639" count="10">
    <dataValidation type="list" allowBlank="1" showDropDown="1" showInputMessage="1" showErrorMessage="1" errorTitle="Input error" error="Enter only y, n or ? (or translation of these)" sqref="B28" xr:uid="{00000000-0002-0000-0800-000001000000}">
      <formula1>yn?</formula1>
    </dataValidation>
    <dataValidation type="list" allowBlank="1" showInputMessage="1" showErrorMessage="1" sqref="E29 E13 E16 E19" xr:uid="{00000000-0002-0000-0800-000003000000}">
      <formula1>yn</formula1>
    </dataValidation>
    <dataValidation allowBlank="1" showErrorMessage="1" promptTitle="Controls" prompt="No filters in place (automatically calculated)" sqref="G15 G18 G21 G31" xr:uid="{00000000-0002-0000-0800-000007000000}"/>
    <dataValidation allowBlank="1" showInputMessage="1" showErrorMessage="1" promptTitle="Controls" prompt="No treatment; direct release from sewage pipe" sqref="G30" xr:uid="{00000000-0002-0000-0800-000008000000}"/>
    <dataValidation type="list" allowBlank="1" showInputMessage="1" showErrorMessage="1" prompt="Enter your best estimate, you may revise later; document your choice in your report. Your choice influences calculations of releases from mercury-added products." sqref="B4 E4" xr:uid="{00000000-0002-0000-0800-00000D000000}">
      <formula1>yn</formula1>
    </dataValidation>
    <dataValidation allowBlank="1" showInputMessage="1" showErrorMessage="1" promptTitle="Deafult controls" prompt="Cell is blue and reads &quot;Non-default controls used&quot; if you have changed the originally entered default controls selection. To restore it (to not include controls), enter default controls selection shown in the tab &quot;Controls defaults&quot; for the sub-category." sqref="M18" xr:uid="{00000000-0002-0000-0800-00000E000000}"/>
    <dataValidation allowBlank="1" showInputMessage="1" showErrorMessage="1" prompt="La celda es azul y se lee &quot;sin empleo de controles default&quot;, si usted ha cambiado la selección de controles default originales. Para restaurarlo (no incluir controles), ingrese la selección de controles default mostrados en el tab &quot;controles default&quot; para" sqref="M15 M21 M31" xr:uid="{86043369-1268-DA49-B43D-CDE5B67960A6}"/>
    <dataValidation type="decimal" allowBlank="1" showInputMessage="1" showErrorMessage="1" errorTitle="Input error" error="Use digits and decimal mark only." prompt="Use sólo dígitos y decimales" sqref="C9:C10 C13 C16 C19 C22:C23 C26:C27 C29" xr:uid="{2F5056AB-6AC1-1B40-B9DE-2F7E0DFA3D4F}">
      <formula1>-9.99999999999999E+22</formula1>
      <formula2>9.99999999999999E+22</formula2>
    </dataValidation>
    <dataValidation type="list" allowBlank="1" showInputMessage="1" showErrorMessage="1" errorTitle="Input error" error="Enter only y, n or ? (or translation of these)" prompt="Ingrese sólo s, n ó ?" sqref="B29 B26:B27 B22:B23 B19 B16 B13 B9:B10" xr:uid="{4D350F46-C8D6-754A-987F-1895D66E2417}">
      <formula1>yn?</formula1>
    </dataValidation>
    <dataValidation allowBlank="1" showInputMessage="1" showErrorMessage="1" prompt="Introduzca el porcentaje de tasas de actividad total que es empleado en instalaciones con los mecanismos de control mencionados arriba" sqref="H15:J15 H18:J18 H21:J21 H31:J31" xr:uid="{E7A75D87-78F6-B946-A31D-78B69A7630B6}"/>
  </dataValidations>
  <pageMargins left="0.39370078740157483" right="0.39370078740157483" top="0.74803149606299213" bottom="0.74803149606299213" header="0.31496062992125984" footer="0.31496062992125984"/>
  <pageSetup paperSize="9" scale="64" orientation="landscape" r:id="rId1"/>
  <headerFooter>
    <oddFooter>&amp;L&amp;A
Printed &amp;D</oddFooter>
  </headerFooter>
  <extLst>
    <ext xmlns:x14="http://schemas.microsoft.com/office/spreadsheetml/2009/9/main" uri="{78C0D931-6437-407d-A8EE-F0AAD7539E65}">
      <x14:conditionalFormattings>
        <x14:conditionalFormatting xmlns:xm="http://schemas.microsoft.com/office/excel/2006/main">
          <x14:cfRule type="expression" priority="29" id="{C53B2ABA-6D60-4483-9AF2-0415F414F5A4}">
            <xm:f>'Inserte resultados de NI2'!$K$64&lt;&gt;""</xm:f>
            <x14:dxf>
              <font>
                <color rgb="FFFF0000"/>
              </font>
            </x14:dxf>
          </x14:cfRule>
          <xm:sqref>A34</xm:sqref>
        </x14:conditionalFormatting>
        <x14:conditionalFormatting xmlns:xm="http://schemas.microsoft.com/office/excel/2006/main">
          <x14:cfRule type="expression" priority="4" id="{755A1AFB-CCE1-4A24-A191-D5D09FB302C1}">
            <xm:f>OR($H$15&lt;&gt;'Controles defaults'!$D$44)</xm:f>
            <x14:dxf>
              <font>
                <color theme="1"/>
              </font>
              <fill>
                <patternFill>
                  <bgColor theme="8" tint="0.39994506668294322"/>
                </patternFill>
              </fill>
            </x14:dxf>
          </x14:cfRule>
          <xm:sqref>M15</xm:sqref>
        </x14:conditionalFormatting>
        <x14:conditionalFormatting xmlns:xm="http://schemas.microsoft.com/office/excel/2006/main">
          <x14:cfRule type="expression" priority="3" id="{DDD52C21-414F-40E2-9992-260BACD087D5}">
            <xm:f>OR($H$18&lt;&gt;'Controles defaults'!$D$47)</xm:f>
            <x14:dxf>
              <font>
                <color theme="1"/>
              </font>
              <fill>
                <patternFill>
                  <bgColor theme="8" tint="0.39994506668294322"/>
                </patternFill>
              </fill>
            </x14:dxf>
          </x14:cfRule>
          <xm:sqref>M18</xm:sqref>
        </x14:conditionalFormatting>
        <x14:conditionalFormatting xmlns:xm="http://schemas.microsoft.com/office/excel/2006/main">
          <x14:cfRule type="expression" priority="2" id="{3C0F1962-9382-413A-8D15-DD6172622E0B}">
            <xm:f>OR($G$21&lt;&gt;'Controles defaults'!$C$50)</xm:f>
            <x14:dxf>
              <font>
                <color theme="1"/>
              </font>
              <fill>
                <patternFill>
                  <bgColor theme="8" tint="0.39994506668294322"/>
                </patternFill>
              </fill>
            </x14:dxf>
          </x14:cfRule>
          <xm:sqref>M21</xm:sqref>
        </x14:conditionalFormatting>
        <x14:conditionalFormatting xmlns:xm="http://schemas.microsoft.com/office/excel/2006/main">
          <x14:cfRule type="expression" priority="1" id="{3D7B942E-11B5-4FF2-AC27-F8AF61D08162}">
            <xm:f>OR($H$31&lt;&gt;'Controles defaults'!$D$53)</xm:f>
            <x14:dxf>
              <font>
                <color theme="1"/>
              </font>
              <fill>
                <patternFill>
                  <bgColor theme="8" tint="0.39994506668294322"/>
                </patternFill>
              </fill>
            </x14:dxf>
          </x14:cfRule>
          <xm:sqref>M31</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4B5EC5F424DF0438C02C794499518FB" ma:contentTypeVersion="0" ma:contentTypeDescription="Create a new document." ma:contentTypeScope="" ma:versionID="5ab65c60870f55e49362d4efb7fd413f">
  <xsd:schema xmlns:xsd="http://www.w3.org/2001/XMLSchema" xmlns:xs="http://www.w3.org/2001/XMLSchema" xmlns:p="http://schemas.microsoft.com/office/2006/metadata/properties" targetNamespace="http://schemas.microsoft.com/office/2006/metadata/properties" ma:root="true" ma:fieldsID="62ea347ee6c5493b9e14b1c149bab3d1">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548986E-99A0-4F90-865A-B2513F560665}">
  <ds:schemaRefs>
    <ds:schemaRef ds:uri="http://purl.org/dc/dcmitype/"/>
    <ds:schemaRef ds:uri="http://www.w3.org/XML/1998/namespace"/>
    <ds:schemaRef ds:uri="http://purl.org/dc/elements/1.1/"/>
    <ds:schemaRef ds:uri="http://schemas.openxmlformats.org/package/2006/metadata/core-properties"/>
    <ds:schemaRef ds:uri="http://purl.org/dc/terms/"/>
    <ds:schemaRef ds:uri="http://schemas.microsoft.com/office/2006/documentManagement/types"/>
    <ds:schemaRef ds:uri="http://schemas.microsoft.com/office/infopath/2007/PartnerControls"/>
    <ds:schemaRef ds:uri="http://schemas.microsoft.com/office/2006/metadata/properties"/>
  </ds:schemaRefs>
</ds:datastoreItem>
</file>

<file path=customXml/itemProps2.xml><?xml version="1.0" encoding="utf-8"?>
<ds:datastoreItem xmlns:ds="http://schemas.openxmlformats.org/officeDocument/2006/customXml" ds:itemID="{73072A52-623B-42B3-804C-D8F39A9174D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33267E3B-D061-4D8F-9CB4-985A0A9D1A7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32</vt:i4>
      </vt:variant>
      <vt:variant>
        <vt:lpstr>Named Ranges</vt:lpstr>
      </vt:variant>
      <vt:variant>
        <vt:i4>38</vt:i4>
      </vt:variant>
    </vt:vector>
  </HeadingPairs>
  <TitlesOfParts>
    <vt:vector size="70" baseType="lpstr">
      <vt:lpstr>Paso 1-Datos del país</vt:lpstr>
      <vt:lpstr>Paso 2-Energía</vt:lpstr>
      <vt:lpstr>5-1 Fuels</vt:lpstr>
      <vt:lpstr>Paso 3-Metales-Materias primas</vt:lpstr>
      <vt:lpstr>5-2 Prim metal</vt:lpstr>
      <vt:lpstr>5-3 Other min + mat</vt:lpstr>
      <vt:lpstr>Paso 4-Uso industrial de Hg</vt:lpstr>
      <vt:lpstr>5-4 Int Hg in Industry</vt:lpstr>
      <vt:lpstr>Paso 5-Trat.+recicl. desechos</vt:lpstr>
      <vt:lpstr>5-8 Waste incin</vt:lpstr>
      <vt:lpstr>5-9 Waste depo and water treatm</vt:lpstr>
      <vt:lpstr>5-7 Recycl metals</vt:lpstr>
      <vt:lpstr>Paso 6-Prod. y sust. con Hg</vt:lpstr>
      <vt:lpstr>Countrydata</vt:lpstr>
      <vt:lpstr>5-5 Cons prod</vt:lpstr>
      <vt:lpstr>5-6 Other int use</vt:lpstr>
      <vt:lpstr>Paso 7-Crematorios-cementerios</vt:lpstr>
      <vt:lpstr>Paso 8-Fuentes varias de Hg</vt:lpstr>
      <vt:lpstr>Inserte resultados de NI2</vt:lpstr>
      <vt:lpstr>Range-thresholds</vt:lpstr>
      <vt:lpstr>Conversión de unidades</vt:lpstr>
      <vt:lpstr>Nivel 1-Resumen ejec.</vt:lpstr>
      <vt:lpstr>Nivel 1-Gráficas</vt:lpstr>
      <vt:lpstr>Nivel 1-Fuentes Hg identific.</vt:lpstr>
      <vt:lpstr>Nivel 1-Resumen entradas de Hg</vt:lpstr>
      <vt:lpstr>Nivel 1-Resumen de emisiones</vt:lpstr>
      <vt:lpstr>Level 2-introduction</vt:lpstr>
      <vt:lpstr>Level 2-summary</vt:lpstr>
      <vt:lpstr>Nivel 1-Resumen total</vt:lpstr>
      <vt:lpstr>Controles defaults</vt:lpstr>
      <vt:lpstr>Nota para la traducción</vt:lpstr>
      <vt:lpstr>5-10 Cremat and cem</vt:lpstr>
      <vt:lpstr>'5-7 Recycl metals'!_Ref49683512</vt:lpstr>
      <vt:lpstr>'5-7 Recycl metals'!_Ref49683522</vt:lpstr>
      <vt:lpstr>'5-7 Recycl metals'!_Ref49683534</vt:lpstr>
      <vt:lpstr>'5-9 Waste depo and water treatm'!_Ref50871338</vt:lpstr>
      <vt:lpstr>'5-9 Waste depo and water treatm'!_Ref50871349</vt:lpstr>
      <vt:lpstr>'5-6 Other int use'!_Ref52957575</vt:lpstr>
      <vt:lpstr>_SeF4</vt:lpstr>
      <vt:lpstr>Country</vt:lpstr>
      <vt:lpstr>no</vt:lpstr>
      <vt:lpstr>pres</vt:lpstr>
      <vt:lpstr>'Inserte resultados de NI2'!Print_Area</vt:lpstr>
      <vt:lpstr>'Level 2-summary'!Print_Area</vt:lpstr>
      <vt:lpstr>'Nivel 1-Fuentes Hg identific.'!Print_Area</vt:lpstr>
      <vt:lpstr>'Nivel 1-Gráficas'!Print_Area</vt:lpstr>
      <vt:lpstr>'Nivel 1-Resumen de emisiones'!Print_Area</vt:lpstr>
      <vt:lpstr>'Nivel 1-Resumen ejec.'!Print_Area</vt:lpstr>
      <vt:lpstr>'Nivel 1-Resumen entradas de Hg'!Print_Area</vt:lpstr>
      <vt:lpstr>'Nivel 1-Resumen total'!Print_Area</vt:lpstr>
      <vt:lpstr>'Paso 1-Datos del país'!Print_Area</vt:lpstr>
      <vt:lpstr>'Paso 2-Energía'!Print_Area</vt:lpstr>
      <vt:lpstr>'Paso 3-Metales-Materias primas'!Print_Area</vt:lpstr>
      <vt:lpstr>'Paso 4-Uso industrial de Hg'!Print_Area</vt:lpstr>
      <vt:lpstr>'Paso 5-Trat.+recicl. desechos'!Print_Area</vt:lpstr>
      <vt:lpstr>'Paso 6-Prod. y sust. con Hg'!Print_Area</vt:lpstr>
      <vt:lpstr>'Paso 7-Crematorios-cementerios'!Print_Area</vt:lpstr>
      <vt:lpstr>'Paso 8-Fuentes varias de Hg'!Print_Area</vt:lpstr>
      <vt:lpstr>que</vt:lpstr>
      <vt:lpstr>quest</vt:lpstr>
      <vt:lpstr>quest2</vt:lpstr>
      <vt:lpstr>trans_warning</vt:lpstr>
      <vt:lpstr>trans1</vt:lpstr>
      <vt:lpstr>trans2</vt:lpstr>
      <vt:lpstr>trans3</vt:lpstr>
      <vt:lpstr>trans4</vt:lpstr>
      <vt:lpstr>trans5</vt:lpstr>
      <vt:lpstr>yes</vt:lpstr>
      <vt:lpstr>yn</vt:lpstr>
      <vt:lpstr>yn?</vt:lpstr>
    </vt:vector>
  </TitlesOfParts>
  <Company>COWI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dc:creator>
  <cp:lastModifiedBy>Angeline Djampou</cp:lastModifiedBy>
  <cp:lastPrinted>2012-09-10T09:31:09Z</cp:lastPrinted>
  <dcterms:created xsi:type="dcterms:W3CDTF">2005-10-18T14:46:44Z</dcterms:created>
  <dcterms:modified xsi:type="dcterms:W3CDTF">2019-11-08T19:21:39Z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142642220</vt:i4>
  </property>
  <property fmtid="{D5CDD505-2E9C-101B-9397-08002B2CF9AE}" pid="3" name="_NewReviewCycle">
    <vt:lpwstr/>
  </property>
  <property fmtid="{D5CDD505-2E9C-101B-9397-08002B2CF9AE}" pid="4" name="_EmailSubject">
    <vt:lpwstr>Hg-toolkit-IL1-JAM_SLAR_ver1-JAM-KS.xls - et par hurtige kommentarer/spørgsmål</vt:lpwstr>
  </property>
  <property fmtid="{D5CDD505-2E9C-101B-9397-08002B2CF9AE}" pid="5" name="_AuthorEmail">
    <vt:lpwstr>SLAR@cowi.dk</vt:lpwstr>
  </property>
  <property fmtid="{D5CDD505-2E9C-101B-9397-08002B2CF9AE}" pid="6" name="_AuthorEmailDisplayName">
    <vt:lpwstr>Søren Larsen</vt:lpwstr>
  </property>
  <property fmtid="{D5CDD505-2E9C-101B-9397-08002B2CF9AE}" pid="7" name="_PreviousAdHocReviewCycleID">
    <vt:i4>-217575388</vt:i4>
  </property>
  <property fmtid="{D5CDD505-2E9C-101B-9397-08002B2CF9AE}" pid="8" name="_ReviewingToolsShownOnce">
    <vt:lpwstr/>
  </property>
  <property fmtid="{D5CDD505-2E9C-101B-9397-08002B2CF9AE}" pid="9" name="ContentTypeId">
    <vt:lpwstr>0x010100C4B5EC5F424DF0438C02C794499518FB</vt:lpwstr>
  </property>
</Properties>
</file>